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Yi/Downloads/"/>
    </mc:Choice>
  </mc:AlternateContent>
  <xr:revisionPtr revIDLastSave="0" documentId="13_ncr:1_{D89B2E70-E28D-C649-B3EE-B08CD44298FF}" xr6:coauthVersionLast="47" xr6:coauthVersionMax="47" xr10:uidLastSave="{00000000-0000-0000-0000-000000000000}"/>
  <bookViews>
    <workbookView xWindow="0" yWindow="500" windowWidth="28800" windowHeight="15700" xr2:uid="{00000000-000D-0000-FFFF-FFFF00000000}"/>
  </bookViews>
  <sheets>
    <sheet name="PL-PP-CHC-BBALL-CP" sheetId="1" r:id="rId1"/>
    <sheet name="PL-PP-CHC-BRIDE-CP" sheetId="2" r:id="rId2"/>
    <sheet name="PL-PP-CHC-13STAR" sheetId="3" r:id="rId3"/>
    <sheet name="PL-PP-CHC-BGGY" sheetId="4" r:id="rId4"/>
    <sheet name="PL-PP-CHC-BGNB" sheetId="5" r:id="rId5"/>
    <sheet name="PL-PP-CHC-BGYE" sheetId="6" r:id="rId6"/>
    <sheet name="PL-PP-CHC-BLBK" sheetId="7" r:id="rId7"/>
    <sheet name="PL-PP-CHC-BLBK-A" sheetId="8" r:id="rId8"/>
    <sheet name="PL-PP-CHC-BLGY" sheetId="9" r:id="rId9"/>
    <sheet name="PL-PP-CHC-BLYE" sheetId="10" r:id="rId10"/>
    <sheet name="PL-PP-CHC-BLWH-CP" sheetId="11" r:id="rId11"/>
    <sheet name="PL-PP-CHC-FBALL-CP" sheetId="12" r:id="rId12"/>
    <sheet name="PL-PP-CHC-HGGY-CP" sheetId="13" r:id="rId13"/>
    <sheet name="PL-PP-CHC-HGWH-CP" sheetId="14" r:id="rId14"/>
    <sheet name="PL-PP-CHC-FLAG" sheetId="15" r:id="rId15"/>
    <sheet name="PL-PP-CHC-GDBK" sheetId="16" r:id="rId16"/>
    <sheet name="PL-PP-CHC-GNBK" sheetId="17" r:id="rId17"/>
    <sheet name="PL-PP-CHC-GNGY" sheetId="18" r:id="rId18"/>
    <sheet name="PL-PP-CHC-HGYE-CP" sheetId="19" r:id="rId19"/>
    <sheet name="PL-PP-CHC-HGNB" sheetId="20" r:id="rId20"/>
    <sheet name="PL-PP-CHC-LBBK" sheetId="21" r:id="rId21"/>
    <sheet name="PL-PP-CHC-LGNB-CP" sheetId="22" r:id="rId22"/>
    <sheet name="PL-PP-CHC-NBYE-CP" sheetId="23" r:id="rId23"/>
    <sheet name="PL-PP-CHC-NBGY-CP" sheetId="24" r:id="rId24"/>
    <sheet name="PL-PP-CHC-LBGY" sheetId="25" r:id="rId25"/>
    <sheet name="PL-PP-CHC-ORBK" sheetId="26" r:id="rId26"/>
    <sheet name="PL-PP-CHC-ORBL" sheetId="27" r:id="rId27"/>
    <sheet name="PL-PP-CHC-ORNB" sheetId="28" r:id="rId28"/>
    <sheet name="PL-PP-CHC-PUBK" sheetId="29" r:id="rId29"/>
    <sheet name="PL-PP-CHC-PUBK-A" sheetId="30" r:id="rId30"/>
    <sheet name="PL-PP-CHC-PUGY-CP" sheetId="31" r:id="rId31"/>
    <sheet name="PL-PP-CHC-PUYE" sheetId="32" r:id="rId32"/>
    <sheet name="PL-PP-CHC-REBK" sheetId="33" r:id="rId33"/>
    <sheet name="PL-PP-CHC-REBL" sheetId="34" r:id="rId34"/>
    <sheet name="PL-PP-CHC-REBL-A" sheetId="35" r:id="rId35"/>
    <sheet name="PL-PP-CHC-REGY" sheetId="36" r:id="rId36"/>
    <sheet name="PL-PP-CHC-REGY-A" sheetId="37" r:id="rId37"/>
    <sheet name="PL-PP-CHC-RENB" sheetId="38" r:id="rId38"/>
    <sheet name="PL-PP-CHC-REYE" sheetId="39" r:id="rId39"/>
    <sheet name="PL-PP-CHC-SLBK" sheetId="40" r:id="rId40"/>
    <sheet name="PL-PP-CHC-SLBK-A" sheetId="41" r:id="rId41"/>
    <sheet name="PL-PP-CHC-STAR" sheetId="42" r:id="rId42"/>
    <sheet name="PL-PP-CHC-TLOR-CP" sheetId="43" r:id="rId43"/>
    <sheet name="PL-PP-CHC-TLBK-CP" sheetId="44" r:id="rId44"/>
    <sheet name="PL-PP-CHC-STAR-A" sheetId="45" r:id="rId45"/>
    <sheet name="PL-PP-CHC-WHBK" sheetId="46" r:id="rId46"/>
    <sheet name="PL-PP-CHC-YEBK" sheetId="47" r:id="rId47"/>
    <sheet name="PL-PP-CHC-HGNB-A" sheetId="48" r:id="rId48"/>
    <sheet name="PL-PP-CHPRO2-BLBK" sheetId="49" r:id="rId49"/>
    <sheet name="PL-PP-CHPRO2-BLGY" sheetId="50" r:id="rId50"/>
    <sheet name="PL-PP-CHPRO2-FLAG" sheetId="51" r:id="rId51"/>
    <sheet name="PL-PP-CHPRO2-HGBK" sheetId="52" r:id="rId52"/>
    <sheet name="PL-PP-CHPRO2-HGBL" sheetId="53" r:id="rId53"/>
    <sheet name="PL-PP-CHPRO2-HGGY" sheetId="54" r:id="rId54"/>
    <sheet name="PL-PP-CHPRO2-HGYE" sheetId="55" r:id="rId55"/>
    <sheet name="PL-PP-CHPRO2-ORBK" sheetId="56" r:id="rId56"/>
    <sheet name="PL-PP-CHPRO2-ORBL" sheetId="57" r:id="rId57"/>
    <sheet name="PL-PP-CHPRO2-ORGY" sheetId="58" r:id="rId58"/>
    <sheet name="PL-PP-CHPRO2-REBK" sheetId="59" r:id="rId59"/>
    <sheet name="PL-PP-CHPRO2-REBL" sheetId="60" r:id="rId60"/>
    <sheet name="PL-PP-CHPRO2-REGR" sheetId="61" r:id="rId61"/>
    <sheet name="PL-PP-CHPRO2-REYE" sheetId="62" r:id="rId62"/>
    <sheet name="PL-PP-CHPRO2-YEBK" sheetId="63" r:id="rId63"/>
    <sheet name="PL-PP-CHPRO2-YEBL" sheetId="64" r:id="rId64"/>
    <sheet name="PL-PP-CHPRO2-YEGY" sheetId="65" r:id="rId65"/>
    <sheet name="PL-BCL-CH-REBK" sheetId="66" r:id="rId66"/>
  </sheets>
  <calcPr calcId="191029"/>
</workbook>
</file>

<file path=xl/calcChain.xml><?xml version="1.0" encoding="utf-8"?>
<calcChain xmlns="http://schemas.openxmlformats.org/spreadsheetml/2006/main">
  <c r="R32" i="2" l="1"/>
  <c r="R32" i="3"/>
  <c r="R32" i="4"/>
  <c r="R32" i="5"/>
  <c r="R32" i="6"/>
  <c r="R32" i="7"/>
  <c r="R32" i="8"/>
  <c r="R32" i="9"/>
  <c r="R32" i="10"/>
  <c r="R32" i="11"/>
  <c r="R32" i="12"/>
  <c r="R32" i="13"/>
  <c r="R32" i="14"/>
  <c r="R32" i="15"/>
  <c r="R32" i="16"/>
  <c r="R32" i="17"/>
  <c r="R32" i="18"/>
  <c r="R32" i="19"/>
  <c r="R32" i="20"/>
  <c r="R32" i="21"/>
  <c r="R32" i="22"/>
  <c r="R32" i="23"/>
  <c r="R32" i="24"/>
  <c r="R32" i="25"/>
  <c r="R32" i="26"/>
  <c r="R32" i="27"/>
  <c r="R32" i="28"/>
  <c r="R32" i="29"/>
  <c r="R32" i="30"/>
  <c r="R32" i="31"/>
  <c r="R32" i="32"/>
  <c r="R32" i="33"/>
  <c r="R32" i="34"/>
  <c r="R32" i="35"/>
  <c r="R32" i="36"/>
  <c r="R32" i="37"/>
  <c r="R32" i="38"/>
  <c r="R32" i="39"/>
  <c r="R32" i="40"/>
  <c r="R32" i="41"/>
  <c r="R32" i="42"/>
  <c r="R32" i="43"/>
  <c r="R32" i="44"/>
  <c r="R32" i="45"/>
  <c r="R32" i="46"/>
  <c r="R32" i="47"/>
  <c r="R32" i="48"/>
  <c r="R32" i="49"/>
  <c r="R32" i="50"/>
  <c r="R32" i="51"/>
  <c r="R32" i="52"/>
  <c r="R32" i="53"/>
  <c r="R32" i="54"/>
  <c r="R32" i="55"/>
  <c r="R32" i="56"/>
  <c r="R32" i="57"/>
  <c r="R32" i="58"/>
  <c r="R32" i="59"/>
  <c r="R32" i="60"/>
  <c r="R32" i="61"/>
  <c r="R32" i="62"/>
  <c r="R32" i="63"/>
  <c r="R32" i="64"/>
  <c r="R32" i="65"/>
  <c r="R32" i="66"/>
  <c r="R32" i="1"/>
  <c r="AB32" i="66"/>
  <c r="AD32" i="66" s="1"/>
  <c r="J32" i="66" s="1"/>
  <c r="Y32" i="66"/>
  <c r="X32" i="66"/>
  <c r="V32" i="66"/>
  <c r="U32" i="66"/>
  <c r="T32" i="66"/>
  <c r="P32" i="66"/>
  <c r="Q32" i="66" s="1"/>
  <c r="O32" i="66"/>
  <c r="M32" i="66"/>
  <c r="H32" i="66"/>
  <c r="C32" i="66"/>
  <c r="AD31" i="66"/>
  <c r="J31" i="66" s="1"/>
  <c r="AB31" i="66"/>
  <c r="Y31" i="66"/>
  <c r="X31" i="66"/>
  <c r="P31" i="66"/>
  <c r="O31" i="66"/>
  <c r="Q31" i="66" s="1"/>
  <c r="M31" i="66"/>
  <c r="H31" i="66"/>
  <c r="C31" i="66"/>
  <c r="AB30" i="66"/>
  <c r="AD30" i="66" s="1"/>
  <c r="J30" i="66" s="1"/>
  <c r="Y30" i="66"/>
  <c r="X30" i="66"/>
  <c r="P30" i="66"/>
  <c r="O30" i="66"/>
  <c r="Q30" i="66" s="1"/>
  <c r="M30" i="66"/>
  <c r="H30" i="66"/>
  <c r="C30" i="66"/>
  <c r="AB29" i="66"/>
  <c r="AD29" i="66" s="1"/>
  <c r="J29" i="66" s="1"/>
  <c r="Y29" i="66"/>
  <c r="X29" i="66"/>
  <c r="Q29" i="66"/>
  <c r="P29" i="66"/>
  <c r="O29" i="66"/>
  <c r="M29" i="66"/>
  <c r="H29" i="66"/>
  <c r="C29" i="66"/>
  <c r="AB28" i="66"/>
  <c r="AD28" i="66" s="1"/>
  <c r="J28" i="66" s="1"/>
  <c r="Y28" i="66"/>
  <c r="X28" i="66"/>
  <c r="P28" i="66"/>
  <c r="O28" i="66"/>
  <c r="Q28" i="66" s="1"/>
  <c r="M28" i="66"/>
  <c r="H28" i="66"/>
  <c r="C28" i="66"/>
  <c r="AB27" i="66"/>
  <c r="AD27" i="66" s="1"/>
  <c r="J27" i="66" s="1"/>
  <c r="K27" i="66" s="1"/>
  <c r="Y27" i="66"/>
  <c r="X27" i="66"/>
  <c r="P27" i="66"/>
  <c r="Q27" i="66" s="1"/>
  <c r="O27" i="66"/>
  <c r="M27" i="66"/>
  <c r="H27" i="66"/>
  <c r="C27" i="66"/>
  <c r="AD26" i="66"/>
  <c r="J26" i="66" s="1"/>
  <c r="AB26" i="66"/>
  <c r="Y26" i="66"/>
  <c r="X26" i="66"/>
  <c r="P26" i="66"/>
  <c r="Q26" i="66" s="1"/>
  <c r="O26" i="66"/>
  <c r="M26" i="66"/>
  <c r="H26" i="66"/>
  <c r="C26" i="66"/>
  <c r="AD25" i="66"/>
  <c r="J25" i="66" s="1"/>
  <c r="AB25" i="66"/>
  <c r="Y25" i="66"/>
  <c r="X25" i="66"/>
  <c r="P25" i="66"/>
  <c r="O25" i="66"/>
  <c r="Q25" i="66" s="1"/>
  <c r="M25" i="66"/>
  <c r="H25" i="66"/>
  <c r="C25" i="66"/>
  <c r="AD24" i="66"/>
  <c r="J24" i="66" s="1"/>
  <c r="AB24" i="66"/>
  <c r="Y24" i="66"/>
  <c r="X24" i="66"/>
  <c r="P24" i="66"/>
  <c r="O24" i="66"/>
  <c r="Q24" i="66" s="1"/>
  <c r="M24" i="66"/>
  <c r="H24" i="66"/>
  <c r="C24" i="66"/>
  <c r="AB23" i="66"/>
  <c r="AD23" i="66" s="1"/>
  <c r="J23" i="66" s="1"/>
  <c r="Y23" i="66"/>
  <c r="X23" i="66"/>
  <c r="P23" i="66"/>
  <c r="O23" i="66"/>
  <c r="Q23" i="66" s="1"/>
  <c r="M23" i="66"/>
  <c r="H23" i="66"/>
  <c r="C23" i="66"/>
  <c r="AB22" i="66"/>
  <c r="AD22" i="66" s="1"/>
  <c r="J22" i="66" s="1"/>
  <c r="Y22" i="66"/>
  <c r="X22" i="66"/>
  <c r="P22" i="66"/>
  <c r="O22" i="66"/>
  <c r="Q22" i="66" s="1"/>
  <c r="M22" i="66"/>
  <c r="H22" i="66"/>
  <c r="C22" i="66"/>
  <c r="AB21" i="66"/>
  <c r="AD21" i="66" s="1"/>
  <c r="J21" i="66" s="1"/>
  <c r="Y21" i="66"/>
  <c r="X21" i="66"/>
  <c r="Q21" i="66"/>
  <c r="P21" i="66"/>
  <c r="O21" i="66"/>
  <c r="M21" i="66"/>
  <c r="H21" i="66"/>
  <c r="C21" i="66"/>
  <c r="AB20" i="66"/>
  <c r="AD20" i="66" s="1"/>
  <c r="J20" i="66" s="1"/>
  <c r="Y20" i="66"/>
  <c r="X20" i="66"/>
  <c r="P20" i="66"/>
  <c r="O20" i="66"/>
  <c r="Q20" i="66" s="1"/>
  <c r="M20" i="66"/>
  <c r="H20" i="66"/>
  <c r="C20" i="66"/>
  <c r="AB19" i="66"/>
  <c r="AD19" i="66" s="1"/>
  <c r="J19" i="66" s="1"/>
  <c r="K19" i="66" s="1"/>
  <c r="Y19" i="66"/>
  <c r="X19" i="66"/>
  <c r="P19" i="66"/>
  <c r="Q19" i="66" s="1"/>
  <c r="O19" i="66"/>
  <c r="M19" i="66"/>
  <c r="H19" i="66"/>
  <c r="C19" i="66"/>
  <c r="AD18" i="66"/>
  <c r="J18" i="66" s="1"/>
  <c r="AB18" i="66"/>
  <c r="Y18" i="66"/>
  <c r="X18" i="66"/>
  <c r="P18" i="66"/>
  <c r="Q18" i="66" s="1"/>
  <c r="O18" i="66"/>
  <c r="M18" i="66"/>
  <c r="H18" i="66"/>
  <c r="C18" i="66"/>
  <c r="AD17" i="66"/>
  <c r="J17" i="66" s="1"/>
  <c r="I17" i="66" s="1"/>
  <c r="AB17" i="66"/>
  <c r="Y17" i="66"/>
  <c r="X17" i="66"/>
  <c r="P17" i="66"/>
  <c r="O17" i="66"/>
  <c r="Q17" i="66" s="1"/>
  <c r="M17" i="66"/>
  <c r="K17" i="66"/>
  <c r="H17" i="66"/>
  <c r="C17" i="66"/>
  <c r="AD16" i="66"/>
  <c r="J16" i="66" s="1"/>
  <c r="AB16" i="66"/>
  <c r="Y16" i="66"/>
  <c r="X16" i="66"/>
  <c r="P16" i="66"/>
  <c r="O16" i="66"/>
  <c r="Q16" i="66" s="1"/>
  <c r="M16" i="66"/>
  <c r="H16" i="66"/>
  <c r="C16" i="66"/>
  <c r="AB15" i="66"/>
  <c r="AD15" i="66" s="1"/>
  <c r="J15" i="66" s="1"/>
  <c r="Y15" i="66"/>
  <c r="X15" i="66"/>
  <c r="P15" i="66"/>
  <c r="O15" i="66"/>
  <c r="Q15" i="66" s="1"/>
  <c r="M15" i="66"/>
  <c r="H15" i="66"/>
  <c r="C15" i="66"/>
  <c r="AB14" i="66"/>
  <c r="AD14" i="66" s="1"/>
  <c r="Y14" i="66"/>
  <c r="X14" i="66"/>
  <c r="P14" i="66"/>
  <c r="O14" i="66"/>
  <c r="Q14" i="66" s="1"/>
  <c r="M14" i="66"/>
  <c r="J14" i="66"/>
  <c r="H14" i="66"/>
  <c r="C14" i="66"/>
  <c r="AB13" i="66"/>
  <c r="AD13" i="66" s="1"/>
  <c r="Y13" i="66"/>
  <c r="X13" i="66"/>
  <c r="Q13" i="66"/>
  <c r="P13" i="66"/>
  <c r="O13" i="66"/>
  <c r="M13" i="66"/>
  <c r="H13" i="66"/>
  <c r="C13" i="66"/>
  <c r="AG3" i="66"/>
  <c r="AF3" i="66"/>
  <c r="W3" i="66"/>
  <c r="V3" i="66"/>
  <c r="U3" i="66"/>
  <c r="T3" i="66"/>
  <c r="O3" i="66"/>
  <c r="G3" i="66"/>
  <c r="F3" i="66"/>
  <c r="H3" i="66" s="1"/>
  <c r="D3" i="66"/>
  <c r="C3" i="66"/>
  <c r="A2" i="66"/>
  <c r="A1" i="66"/>
  <c r="AB32" i="65"/>
  <c r="AD32" i="65" s="1"/>
  <c r="J32" i="65" s="1"/>
  <c r="I32" i="65" s="1"/>
  <c r="Y32" i="65"/>
  <c r="X32" i="65"/>
  <c r="V32" i="65"/>
  <c r="U32" i="65"/>
  <c r="T32" i="65"/>
  <c r="P32" i="65"/>
  <c r="O32" i="65"/>
  <c r="Q32" i="65" s="1"/>
  <c r="M32" i="65"/>
  <c r="K32" i="65"/>
  <c r="H32" i="65"/>
  <c r="C32" i="65"/>
  <c r="AD31" i="65"/>
  <c r="J31" i="65" s="1"/>
  <c r="AB31" i="65"/>
  <c r="Y31" i="65"/>
  <c r="X31" i="65"/>
  <c r="P31" i="65"/>
  <c r="O31" i="65"/>
  <c r="Q31" i="65" s="1"/>
  <c r="M31" i="65"/>
  <c r="H31" i="65"/>
  <c r="C31" i="65"/>
  <c r="AB30" i="65"/>
  <c r="AD30" i="65" s="1"/>
  <c r="J30" i="65" s="1"/>
  <c r="Y30" i="65"/>
  <c r="X30" i="65"/>
  <c r="P30" i="65"/>
  <c r="O30" i="65"/>
  <c r="Q30" i="65" s="1"/>
  <c r="M30" i="65"/>
  <c r="H30" i="65"/>
  <c r="C30" i="65"/>
  <c r="AB29" i="65"/>
  <c r="AD29" i="65" s="1"/>
  <c r="Y29" i="65"/>
  <c r="X29" i="65"/>
  <c r="P29" i="65"/>
  <c r="O29" i="65"/>
  <c r="Q29" i="65" s="1"/>
  <c r="M29" i="65"/>
  <c r="J29" i="65"/>
  <c r="H29" i="65"/>
  <c r="C29" i="65"/>
  <c r="AB28" i="65"/>
  <c r="AD28" i="65" s="1"/>
  <c r="J28" i="65" s="1"/>
  <c r="Y28" i="65"/>
  <c r="X28" i="65"/>
  <c r="Q28" i="65"/>
  <c r="P28" i="65"/>
  <c r="O28" i="65"/>
  <c r="M28" i="65"/>
  <c r="H28" i="65"/>
  <c r="C28" i="65"/>
  <c r="AB27" i="65"/>
  <c r="AD27" i="65" s="1"/>
  <c r="J27" i="65" s="1"/>
  <c r="Y27" i="65"/>
  <c r="X27" i="65"/>
  <c r="P27" i="65"/>
  <c r="O27" i="65"/>
  <c r="Q27" i="65" s="1"/>
  <c r="M27" i="65"/>
  <c r="H27" i="65"/>
  <c r="C27" i="65"/>
  <c r="AB26" i="65"/>
  <c r="AD26" i="65" s="1"/>
  <c r="J26" i="65" s="1"/>
  <c r="K26" i="65" s="1"/>
  <c r="Y26" i="65"/>
  <c r="X26" i="65"/>
  <c r="P26" i="65"/>
  <c r="Q26" i="65" s="1"/>
  <c r="O26" i="65"/>
  <c r="M26" i="65"/>
  <c r="I26" i="65"/>
  <c r="H26" i="65"/>
  <c r="C26" i="65"/>
  <c r="AD25" i="65"/>
  <c r="J25" i="65" s="1"/>
  <c r="AB25" i="65"/>
  <c r="Y25" i="65"/>
  <c r="X25" i="65"/>
  <c r="P25" i="65"/>
  <c r="Q25" i="65" s="1"/>
  <c r="O25" i="65"/>
  <c r="M25" i="65"/>
  <c r="H25" i="65"/>
  <c r="C25" i="65"/>
  <c r="AD24" i="65"/>
  <c r="J24" i="65" s="1"/>
  <c r="I24" i="65" s="1"/>
  <c r="AB24" i="65"/>
  <c r="Y24" i="65"/>
  <c r="X24" i="65"/>
  <c r="P24" i="65"/>
  <c r="O24" i="65"/>
  <c r="Q24" i="65" s="1"/>
  <c r="M24" i="65"/>
  <c r="H24" i="65"/>
  <c r="C24" i="65"/>
  <c r="AD23" i="65"/>
  <c r="J23" i="65" s="1"/>
  <c r="AB23" i="65"/>
  <c r="Y23" i="65"/>
  <c r="X23" i="65"/>
  <c r="P23" i="65"/>
  <c r="O23" i="65"/>
  <c r="Q23" i="65" s="1"/>
  <c r="M23" i="65"/>
  <c r="H23" i="65"/>
  <c r="C23" i="65"/>
  <c r="AB22" i="65"/>
  <c r="AD22" i="65" s="1"/>
  <c r="J22" i="65" s="1"/>
  <c r="Y22" i="65"/>
  <c r="X22" i="65"/>
  <c r="P22" i="65"/>
  <c r="O22" i="65"/>
  <c r="Q22" i="65" s="1"/>
  <c r="M22" i="65"/>
  <c r="H22" i="65"/>
  <c r="C22" i="65"/>
  <c r="AB21" i="65"/>
  <c r="AD21" i="65" s="1"/>
  <c r="J21" i="65" s="1"/>
  <c r="Y21" i="65"/>
  <c r="X21" i="65"/>
  <c r="P21" i="65"/>
  <c r="O21" i="65"/>
  <c r="Q21" i="65" s="1"/>
  <c r="M21" i="65"/>
  <c r="H21" i="65"/>
  <c r="C21" i="65"/>
  <c r="AB20" i="65"/>
  <c r="AD20" i="65" s="1"/>
  <c r="J20" i="65" s="1"/>
  <c r="Y20" i="65"/>
  <c r="X20" i="65"/>
  <c r="Q20" i="65"/>
  <c r="P20" i="65"/>
  <c r="O20" i="65"/>
  <c r="M20" i="65"/>
  <c r="H20" i="65"/>
  <c r="C20" i="65"/>
  <c r="AB19" i="65"/>
  <c r="AD19" i="65" s="1"/>
  <c r="J19" i="65" s="1"/>
  <c r="Y19" i="65"/>
  <c r="X19" i="65"/>
  <c r="P19" i="65"/>
  <c r="O19" i="65"/>
  <c r="Q19" i="65" s="1"/>
  <c r="M19" i="65"/>
  <c r="H19" i="65"/>
  <c r="C19" i="65"/>
  <c r="AB18" i="65"/>
  <c r="AD18" i="65" s="1"/>
  <c r="J18" i="65" s="1"/>
  <c r="Y18" i="65"/>
  <c r="X18" i="65"/>
  <c r="P18" i="65"/>
  <c r="Q18" i="65" s="1"/>
  <c r="O18" i="65"/>
  <c r="M18" i="65"/>
  <c r="H18" i="65"/>
  <c r="C18" i="65"/>
  <c r="AD17" i="65"/>
  <c r="J17" i="65" s="1"/>
  <c r="AB17" i="65"/>
  <c r="Y17" i="65"/>
  <c r="X17" i="65"/>
  <c r="P17" i="65"/>
  <c r="Q17" i="65" s="1"/>
  <c r="O17" i="65"/>
  <c r="M17" i="65"/>
  <c r="H17" i="65"/>
  <c r="C17" i="65"/>
  <c r="AD16" i="65"/>
  <c r="J16" i="65" s="1"/>
  <c r="I16" i="65" s="1"/>
  <c r="AB16" i="65"/>
  <c r="Y16" i="65"/>
  <c r="X16" i="65"/>
  <c r="P16" i="65"/>
  <c r="O16" i="65"/>
  <c r="Q16" i="65" s="1"/>
  <c r="M16" i="65"/>
  <c r="H16" i="65"/>
  <c r="C16" i="65"/>
  <c r="AD15" i="65"/>
  <c r="J15" i="65" s="1"/>
  <c r="AB15" i="65"/>
  <c r="Y15" i="65"/>
  <c r="X15" i="65"/>
  <c r="P15" i="65"/>
  <c r="O15" i="65"/>
  <c r="Q15" i="65" s="1"/>
  <c r="M15" i="65"/>
  <c r="H15" i="65"/>
  <c r="C15" i="65"/>
  <c r="AB14" i="65"/>
  <c r="AD14" i="65" s="1"/>
  <c r="J14" i="65" s="1"/>
  <c r="Y14" i="65"/>
  <c r="X14" i="65"/>
  <c r="P14" i="65"/>
  <c r="O14" i="65"/>
  <c r="Q14" i="65" s="1"/>
  <c r="M14" i="65"/>
  <c r="H14" i="65"/>
  <c r="C14" i="65"/>
  <c r="AB13" i="65"/>
  <c r="AD13" i="65" s="1"/>
  <c r="J13" i="65" s="1"/>
  <c r="Y13" i="65"/>
  <c r="X13" i="65"/>
  <c r="P13" i="65"/>
  <c r="O13" i="65"/>
  <c r="Q13" i="65" s="1"/>
  <c r="M13" i="65"/>
  <c r="H13" i="65"/>
  <c r="C13" i="65"/>
  <c r="AB12" i="65"/>
  <c r="AD12" i="65" s="1"/>
  <c r="J12" i="65" s="1"/>
  <c r="Y12" i="65"/>
  <c r="X12" i="65"/>
  <c r="Q12" i="65"/>
  <c r="P12" i="65"/>
  <c r="O12" i="65"/>
  <c r="M12" i="65"/>
  <c r="H12" i="65"/>
  <c r="C12" i="65"/>
  <c r="AB11" i="65"/>
  <c r="AD11" i="65" s="1"/>
  <c r="J11" i="65" s="1"/>
  <c r="Y11" i="65"/>
  <c r="X11" i="65"/>
  <c r="P11" i="65"/>
  <c r="O11" i="65"/>
  <c r="Q11" i="65" s="1"/>
  <c r="M11" i="65"/>
  <c r="H11" i="65"/>
  <c r="C11" i="65"/>
  <c r="AB10" i="65"/>
  <c r="AD10" i="65" s="1"/>
  <c r="J10" i="65" s="1"/>
  <c r="K10" i="65" s="1"/>
  <c r="Y10" i="65"/>
  <c r="X10" i="65"/>
  <c r="P10" i="65"/>
  <c r="Q10" i="65" s="1"/>
  <c r="O10" i="65"/>
  <c r="M10" i="65"/>
  <c r="I10" i="65"/>
  <c r="H10" i="65"/>
  <c r="C10" i="65"/>
  <c r="AD9" i="65"/>
  <c r="J9" i="65" s="1"/>
  <c r="AB9" i="65"/>
  <c r="Y9" i="65"/>
  <c r="X9" i="65"/>
  <c r="P9" i="65"/>
  <c r="Q9" i="65" s="1"/>
  <c r="O9" i="65"/>
  <c r="M9" i="65"/>
  <c r="H9" i="65"/>
  <c r="C9" i="65"/>
  <c r="AD8" i="65"/>
  <c r="J8" i="65" s="1"/>
  <c r="I8" i="65" s="1"/>
  <c r="AB8" i="65"/>
  <c r="Y8" i="65"/>
  <c r="X8" i="65"/>
  <c r="P8" i="65"/>
  <c r="O8" i="65"/>
  <c r="Q8" i="65" s="1"/>
  <c r="M8" i="65"/>
  <c r="K8" i="65"/>
  <c r="H8" i="65"/>
  <c r="C8" i="65"/>
  <c r="AD7" i="65"/>
  <c r="J7" i="65" s="1"/>
  <c r="AB7" i="65"/>
  <c r="Y7" i="65"/>
  <c r="X7" i="65"/>
  <c r="P7" i="65"/>
  <c r="O7" i="65"/>
  <c r="Q7" i="65" s="1"/>
  <c r="M7" i="65"/>
  <c r="H7" i="65"/>
  <c r="C7" i="65"/>
  <c r="AB6" i="65"/>
  <c r="AD6" i="65" s="1"/>
  <c r="J6" i="65" s="1"/>
  <c r="Y6" i="65"/>
  <c r="X6" i="65"/>
  <c r="P6" i="65"/>
  <c r="O6" i="65"/>
  <c r="Q6" i="65" s="1"/>
  <c r="M6" i="65"/>
  <c r="H6" i="65"/>
  <c r="C6" i="65"/>
  <c r="AB5" i="65"/>
  <c r="AD5" i="65" s="1"/>
  <c r="J5" i="65" s="1"/>
  <c r="Y5" i="65"/>
  <c r="X5" i="65"/>
  <c r="P5" i="65"/>
  <c r="O5" i="65"/>
  <c r="Q5" i="65" s="1"/>
  <c r="M5" i="65"/>
  <c r="H5" i="65"/>
  <c r="C5" i="65"/>
  <c r="AB4" i="65"/>
  <c r="AD4" i="65" s="1"/>
  <c r="Y4" i="65"/>
  <c r="X4" i="65"/>
  <c r="Q4" i="65"/>
  <c r="P4" i="65"/>
  <c r="O4" i="65"/>
  <c r="M4" i="65"/>
  <c r="H4" i="65"/>
  <c r="C4" i="65"/>
  <c r="AG3" i="65"/>
  <c r="AF3" i="65"/>
  <c r="W3" i="65"/>
  <c r="X3" i="65" s="1"/>
  <c r="V3" i="65"/>
  <c r="U3" i="65"/>
  <c r="T3" i="65"/>
  <c r="O3" i="65"/>
  <c r="G3" i="65"/>
  <c r="F3" i="65"/>
  <c r="H3" i="65" s="1"/>
  <c r="D3" i="65"/>
  <c r="C3" i="65"/>
  <c r="A2" i="65"/>
  <c r="A1" i="65"/>
  <c r="AB32" i="64"/>
  <c r="AD32" i="64" s="1"/>
  <c r="J32" i="64" s="1"/>
  <c r="I32" i="64" s="1"/>
  <c r="Y32" i="64"/>
  <c r="X32" i="64"/>
  <c r="V32" i="64"/>
  <c r="U32" i="64"/>
  <c r="T32" i="64"/>
  <c r="P32" i="64"/>
  <c r="O32" i="64"/>
  <c r="Q32" i="64" s="1"/>
  <c r="M32" i="64"/>
  <c r="K32" i="64"/>
  <c r="H32" i="64"/>
  <c r="C32" i="64"/>
  <c r="AD31" i="64"/>
  <c r="J31" i="64" s="1"/>
  <c r="AB31" i="64"/>
  <c r="Y31" i="64"/>
  <c r="X31" i="64"/>
  <c r="P31" i="64"/>
  <c r="O31" i="64"/>
  <c r="Q31" i="64" s="1"/>
  <c r="M31" i="64"/>
  <c r="H31" i="64"/>
  <c r="C31" i="64"/>
  <c r="AB30" i="64"/>
  <c r="AD30" i="64" s="1"/>
  <c r="J30" i="64" s="1"/>
  <c r="Y30" i="64"/>
  <c r="X30" i="64"/>
  <c r="P30" i="64"/>
  <c r="O30" i="64"/>
  <c r="Q30" i="64" s="1"/>
  <c r="M30" i="64"/>
  <c r="H30" i="64"/>
  <c r="C30" i="64"/>
  <c r="AB29" i="64"/>
  <c r="AD29" i="64" s="1"/>
  <c r="Y29" i="64"/>
  <c r="X29" i="64"/>
  <c r="P29" i="64"/>
  <c r="O29" i="64"/>
  <c r="Q29" i="64" s="1"/>
  <c r="M29" i="64"/>
  <c r="J29" i="64"/>
  <c r="H29" i="64"/>
  <c r="C29" i="64"/>
  <c r="AB28" i="64"/>
  <c r="AD28" i="64" s="1"/>
  <c r="J28" i="64" s="1"/>
  <c r="Y28" i="64"/>
  <c r="X28" i="64"/>
  <c r="Q28" i="64"/>
  <c r="P28" i="64"/>
  <c r="O28" i="64"/>
  <c r="M28" i="64"/>
  <c r="H28" i="64"/>
  <c r="C28" i="64"/>
  <c r="AB27" i="64"/>
  <c r="AD27" i="64" s="1"/>
  <c r="J27" i="64" s="1"/>
  <c r="Y27" i="64"/>
  <c r="X27" i="64"/>
  <c r="P27" i="64"/>
  <c r="O27" i="64"/>
  <c r="Q27" i="64" s="1"/>
  <c r="M27" i="64"/>
  <c r="H27" i="64"/>
  <c r="C27" i="64"/>
  <c r="AB26" i="64"/>
  <c r="AD26" i="64" s="1"/>
  <c r="J26" i="64" s="1"/>
  <c r="K26" i="64" s="1"/>
  <c r="Y26" i="64"/>
  <c r="X26" i="64"/>
  <c r="P26" i="64"/>
  <c r="Q26" i="64" s="1"/>
  <c r="O26" i="64"/>
  <c r="M26" i="64"/>
  <c r="H26" i="64"/>
  <c r="C26" i="64"/>
  <c r="AD25" i="64"/>
  <c r="J25" i="64" s="1"/>
  <c r="AB25" i="64"/>
  <c r="Y25" i="64"/>
  <c r="X25" i="64"/>
  <c r="P25" i="64"/>
  <c r="Q25" i="64" s="1"/>
  <c r="O25" i="64"/>
  <c r="M25" i="64"/>
  <c r="H25" i="64"/>
  <c r="C25" i="64"/>
  <c r="AD24" i="64"/>
  <c r="J24" i="64" s="1"/>
  <c r="I24" i="64" s="1"/>
  <c r="AB24" i="64"/>
  <c r="Y24" i="64"/>
  <c r="X24" i="64"/>
  <c r="P24" i="64"/>
  <c r="O24" i="64"/>
  <c r="Q24" i="64" s="1"/>
  <c r="M24" i="64"/>
  <c r="H24" i="64"/>
  <c r="C24" i="64"/>
  <c r="AD23" i="64"/>
  <c r="J23" i="64" s="1"/>
  <c r="AB23" i="64"/>
  <c r="Y23" i="64"/>
  <c r="X23" i="64"/>
  <c r="P23" i="64"/>
  <c r="O23" i="64"/>
  <c r="Q23" i="64" s="1"/>
  <c r="M23" i="64"/>
  <c r="H23" i="64"/>
  <c r="C23" i="64"/>
  <c r="AB22" i="64"/>
  <c r="AD22" i="64" s="1"/>
  <c r="J22" i="64" s="1"/>
  <c r="Y22" i="64"/>
  <c r="X22" i="64"/>
  <c r="P22" i="64"/>
  <c r="O22" i="64"/>
  <c r="Q22" i="64" s="1"/>
  <c r="M22" i="64"/>
  <c r="H22" i="64"/>
  <c r="C22" i="64"/>
  <c r="AB21" i="64"/>
  <c r="AD21" i="64" s="1"/>
  <c r="J21" i="64" s="1"/>
  <c r="Y21" i="64"/>
  <c r="X21" i="64"/>
  <c r="P21" i="64"/>
  <c r="O21" i="64"/>
  <c r="Q21" i="64" s="1"/>
  <c r="M21" i="64"/>
  <c r="H21" i="64"/>
  <c r="C21" i="64"/>
  <c r="AB20" i="64"/>
  <c r="AD20" i="64" s="1"/>
  <c r="J20" i="64" s="1"/>
  <c r="Y20" i="64"/>
  <c r="X20" i="64"/>
  <c r="Q20" i="64"/>
  <c r="P20" i="64"/>
  <c r="O20" i="64"/>
  <c r="M20" i="64"/>
  <c r="H20" i="64"/>
  <c r="C20" i="64"/>
  <c r="AB19" i="64"/>
  <c r="AD19" i="64" s="1"/>
  <c r="J19" i="64" s="1"/>
  <c r="Y19" i="64"/>
  <c r="X19" i="64"/>
  <c r="P19" i="64"/>
  <c r="O19" i="64"/>
  <c r="Q19" i="64" s="1"/>
  <c r="M19" i="64"/>
  <c r="H19" i="64"/>
  <c r="C19" i="64"/>
  <c r="AB18" i="64"/>
  <c r="AD18" i="64" s="1"/>
  <c r="J18" i="64" s="1"/>
  <c r="K18" i="64" s="1"/>
  <c r="Y18" i="64"/>
  <c r="X18" i="64"/>
  <c r="P18" i="64"/>
  <c r="Q18" i="64" s="1"/>
  <c r="O18" i="64"/>
  <c r="M18" i="64"/>
  <c r="I18" i="64"/>
  <c r="H18" i="64"/>
  <c r="C18" i="64"/>
  <c r="AD17" i="64"/>
  <c r="J17" i="64" s="1"/>
  <c r="AB17" i="64"/>
  <c r="Y17" i="64"/>
  <c r="X17" i="64"/>
  <c r="P17" i="64"/>
  <c r="Q17" i="64" s="1"/>
  <c r="O17" i="64"/>
  <c r="M17" i="64"/>
  <c r="H17" i="64"/>
  <c r="C17" i="64"/>
  <c r="AD16" i="64"/>
  <c r="J16" i="64" s="1"/>
  <c r="I16" i="64" s="1"/>
  <c r="AB16" i="64"/>
  <c r="Y16" i="64"/>
  <c r="X16" i="64"/>
  <c r="P16" i="64"/>
  <c r="O16" i="64"/>
  <c r="Q16" i="64" s="1"/>
  <c r="M16" i="64"/>
  <c r="H16" i="64"/>
  <c r="C16" i="64"/>
  <c r="AD15" i="64"/>
  <c r="J15" i="64" s="1"/>
  <c r="K15" i="64" s="1"/>
  <c r="AB15" i="64"/>
  <c r="Y15" i="64"/>
  <c r="X15" i="64"/>
  <c r="P15" i="64"/>
  <c r="O15" i="64"/>
  <c r="Q15" i="64" s="1"/>
  <c r="M15" i="64"/>
  <c r="I15" i="64"/>
  <c r="H15" i="64"/>
  <c r="C15" i="64"/>
  <c r="AB14" i="64"/>
  <c r="AD14" i="64" s="1"/>
  <c r="J14" i="64" s="1"/>
  <c r="Y14" i="64"/>
  <c r="X14" i="64"/>
  <c r="P14" i="64"/>
  <c r="O14" i="64"/>
  <c r="Q14" i="64" s="1"/>
  <c r="M14" i="64"/>
  <c r="H14" i="64"/>
  <c r="C14" i="64"/>
  <c r="AD13" i="64"/>
  <c r="J13" i="64" s="1"/>
  <c r="AB13" i="64"/>
  <c r="Y13" i="64"/>
  <c r="X13" i="64"/>
  <c r="P13" i="64"/>
  <c r="O13" i="64"/>
  <c r="Q13" i="64" s="1"/>
  <c r="M13" i="64"/>
  <c r="H13" i="64"/>
  <c r="C13" i="64"/>
  <c r="AB12" i="64"/>
  <c r="AD12" i="64" s="1"/>
  <c r="J12" i="64" s="1"/>
  <c r="Y12" i="64"/>
  <c r="X12" i="64"/>
  <c r="Q12" i="64"/>
  <c r="P12" i="64"/>
  <c r="O12" i="64"/>
  <c r="M12" i="64"/>
  <c r="H12" i="64"/>
  <c r="C12" i="64"/>
  <c r="AB11" i="64"/>
  <c r="AD11" i="64" s="1"/>
  <c r="J11" i="64" s="1"/>
  <c r="Y11" i="64"/>
  <c r="X11" i="64"/>
  <c r="P11" i="64"/>
  <c r="O11" i="64"/>
  <c r="Q11" i="64" s="1"/>
  <c r="M11" i="64"/>
  <c r="H11" i="64"/>
  <c r="C11" i="64"/>
  <c r="AB10" i="64"/>
  <c r="AD10" i="64" s="1"/>
  <c r="J10" i="64" s="1"/>
  <c r="Y10" i="64"/>
  <c r="X10" i="64"/>
  <c r="P10" i="64"/>
  <c r="Q10" i="64" s="1"/>
  <c r="O10" i="64"/>
  <c r="M10" i="64"/>
  <c r="H10" i="64"/>
  <c r="C10" i="64"/>
  <c r="AD9" i="64"/>
  <c r="J9" i="64" s="1"/>
  <c r="AB9" i="64"/>
  <c r="Y9" i="64"/>
  <c r="X9" i="64"/>
  <c r="P9" i="64"/>
  <c r="Q9" i="64" s="1"/>
  <c r="O9" i="64"/>
  <c r="M9" i="64"/>
  <c r="H9" i="64"/>
  <c r="C9" i="64"/>
  <c r="AD8" i="64"/>
  <c r="J8" i="64" s="1"/>
  <c r="AB8" i="64"/>
  <c r="Y8" i="64"/>
  <c r="X8" i="64"/>
  <c r="P8" i="64"/>
  <c r="O8" i="64"/>
  <c r="Q8" i="64" s="1"/>
  <c r="M8" i="64"/>
  <c r="H8" i="64"/>
  <c r="C8" i="64"/>
  <c r="AD7" i="64"/>
  <c r="J7" i="64" s="1"/>
  <c r="K7" i="64" s="1"/>
  <c r="AB7" i="64"/>
  <c r="Y7" i="64"/>
  <c r="X7" i="64"/>
  <c r="P7" i="64"/>
  <c r="O7" i="64"/>
  <c r="Q7" i="64" s="1"/>
  <c r="M7" i="64"/>
  <c r="H7" i="64"/>
  <c r="C7" i="64"/>
  <c r="AB6" i="64"/>
  <c r="AD6" i="64" s="1"/>
  <c r="J6" i="64" s="1"/>
  <c r="Y6" i="64"/>
  <c r="X6" i="64"/>
  <c r="P6" i="64"/>
  <c r="O6" i="64"/>
  <c r="Q6" i="64" s="1"/>
  <c r="M6" i="64"/>
  <c r="H6" i="64"/>
  <c r="C6" i="64"/>
  <c r="AB5" i="64"/>
  <c r="AD5" i="64" s="1"/>
  <c r="J5" i="64" s="1"/>
  <c r="Y5" i="64"/>
  <c r="X5" i="64"/>
  <c r="P5" i="64"/>
  <c r="O5" i="64"/>
  <c r="Q5" i="64" s="1"/>
  <c r="M5" i="64"/>
  <c r="H5" i="64"/>
  <c r="C5" i="64"/>
  <c r="AB4" i="64"/>
  <c r="AD4" i="64" s="1"/>
  <c r="Y4" i="64"/>
  <c r="X4" i="64"/>
  <c r="Q4" i="64"/>
  <c r="P4" i="64"/>
  <c r="O4" i="64"/>
  <c r="M4" i="64"/>
  <c r="H4" i="64"/>
  <c r="C4" i="64"/>
  <c r="AG3" i="64"/>
  <c r="AF3" i="64"/>
  <c r="W3" i="64"/>
  <c r="V3" i="64"/>
  <c r="U3" i="64"/>
  <c r="T3" i="64"/>
  <c r="O3" i="64"/>
  <c r="G3" i="64"/>
  <c r="F3" i="64"/>
  <c r="H3" i="64" s="1"/>
  <c r="D3" i="64"/>
  <c r="C3" i="64"/>
  <c r="A2" i="64"/>
  <c r="A1" i="64"/>
  <c r="AB32" i="63"/>
  <c r="AD32" i="63" s="1"/>
  <c r="J32" i="63" s="1"/>
  <c r="I32" i="63" s="1"/>
  <c r="Y32" i="63"/>
  <c r="X32" i="63"/>
  <c r="V32" i="63"/>
  <c r="U32" i="63"/>
  <c r="T32" i="63"/>
  <c r="P32" i="63"/>
  <c r="O32" i="63"/>
  <c r="Q32" i="63" s="1"/>
  <c r="M32" i="63"/>
  <c r="H32" i="63"/>
  <c r="C32" i="63"/>
  <c r="AD31" i="63"/>
  <c r="J31" i="63" s="1"/>
  <c r="K31" i="63" s="1"/>
  <c r="AB31" i="63"/>
  <c r="Y31" i="63"/>
  <c r="X31" i="63"/>
  <c r="P31" i="63"/>
  <c r="O31" i="63"/>
  <c r="Q31" i="63" s="1"/>
  <c r="M31" i="63"/>
  <c r="I31" i="63"/>
  <c r="H31" i="63"/>
  <c r="C31" i="63"/>
  <c r="AB30" i="63"/>
  <c r="AD30" i="63" s="1"/>
  <c r="J30" i="63" s="1"/>
  <c r="Y30" i="63"/>
  <c r="X30" i="63"/>
  <c r="P30" i="63"/>
  <c r="O30" i="63"/>
  <c r="Q30" i="63" s="1"/>
  <c r="M30" i="63"/>
  <c r="H30" i="63"/>
  <c r="C30" i="63"/>
  <c r="AB29" i="63"/>
  <c r="AD29" i="63" s="1"/>
  <c r="J29" i="63" s="1"/>
  <c r="Y29" i="63"/>
  <c r="X29" i="63"/>
  <c r="P29" i="63"/>
  <c r="O29" i="63"/>
  <c r="Q29" i="63" s="1"/>
  <c r="M29" i="63"/>
  <c r="H29" i="63"/>
  <c r="C29" i="63"/>
  <c r="AB28" i="63"/>
  <c r="AD28" i="63" s="1"/>
  <c r="Y28" i="63"/>
  <c r="X28" i="63"/>
  <c r="Q28" i="63"/>
  <c r="P28" i="63"/>
  <c r="O28" i="63"/>
  <c r="M28" i="63"/>
  <c r="J28" i="63"/>
  <c r="H28" i="63"/>
  <c r="C28" i="63"/>
  <c r="AB27" i="63"/>
  <c r="AD27" i="63" s="1"/>
  <c r="J27" i="63" s="1"/>
  <c r="Y27" i="63"/>
  <c r="X27" i="63"/>
  <c r="P27" i="63"/>
  <c r="O27" i="63"/>
  <c r="Q27" i="63" s="1"/>
  <c r="M27" i="63"/>
  <c r="H27" i="63"/>
  <c r="C27" i="63"/>
  <c r="AB26" i="63"/>
  <c r="AD26" i="63" s="1"/>
  <c r="Y26" i="63"/>
  <c r="X26" i="63"/>
  <c r="P26" i="63"/>
  <c r="Q26" i="63" s="1"/>
  <c r="O26" i="63"/>
  <c r="M26" i="63"/>
  <c r="J26" i="63"/>
  <c r="H26" i="63"/>
  <c r="C26" i="63"/>
  <c r="AD25" i="63"/>
  <c r="J25" i="63" s="1"/>
  <c r="K25" i="63" s="1"/>
  <c r="AB25" i="63"/>
  <c r="Y25" i="63"/>
  <c r="X25" i="63"/>
  <c r="Q25" i="63"/>
  <c r="P25" i="63"/>
  <c r="O25" i="63"/>
  <c r="M25" i="63"/>
  <c r="I25" i="63"/>
  <c r="H25" i="63"/>
  <c r="C25" i="63"/>
  <c r="AD24" i="63"/>
  <c r="J24" i="63" s="1"/>
  <c r="I24" i="63" s="1"/>
  <c r="AB24" i="63"/>
  <c r="Y24" i="63"/>
  <c r="X24" i="63"/>
  <c r="P24" i="63"/>
  <c r="O24" i="63"/>
  <c r="Q24" i="63" s="1"/>
  <c r="M24" i="63"/>
  <c r="K24" i="63"/>
  <c r="H24" i="63"/>
  <c r="C24" i="63"/>
  <c r="AD23" i="63"/>
  <c r="J23" i="63" s="1"/>
  <c r="AB23" i="63"/>
  <c r="Y23" i="63"/>
  <c r="X23" i="63"/>
  <c r="P23" i="63"/>
  <c r="O23" i="63"/>
  <c r="Q23" i="63" s="1"/>
  <c r="M23" i="63"/>
  <c r="K23" i="63"/>
  <c r="I23" i="63"/>
  <c r="H23" i="63"/>
  <c r="C23" i="63"/>
  <c r="AB22" i="63"/>
  <c r="AD22" i="63" s="1"/>
  <c r="J22" i="63" s="1"/>
  <c r="Y22" i="63"/>
  <c r="X22" i="63"/>
  <c r="P22" i="63"/>
  <c r="O22" i="63"/>
  <c r="Q22" i="63" s="1"/>
  <c r="M22" i="63"/>
  <c r="H22" i="63"/>
  <c r="C22" i="63"/>
  <c r="AD21" i="63"/>
  <c r="AB21" i="63"/>
  <c r="Y21" i="63"/>
  <c r="X21" i="63"/>
  <c r="P21" i="63"/>
  <c r="O21" i="63"/>
  <c r="Q21" i="63" s="1"/>
  <c r="M21" i="63"/>
  <c r="J21" i="63"/>
  <c r="I21" i="63" s="1"/>
  <c r="H21" i="63"/>
  <c r="C21" i="63"/>
  <c r="AB20" i="63"/>
  <c r="AD20" i="63" s="1"/>
  <c r="J20" i="63" s="1"/>
  <c r="K20" i="63" s="1"/>
  <c r="Y20" i="63"/>
  <c r="X20" i="63"/>
  <c r="Q20" i="63"/>
  <c r="P20" i="63"/>
  <c r="O20" i="63"/>
  <c r="M20" i="63"/>
  <c r="H20" i="63"/>
  <c r="C20" i="63"/>
  <c r="AB19" i="63"/>
  <c r="AD19" i="63" s="1"/>
  <c r="J19" i="63" s="1"/>
  <c r="K19" i="63" s="1"/>
  <c r="Y19" i="63"/>
  <c r="X19" i="63"/>
  <c r="P19" i="63"/>
  <c r="O19" i="63"/>
  <c r="Q19" i="63" s="1"/>
  <c r="M19" i="63"/>
  <c r="I19" i="63"/>
  <c r="H19" i="63"/>
  <c r="C19" i="63"/>
  <c r="AD18" i="63"/>
  <c r="AB18" i="63"/>
  <c r="Y18" i="63"/>
  <c r="X18" i="63"/>
  <c r="P18" i="63"/>
  <c r="Q18" i="63" s="1"/>
  <c r="O18" i="63"/>
  <c r="M18" i="63"/>
  <c r="J18" i="63"/>
  <c r="K18" i="63" s="1"/>
  <c r="H18" i="63"/>
  <c r="C18" i="63"/>
  <c r="AD17" i="63"/>
  <c r="J17" i="63" s="1"/>
  <c r="I17" i="63" s="1"/>
  <c r="AB17" i="63"/>
  <c r="Y17" i="63"/>
  <c r="X17" i="63"/>
  <c r="Q17" i="63"/>
  <c r="P17" i="63"/>
  <c r="O17" i="63"/>
  <c r="M17" i="63"/>
  <c r="K17" i="63"/>
  <c r="H17" i="63"/>
  <c r="C17" i="63"/>
  <c r="AD16" i="63"/>
  <c r="J16" i="63" s="1"/>
  <c r="K16" i="63" s="1"/>
  <c r="AB16" i="63"/>
  <c r="Y16" i="63"/>
  <c r="X16" i="63"/>
  <c r="P16" i="63"/>
  <c r="O16" i="63"/>
  <c r="M16" i="63"/>
  <c r="I16" i="63"/>
  <c r="H16" i="63"/>
  <c r="C16" i="63"/>
  <c r="AD15" i="63"/>
  <c r="J15" i="63" s="1"/>
  <c r="AB15" i="63"/>
  <c r="Y15" i="63"/>
  <c r="X15" i="63"/>
  <c r="P15" i="63"/>
  <c r="O15" i="63"/>
  <c r="Q15" i="63" s="1"/>
  <c r="M15" i="63"/>
  <c r="H15" i="63"/>
  <c r="C15" i="63"/>
  <c r="AB14" i="63"/>
  <c r="AD14" i="63" s="1"/>
  <c r="J14" i="63" s="1"/>
  <c r="Y14" i="63"/>
  <c r="X14" i="63"/>
  <c r="Q14" i="63"/>
  <c r="P14" i="63"/>
  <c r="O14" i="63"/>
  <c r="M14" i="63"/>
  <c r="H14" i="63"/>
  <c r="C14" i="63"/>
  <c r="AD13" i="63"/>
  <c r="J13" i="63" s="1"/>
  <c r="I13" i="63" s="1"/>
  <c r="AB13" i="63"/>
  <c r="Y13" i="63"/>
  <c r="X13" i="63"/>
  <c r="P13" i="63"/>
  <c r="O13" i="63"/>
  <c r="Q13" i="63" s="1"/>
  <c r="M13" i="63"/>
  <c r="H13" i="63"/>
  <c r="C13" i="63"/>
  <c r="AB12" i="63"/>
  <c r="AD12" i="63" s="1"/>
  <c r="J12" i="63" s="1"/>
  <c r="Y12" i="63"/>
  <c r="X12" i="63"/>
  <c r="P12" i="63"/>
  <c r="O12" i="63"/>
  <c r="Q12" i="63" s="1"/>
  <c r="M12" i="63"/>
  <c r="H12" i="63"/>
  <c r="C12" i="63"/>
  <c r="AB11" i="63"/>
  <c r="AD11" i="63" s="1"/>
  <c r="Y11" i="63"/>
  <c r="X11" i="63"/>
  <c r="P11" i="63"/>
  <c r="O11" i="63"/>
  <c r="Q11" i="63" s="1"/>
  <c r="M11" i="63"/>
  <c r="J11" i="63"/>
  <c r="K11" i="63" s="1"/>
  <c r="H11" i="63"/>
  <c r="C11" i="63"/>
  <c r="AB10" i="63"/>
  <c r="AD10" i="63" s="1"/>
  <c r="J10" i="63" s="1"/>
  <c r="Y10" i="63"/>
  <c r="X10" i="63"/>
  <c r="Q10" i="63"/>
  <c r="P10" i="63"/>
  <c r="O10" i="63"/>
  <c r="M10" i="63"/>
  <c r="H10" i="63"/>
  <c r="C10" i="63"/>
  <c r="AD9" i="63"/>
  <c r="J9" i="63" s="1"/>
  <c r="AB9" i="63"/>
  <c r="Y9" i="63"/>
  <c r="X9" i="63"/>
  <c r="P9" i="63"/>
  <c r="Q9" i="63" s="1"/>
  <c r="O9" i="63"/>
  <c r="M9" i="63"/>
  <c r="K9" i="63"/>
  <c r="I9" i="63"/>
  <c r="H9" i="63"/>
  <c r="C9" i="63"/>
  <c r="AD8" i="63"/>
  <c r="J8" i="63" s="1"/>
  <c r="K8" i="63" s="1"/>
  <c r="AB8" i="63"/>
  <c r="Y8" i="63"/>
  <c r="X8" i="63"/>
  <c r="P8" i="63"/>
  <c r="O8" i="63"/>
  <c r="Q8" i="63" s="1"/>
  <c r="M8" i="63"/>
  <c r="I8" i="63"/>
  <c r="H8" i="63"/>
  <c r="C8" i="63"/>
  <c r="AD7" i="63"/>
  <c r="AB7" i="63"/>
  <c r="Y7" i="63"/>
  <c r="X7" i="63"/>
  <c r="P7" i="63"/>
  <c r="O7" i="63"/>
  <c r="Q7" i="63" s="1"/>
  <c r="M7" i="63"/>
  <c r="K7" i="63"/>
  <c r="J7" i="63"/>
  <c r="I7" i="63" s="1"/>
  <c r="H7" i="63"/>
  <c r="C7" i="63"/>
  <c r="AB6" i="63"/>
  <c r="AD6" i="63" s="1"/>
  <c r="J6" i="63" s="1"/>
  <c r="Y6" i="63"/>
  <c r="X6" i="63"/>
  <c r="P6" i="63"/>
  <c r="O6" i="63"/>
  <c r="Q6" i="63" s="1"/>
  <c r="M6" i="63"/>
  <c r="H6" i="63"/>
  <c r="C6" i="63"/>
  <c r="AD5" i="63"/>
  <c r="J5" i="63" s="1"/>
  <c r="AB5" i="63"/>
  <c r="Y5" i="63"/>
  <c r="X5" i="63"/>
  <c r="P5" i="63"/>
  <c r="O5" i="63"/>
  <c r="Q5" i="63" s="1"/>
  <c r="M5" i="63"/>
  <c r="H5" i="63"/>
  <c r="C5" i="63"/>
  <c r="AB4" i="63"/>
  <c r="AD4" i="63" s="1"/>
  <c r="Y4" i="63"/>
  <c r="X4" i="63"/>
  <c r="Q4" i="63"/>
  <c r="P4" i="63"/>
  <c r="O4" i="63"/>
  <c r="M4" i="63"/>
  <c r="J4" i="63"/>
  <c r="K4" i="63" s="1"/>
  <c r="H4" i="63"/>
  <c r="C4" i="63"/>
  <c r="AG3" i="63"/>
  <c r="AF3" i="63"/>
  <c r="W3" i="63"/>
  <c r="X3" i="63" s="1"/>
  <c r="V3" i="63"/>
  <c r="U3" i="63"/>
  <c r="T3" i="63"/>
  <c r="O3" i="63"/>
  <c r="G3" i="63"/>
  <c r="H3" i="63" s="1"/>
  <c r="F3" i="63"/>
  <c r="D3" i="63"/>
  <c r="C3" i="63"/>
  <c r="A2" i="63"/>
  <c r="A1" i="63"/>
  <c r="AB32" i="62"/>
  <c r="AD32" i="62" s="1"/>
  <c r="J32" i="62" s="1"/>
  <c r="I32" i="62" s="1"/>
  <c r="Y32" i="62"/>
  <c r="X32" i="62"/>
  <c r="V32" i="62"/>
  <c r="U32" i="62"/>
  <c r="T32" i="62"/>
  <c r="P32" i="62"/>
  <c r="O32" i="62"/>
  <c r="M32" i="62"/>
  <c r="K32" i="62"/>
  <c r="H32" i="62"/>
  <c r="C32" i="62"/>
  <c r="AB31" i="62"/>
  <c r="AD31" i="62" s="1"/>
  <c r="J31" i="62" s="1"/>
  <c r="Y31" i="62"/>
  <c r="X31" i="62"/>
  <c r="Q31" i="62"/>
  <c r="P31" i="62"/>
  <c r="O31" i="62"/>
  <c r="M31" i="62"/>
  <c r="H31" i="62"/>
  <c r="C31" i="62"/>
  <c r="AD30" i="62"/>
  <c r="J30" i="62" s="1"/>
  <c r="AB30" i="62"/>
  <c r="Y30" i="62"/>
  <c r="X30" i="62"/>
  <c r="P30" i="62"/>
  <c r="O30" i="62"/>
  <c r="Q30" i="62" s="1"/>
  <c r="M30" i="62"/>
  <c r="H30" i="62"/>
  <c r="C30" i="62"/>
  <c r="AD29" i="62"/>
  <c r="J29" i="62" s="1"/>
  <c r="K29" i="62" s="1"/>
  <c r="AB29" i="62"/>
  <c r="Y29" i="62"/>
  <c r="X29" i="62"/>
  <c r="P29" i="62"/>
  <c r="O29" i="62"/>
  <c r="Q29" i="62" s="1"/>
  <c r="M29" i="62"/>
  <c r="H29" i="62"/>
  <c r="C29" i="62"/>
  <c r="AB28" i="62"/>
  <c r="AD28" i="62" s="1"/>
  <c r="Y28" i="62"/>
  <c r="X28" i="62"/>
  <c r="P28" i="62"/>
  <c r="O28" i="62"/>
  <c r="Q28" i="62" s="1"/>
  <c r="M28" i="62"/>
  <c r="J28" i="62"/>
  <c r="K28" i="62" s="1"/>
  <c r="I28" i="62"/>
  <c r="H28" i="62"/>
  <c r="C28" i="62"/>
  <c r="AB27" i="62"/>
  <c r="AD27" i="62" s="1"/>
  <c r="Y27" i="62"/>
  <c r="X27" i="62"/>
  <c r="P27" i="62"/>
  <c r="O27" i="62"/>
  <c r="Q27" i="62" s="1"/>
  <c r="M27" i="62"/>
  <c r="J27" i="62"/>
  <c r="H27" i="62"/>
  <c r="C27" i="62"/>
  <c r="AB26" i="62"/>
  <c r="AD26" i="62" s="1"/>
  <c r="J26" i="62" s="1"/>
  <c r="Y26" i="62"/>
  <c r="X26" i="62"/>
  <c r="Q26" i="62"/>
  <c r="P26" i="62"/>
  <c r="O26" i="62"/>
  <c r="M26" i="62"/>
  <c r="H26" i="62"/>
  <c r="C26" i="62"/>
  <c r="AD25" i="62"/>
  <c r="J25" i="62" s="1"/>
  <c r="AB25" i="62"/>
  <c r="Y25" i="62"/>
  <c r="X25" i="62"/>
  <c r="Q25" i="62"/>
  <c r="P25" i="62"/>
  <c r="O25" i="62"/>
  <c r="M25" i="62"/>
  <c r="H25" i="62"/>
  <c r="C25" i="62"/>
  <c r="AD24" i="62"/>
  <c r="J24" i="62" s="1"/>
  <c r="K24" i="62" s="1"/>
  <c r="AB24" i="62"/>
  <c r="Y24" i="62"/>
  <c r="X24" i="62"/>
  <c r="P24" i="62"/>
  <c r="O24" i="62"/>
  <c r="Q24" i="62" s="1"/>
  <c r="M24" i="62"/>
  <c r="H24" i="62"/>
  <c r="C24" i="62"/>
  <c r="AB23" i="62"/>
  <c r="AD23" i="62" s="1"/>
  <c r="J23" i="62" s="1"/>
  <c r="Y23" i="62"/>
  <c r="X23" i="62"/>
  <c r="P23" i="62"/>
  <c r="O23" i="62"/>
  <c r="Q23" i="62" s="1"/>
  <c r="M23" i="62"/>
  <c r="H23" i="62"/>
  <c r="C23" i="62"/>
  <c r="AD22" i="62"/>
  <c r="J22" i="62" s="1"/>
  <c r="I22" i="62" s="1"/>
  <c r="AB22" i="62"/>
  <c r="Y22" i="62"/>
  <c r="X22" i="62"/>
  <c r="P22" i="62"/>
  <c r="O22" i="62"/>
  <c r="Q22" i="62" s="1"/>
  <c r="M22" i="62"/>
  <c r="H22" i="62"/>
  <c r="C22" i="62"/>
  <c r="AB21" i="62"/>
  <c r="AD21" i="62" s="1"/>
  <c r="J21" i="62" s="1"/>
  <c r="Y21" i="62"/>
  <c r="X21" i="62"/>
  <c r="Q21" i="62"/>
  <c r="P21" i="62"/>
  <c r="O21" i="62"/>
  <c r="M21" i="62"/>
  <c r="H21" i="62"/>
  <c r="C21" i="62"/>
  <c r="AB20" i="62"/>
  <c r="AD20" i="62" s="1"/>
  <c r="J20" i="62" s="1"/>
  <c r="Y20" i="62"/>
  <c r="X20" i="62"/>
  <c r="P20" i="62"/>
  <c r="O20" i="62"/>
  <c r="Q20" i="62" s="1"/>
  <c r="M20" i="62"/>
  <c r="H20" i="62"/>
  <c r="C20" i="62"/>
  <c r="AB19" i="62"/>
  <c r="AD19" i="62" s="1"/>
  <c r="J19" i="62" s="1"/>
  <c r="Y19" i="62"/>
  <c r="X19" i="62"/>
  <c r="P19" i="62"/>
  <c r="O19" i="62"/>
  <c r="Q19" i="62" s="1"/>
  <c r="M19" i="62"/>
  <c r="H19" i="62"/>
  <c r="C19" i="62"/>
  <c r="AB18" i="62"/>
  <c r="AD18" i="62" s="1"/>
  <c r="J18" i="62" s="1"/>
  <c r="Y18" i="62"/>
  <c r="X18" i="62"/>
  <c r="Q18" i="62"/>
  <c r="P18" i="62"/>
  <c r="O18" i="62"/>
  <c r="M18" i="62"/>
  <c r="H18" i="62"/>
  <c r="C18" i="62"/>
  <c r="AD17" i="62"/>
  <c r="J17" i="62" s="1"/>
  <c r="AB17" i="62"/>
  <c r="Y17" i="62"/>
  <c r="X17" i="62"/>
  <c r="Q17" i="62"/>
  <c r="P17" i="62"/>
  <c r="O17" i="62"/>
  <c r="M17" i="62"/>
  <c r="H17" i="62"/>
  <c r="C17" i="62"/>
  <c r="AD16" i="62"/>
  <c r="J16" i="62" s="1"/>
  <c r="K16" i="62" s="1"/>
  <c r="AB16" i="62"/>
  <c r="Y16" i="62"/>
  <c r="X16" i="62"/>
  <c r="P16" i="62"/>
  <c r="O16" i="62"/>
  <c r="Q16" i="62" s="1"/>
  <c r="M16" i="62"/>
  <c r="I16" i="62"/>
  <c r="H16" i="62"/>
  <c r="C16" i="62"/>
  <c r="AB15" i="62"/>
  <c r="AD15" i="62" s="1"/>
  <c r="J15" i="62" s="1"/>
  <c r="Y15" i="62"/>
  <c r="X15" i="62"/>
  <c r="P15" i="62"/>
  <c r="O15" i="62"/>
  <c r="M15" i="62"/>
  <c r="H15" i="62"/>
  <c r="C15" i="62"/>
  <c r="AD14" i="62"/>
  <c r="J14" i="62" s="1"/>
  <c r="I14" i="62" s="1"/>
  <c r="AB14" i="62"/>
  <c r="Y14" i="62"/>
  <c r="X14" i="62"/>
  <c r="P14" i="62"/>
  <c r="O14" i="62"/>
  <c r="Q14" i="62" s="1"/>
  <c r="M14" i="62"/>
  <c r="K14" i="62"/>
  <c r="H14" i="62"/>
  <c r="C14" i="62"/>
  <c r="AB13" i="62"/>
  <c r="AD13" i="62" s="1"/>
  <c r="J13" i="62" s="1"/>
  <c r="Y13" i="62"/>
  <c r="X13" i="62"/>
  <c r="Q13" i="62"/>
  <c r="P13" i="62"/>
  <c r="O13" i="62"/>
  <c r="M13" i="62"/>
  <c r="H13" i="62"/>
  <c r="C13" i="62"/>
  <c r="AB12" i="62"/>
  <c r="AD12" i="62" s="1"/>
  <c r="J12" i="62" s="1"/>
  <c r="Y12" i="62"/>
  <c r="X12" i="62"/>
  <c r="P12" i="62"/>
  <c r="O12" i="62"/>
  <c r="Q12" i="62" s="1"/>
  <c r="M12" i="62"/>
  <c r="H12" i="62"/>
  <c r="C12" i="62"/>
  <c r="AB11" i="62"/>
  <c r="AD11" i="62" s="1"/>
  <c r="J11" i="62" s="1"/>
  <c r="Y11" i="62"/>
  <c r="X11" i="62"/>
  <c r="P11" i="62"/>
  <c r="O11" i="62"/>
  <c r="Q11" i="62" s="1"/>
  <c r="M11" i="62"/>
  <c r="H11" i="62"/>
  <c r="C11" i="62"/>
  <c r="AB10" i="62"/>
  <c r="AD10" i="62" s="1"/>
  <c r="J10" i="62" s="1"/>
  <c r="Y10" i="62"/>
  <c r="X10" i="62"/>
  <c r="Q10" i="62"/>
  <c r="P10" i="62"/>
  <c r="O10" i="62"/>
  <c r="M10" i="62"/>
  <c r="H10" i="62"/>
  <c r="C10" i="62"/>
  <c r="AD9" i="62"/>
  <c r="J9" i="62" s="1"/>
  <c r="AB9" i="62"/>
  <c r="Y9" i="62"/>
  <c r="X9" i="62"/>
  <c r="Q9" i="62"/>
  <c r="P9" i="62"/>
  <c r="O9" i="62"/>
  <c r="M9" i="62"/>
  <c r="H9" i="62"/>
  <c r="C9" i="62"/>
  <c r="AD8" i="62"/>
  <c r="J8" i="62" s="1"/>
  <c r="K8" i="62" s="1"/>
  <c r="AB8" i="62"/>
  <c r="Y8" i="62"/>
  <c r="X8" i="62"/>
  <c r="P8" i="62"/>
  <c r="O8" i="62"/>
  <c r="Q8" i="62" s="1"/>
  <c r="M8" i="62"/>
  <c r="H8" i="62"/>
  <c r="C8" i="62"/>
  <c r="AB7" i="62"/>
  <c r="AD7" i="62" s="1"/>
  <c r="J7" i="62" s="1"/>
  <c r="Y7" i="62"/>
  <c r="X7" i="62"/>
  <c r="P7" i="62"/>
  <c r="O7" i="62"/>
  <c r="Q7" i="62" s="1"/>
  <c r="M7" i="62"/>
  <c r="H7" i="62"/>
  <c r="C7" i="62"/>
  <c r="AD6" i="62"/>
  <c r="J6" i="62" s="1"/>
  <c r="I6" i="62" s="1"/>
  <c r="AB6" i="62"/>
  <c r="Y6" i="62"/>
  <c r="X6" i="62"/>
  <c r="P6" i="62"/>
  <c r="O6" i="62"/>
  <c r="Q6" i="62" s="1"/>
  <c r="M6" i="62"/>
  <c r="H6" i="62"/>
  <c r="C6" i="62"/>
  <c r="AB5" i="62"/>
  <c r="AD5" i="62" s="1"/>
  <c r="J5" i="62" s="1"/>
  <c r="Y5" i="62"/>
  <c r="X5" i="62"/>
  <c r="Q5" i="62"/>
  <c r="P5" i="62"/>
  <c r="O5" i="62"/>
  <c r="M5" i="62"/>
  <c r="H5" i="62"/>
  <c r="C5" i="62"/>
  <c r="AB4" i="62"/>
  <c r="AD4" i="62" s="1"/>
  <c r="Y4" i="62"/>
  <c r="X4" i="62"/>
  <c r="P4" i="62"/>
  <c r="O4" i="62"/>
  <c r="Q4" i="62" s="1"/>
  <c r="M4" i="62"/>
  <c r="H4" i="62"/>
  <c r="C4" i="62"/>
  <c r="AG3" i="62"/>
  <c r="AF3" i="62"/>
  <c r="W3" i="62"/>
  <c r="X3" i="62" s="1"/>
  <c r="V3" i="62"/>
  <c r="U3" i="62"/>
  <c r="T3" i="62"/>
  <c r="O3" i="62"/>
  <c r="G3" i="62"/>
  <c r="H3" i="62" s="1"/>
  <c r="F3" i="62"/>
  <c r="D3" i="62"/>
  <c r="C3" i="62"/>
  <c r="A2" i="62"/>
  <c r="A1" i="62"/>
  <c r="AB32" i="61"/>
  <c r="AD32" i="61" s="1"/>
  <c r="J32" i="61" s="1"/>
  <c r="K32" i="61" s="1"/>
  <c r="Y32" i="61"/>
  <c r="X32" i="61"/>
  <c r="V32" i="61"/>
  <c r="U32" i="61"/>
  <c r="T32" i="61"/>
  <c r="P32" i="61"/>
  <c r="O32" i="61"/>
  <c r="Q32" i="61" s="1"/>
  <c r="M32" i="61"/>
  <c r="H32" i="61"/>
  <c r="C32" i="61"/>
  <c r="AB31" i="61"/>
  <c r="AD31" i="61" s="1"/>
  <c r="J31" i="61" s="1"/>
  <c r="Y31" i="61"/>
  <c r="X31" i="61"/>
  <c r="P31" i="61"/>
  <c r="O31" i="61"/>
  <c r="Q31" i="61" s="1"/>
  <c r="M31" i="61"/>
  <c r="H31" i="61"/>
  <c r="C31" i="61"/>
  <c r="AD30" i="61"/>
  <c r="J30" i="61" s="1"/>
  <c r="I30" i="61" s="1"/>
  <c r="AB30" i="61"/>
  <c r="Y30" i="61"/>
  <c r="X30" i="61"/>
  <c r="P30" i="61"/>
  <c r="O30" i="61"/>
  <c r="Q30" i="61" s="1"/>
  <c r="M30" i="61"/>
  <c r="H30" i="61"/>
  <c r="C30" i="61"/>
  <c r="AB29" i="61"/>
  <c r="AD29" i="61" s="1"/>
  <c r="J29" i="61" s="1"/>
  <c r="Y29" i="61"/>
  <c r="X29" i="61"/>
  <c r="Q29" i="61"/>
  <c r="P29" i="61"/>
  <c r="O29" i="61"/>
  <c r="M29" i="61"/>
  <c r="H29" i="61"/>
  <c r="C29" i="61"/>
  <c r="AB28" i="61"/>
  <c r="AD28" i="61" s="1"/>
  <c r="J28" i="61" s="1"/>
  <c r="Y28" i="61"/>
  <c r="X28" i="61"/>
  <c r="P28" i="61"/>
  <c r="O28" i="61"/>
  <c r="Q28" i="61" s="1"/>
  <c r="M28" i="61"/>
  <c r="H28" i="61"/>
  <c r="C28" i="61"/>
  <c r="AB27" i="61"/>
  <c r="AD27" i="61" s="1"/>
  <c r="J27" i="61" s="1"/>
  <c r="Y27" i="61"/>
  <c r="X27" i="61"/>
  <c r="P27" i="61"/>
  <c r="O27" i="61"/>
  <c r="Q27" i="61" s="1"/>
  <c r="M27" i="61"/>
  <c r="H27" i="61"/>
  <c r="C27" i="61"/>
  <c r="AB26" i="61"/>
  <c r="AD26" i="61" s="1"/>
  <c r="J26" i="61" s="1"/>
  <c r="Y26" i="61"/>
  <c r="X26" i="61"/>
  <c r="Q26" i="61"/>
  <c r="P26" i="61"/>
  <c r="O26" i="61"/>
  <c r="M26" i="61"/>
  <c r="H26" i="61"/>
  <c r="C26" i="61"/>
  <c r="AD25" i="61"/>
  <c r="J25" i="61" s="1"/>
  <c r="AB25" i="61"/>
  <c r="Y25" i="61"/>
  <c r="X25" i="61"/>
  <c r="P25" i="61"/>
  <c r="Q25" i="61" s="1"/>
  <c r="O25" i="61"/>
  <c r="M25" i="61"/>
  <c r="H25" i="61"/>
  <c r="C25" i="61"/>
  <c r="AD24" i="61"/>
  <c r="J24" i="61" s="1"/>
  <c r="K24" i="61" s="1"/>
  <c r="AB24" i="61"/>
  <c r="Y24" i="61"/>
  <c r="X24" i="61"/>
  <c r="P24" i="61"/>
  <c r="O24" i="61"/>
  <c r="Q24" i="61" s="1"/>
  <c r="M24" i="61"/>
  <c r="H24" i="61"/>
  <c r="C24" i="61"/>
  <c r="AB23" i="61"/>
  <c r="AD23" i="61" s="1"/>
  <c r="J23" i="61" s="1"/>
  <c r="Y23" i="61"/>
  <c r="X23" i="61"/>
  <c r="P23" i="61"/>
  <c r="O23" i="61"/>
  <c r="Q23" i="61" s="1"/>
  <c r="M23" i="61"/>
  <c r="H23" i="61"/>
  <c r="C23" i="61"/>
  <c r="AD22" i="61"/>
  <c r="J22" i="61" s="1"/>
  <c r="I22" i="61" s="1"/>
  <c r="AB22" i="61"/>
  <c r="Y22" i="61"/>
  <c r="X22" i="61"/>
  <c r="P22" i="61"/>
  <c r="O22" i="61"/>
  <c r="Q22" i="61" s="1"/>
  <c r="M22" i="61"/>
  <c r="H22" i="61"/>
  <c r="C22" i="61"/>
  <c r="AB21" i="61"/>
  <c r="AD21" i="61" s="1"/>
  <c r="J21" i="61" s="1"/>
  <c r="Y21" i="61"/>
  <c r="X21" i="61"/>
  <c r="Q21" i="61"/>
  <c r="P21" i="61"/>
  <c r="O21" i="61"/>
  <c r="M21" i="61"/>
  <c r="H21" i="61"/>
  <c r="C21" i="61"/>
  <c r="AB20" i="61"/>
  <c r="AD20" i="61" s="1"/>
  <c r="J20" i="61" s="1"/>
  <c r="Y20" i="61"/>
  <c r="X20" i="61"/>
  <c r="P20" i="61"/>
  <c r="O20" i="61"/>
  <c r="Q20" i="61" s="1"/>
  <c r="M20" i="61"/>
  <c r="H20" i="61"/>
  <c r="C20" i="61"/>
  <c r="AB19" i="61"/>
  <c r="AD19" i="61" s="1"/>
  <c r="J19" i="61" s="1"/>
  <c r="Y19" i="61"/>
  <c r="X19" i="61"/>
  <c r="P19" i="61"/>
  <c r="O19" i="61"/>
  <c r="Q19" i="61" s="1"/>
  <c r="M19" i="61"/>
  <c r="H19" i="61"/>
  <c r="C19" i="61"/>
  <c r="AB18" i="61"/>
  <c r="AD18" i="61" s="1"/>
  <c r="J18" i="61" s="1"/>
  <c r="Y18" i="61"/>
  <c r="X18" i="61"/>
  <c r="Q18" i="61"/>
  <c r="P18" i="61"/>
  <c r="O18" i="61"/>
  <c r="M18" i="61"/>
  <c r="H18" i="61"/>
  <c r="C18" i="61"/>
  <c r="AD17" i="61"/>
  <c r="J17" i="61" s="1"/>
  <c r="AB17" i="61"/>
  <c r="Y17" i="61"/>
  <c r="X17" i="61"/>
  <c r="Q17" i="61"/>
  <c r="P17" i="61"/>
  <c r="O17" i="61"/>
  <c r="M17" i="61"/>
  <c r="H17" i="61"/>
  <c r="C17" i="61"/>
  <c r="AD16" i="61"/>
  <c r="J16" i="61" s="1"/>
  <c r="K16" i="61" s="1"/>
  <c r="AB16" i="61"/>
  <c r="Y16" i="61"/>
  <c r="X16" i="61"/>
  <c r="P16" i="61"/>
  <c r="O16" i="61"/>
  <c r="Q16" i="61" s="1"/>
  <c r="M16" i="61"/>
  <c r="I16" i="61"/>
  <c r="H16" i="61"/>
  <c r="C16" i="61"/>
  <c r="AB15" i="61"/>
  <c r="AD15" i="61" s="1"/>
  <c r="J15" i="61" s="1"/>
  <c r="Y15" i="61"/>
  <c r="X15" i="61"/>
  <c r="P15" i="61"/>
  <c r="O15" i="61"/>
  <c r="M15" i="61"/>
  <c r="H15" i="61"/>
  <c r="C15" i="61"/>
  <c r="AD14" i="61"/>
  <c r="J14" i="61" s="1"/>
  <c r="I14" i="61" s="1"/>
  <c r="AB14" i="61"/>
  <c r="Y14" i="61"/>
  <c r="X14" i="61"/>
  <c r="P14" i="61"/>
  <c r="O14" i="61"/>
  <c r="Q14" i="61" s="1"/>
  <c r="M14" i="61"/>
  <c r="K14" i="61"/>
  <c r="H14" i="61"/>
  <c r="C14" i="61"/>
  <c r="AB13" i="61"/>
  <c r="AD13" i="61" s="1"/>
  <c r="J13" i="61" s="1"/>
  <c r="Y13" i="61"/>
  <c r="X13" i="61"/>
  <c r="Q13" i="61"/>
  <c r="P13" i="61"/>
  <c r="O13" i="61"/>
  <c r="M13" i="61"/>
  <c r="H13" i="61"/>
  <c r="C13" i="61"/>
  <c r="AB12" i="61"/>
  <c r="AD12" i="61" s="1"/>
  <c r="J12" i="61" s="1"/>
  <c r="Y12" i="61"/>
  <c r="X12" i="61"/>
  <c r="P12" i="61"/>
  <c r="O12" i="61"/>
  <c r="Q12" i="61" s="1"/>
  <c r="M12" i="61"/>
  <c r="H12" i="61"/>
  <c r="C12" i="61"/>
  <c r="AB11" i="61"/>
  <c r="AD11" i="61" s="1"/>
  <c r="J11" i="61" s="1"/>
  <c r="Y11" i="61"/>
  <c r="X11" i="61"/>
  <c r="P11" i="61"/>
  <c r="O11" i="61"/>
  <c r="Q11" i="61" s="1"/>
  <c r="M11" i="61"/>
  <c r="H11" i="61"/>
  <c r="C11" i="61"/>
  <c r="AB10" i="61"/>
  <c r="AD10" i="61" s="1"/>
  <c r="J10" i="61" s="1"/>
  <c r="Y10" i="61"/>
  <c r="X10" i="61"/>
  <c r="Q10" i="61"/>
  <c r="P10" i="61"/>
  <c r="O10" i="61"/>
  <c r="M10" i="61"/>
  <c r="H10" i="61"/>
  <c r="C10" i="61"/>
  <c r="AD9" i="61"/>
  <c r="J9" i="61" s="1"/>
  <c r="AB9" i="61"/>
  <c r="Y9" i="61"/>
  <c r="X9" i="61"/>
  <c r="P9" i="61"/>
  <c r="Q9" i="61" s="1"/>
  <c r="O9" i="61"/>
  <c r="M9" i="61"/>
  <c r="H9" i="61"/>
  <c r="C9" i="61"/>
  <c r="AD8" i="61"/>
  <c r="J8" i="61" s="1"/>
  <c r="K8" i="61" s="1"/>
  <c r="AB8" i="61"/>
  <c r="Y8" i="61"/>
  <c r="X8" i="61"/>
  <c r="P8" i="61"/>
  <c r="O8" i="61"/>
  <c r="Q8" i="61" s="1"/>
  <c r="M8" i="61"/>
  <c r="I8" i="61"/>
  <c r="H8" i="61"/>
  <c r="C8" i="61"/>
  <c r="AB7" i="61"/>
  <c r="AD7" i="61" s="1"/>
  <c r="J7" i="61" s="1"/>
  <c r="Y7" i="61"/>
  <c r="X7" i="61"/>
  <c r="P7" i="61"/>
  <c r="O7" i="61"/>
  <c r="M7" i="61"/>
  <c r="H7" i="61"/>
  <c r="C7" i="61"/>
  <c r="AD6" i="61"/>
  <c r="J6" i="61" s="1"/>
  <c r="I6" i="61" s="1"/>
  <c r="AB6" i="61"/>
  <c r="Y6" i="61"/>
  <c r="X6" i="61"/>
  <c r="P6" i="61"/>
  <c r="O6" i="61"/>
  <c r="Q6" i="61" s="1"/>
  <c r="M6" i="61"/>
  <c r="K6" i="61"/>
  <c r="H6" i="61"/>
  <c r="C6" i="61"/>
  <c r="AB5" i="61"/>
  <c r="AD5" i="61" s="1"/>
  <c r="J5" i="61" s="1"/>
  <c r="Y5" i="61"/>
  <c r="X5" i="61"/>
  <c r="Q5" i="61"/>
  <c r="P5" i="61"/>
  <c r="O5" i="61"/>
  <c r="M5" i="61"/>
  <c r="H5" i="61"/>
  <c r="C5" i="61"/>
  <c r="AB4" i="61"/>
  <c r="AD4" i="61" s="1"/>
  <c r="Y4" i="61"/>
  <c r="X4" i="61"/>
  <c r="P4" i="61"/>
  <c r="O4" i="61"/>
  <c r="Q4" i="61" s="1"/>
  <c r="M4" i="61"/>
  <c r="H4" i="61"/>
  <c r="C4" i="61"/>
  <c r="AG3" i="61"/>
  <c r="AF3" i="61"/>
  <c r="W3" i="61"/>
  <c r="X3" i="61" s="1"/>
  <c r="V3" i="61"/>
  <c r="U3" i="61"/>
  <c r="T3" i="61"/>
  <c r="O3" i="61"/>
  <c r="G3" i="61"/>
  <c r="H3" i="61" s="1"/>
  <c r="F3" i="61"/>
  <c r="D3" i="61"/>
  <c r="C3" i="61"/>
  <c r="A2" i="61"/>
  <c r="A1" i="61"/>
  <c r="AB32" i="60"/>
  <c r="AD32" i="60" s="1"/>
  <c r="J32" i="60" s="1"/>
  <c r="K32" i="60" s="1"/>
  <c r="Y32" i="60"/>
  <c r="X32" i="60"/>
  <c r="V32" i="60"/>
  <c r="U32" i="60"/>
  <c r="T32" i="60"/>
  <c r="P32" i="60"/>
  <c r="O32" i="60"/>
  <c r="Q32" i="60" s="1"/>
  <c r="M32" i="60"/>
  <c r="I32" i="60"/>
  <c r="H32" i="60"/>
  <c r="C32" i="60"/>
  <c r="AB31" i="60"/>
  <c r="AD31" i="60" s="1"/>
  <c r="J31" i="60" s="1"/>
  <c r="Y31" i="60"/>
  <c r="X31" i="60"/>
  <c r="P31" i="60"/>
  <c r="O31" i="60"/>
  <c r="Q31" i="60" s="1"/>
  <c r="M31" i="60"/>
  <c r="H31" i="60"/>
  <c r="C31" i="60"/>
  <c r="AD30" i="60"/>
  <c r="J30" i="60" s="1"/>
  <c r="I30" i="60" s="1"/>
  <c r="AB30" i="60"/>
  <c r="Y30" i="60"/>
  <c r="X30" i="60"/>
  <c r="P30" i="60"/>
  <c r="O30" i="60"/>
  <c r="Q30" i="60" s="1"/>
  <c r="M30" i="60"/>
  <c r="K30" i="60"/>
  <c r="H30" i="60"/>
  <c r="C30" i="60"/>
  <c r="AB29" i="60"/>
  <c r="AD29" i="60" s="1"/>
  <c r="J29" i="60" s="1"/>
  <c r="Y29" i="60"/>
  <c r="X29" i="60"/>
  <c r="Q29" i="60"/>
  <c r="P29" i="60"/>
  <c r="O29" i="60"/>
  <c r="M29" i="60"/>
  <c r="H29" i="60"/>
  <c r="C29" i="60"/>
  <c r="AB28" i="60"/>
  <c r="AD28" i="60" s="1"/>
  <c r="J28" i="60" s="1"/>
  <c r="Y28" i="60"/>
  <c r="X28" i="60"/>
  <c r="P28" i="60"/>
  <c r="O28" i="60"/>
  <c r="Q28" i="60" s="1"/>
  <c r="M28" i="60"/>
  <c r="H28" i="60"/>
  <c r="C28" i="60"/>
  <c r="AB27" i="60"/>
  <c r="AD27" i="60" s="1"/>
  <c r="Y27" i="60"/>
  <c r="X27" i="60"/>
  <c r="P27" i="60"/>
  <c r="O27" i="60"/>
  <c r="Q27" i="60" s="1"/>
  <c r="M27" i="60"/>
  <c r="J27" i="60"/>
  <c r="H27" i="60"/>
  <c r="C27" i="60"/>
  <c r="AB26" i="60"/>
  <c r="AD26" i="60" s="1"/>
  <c r="J26" i="60" s="1"/>
  <c r="Y26" i="60"/>
  <c r="X26" i="60"/>
  <c r="Q26" i="60"/>
  <c r="P26" i="60"/>
  <c r="O26" i="60"/>
  <c r="M26" i="60"/>
  <c r="H26" i="60"/>
  <c r="C26" i="60"/>
  <c r="AD25" i="60"/>
  <c r="J25" i="60" s="1"/>
  <c r="AB25" i="60"/>
  <c r="Y25" i="60"/>
  <c r="X25" i="60"/>
  <c r="P25" i="60"/>
  <c r="Q25" i="60" s="1"/>
  <c r="O25" i="60"/>
  <c r="M25" i="60"/>
  <c r="H25" i="60"/>
  <c r="C25" i="60"/>
  <c r="AD24" i="60"/>
  <c r="J24" i="60" s="1"/>
  <c r="K24" i="60" s="1"/>
  <c r="AB24" i="60"/>
  <c r="Y24" i="60"/>
  <c r="X24" i="60"/>
  <c r="P24" i="60"/>
  <c r="O24" i="60"/>
  <c r="Q24" i="60" s="1"/>
  <c r="M24" i="60"/>
  <c r="I24" i="60"/>
  <c r="H24" i="60"/>
  <c r="C24" i="60"/>
  <c r="AB23" i="60"/>
  <c r="AD23" i="60" s="1"/>
  <c r="J23" i="60" s="1"/>
  <c r="Y23" i="60"/>
  <c r="X23" i="60"/>
  <c r="P23" i="60"/>
  <c r="O23" i="60"/>
  <c r="Q23" i="60" s="1"/>
  <c r="M23" i="60"/>
  <c r="H23" i="60"/>
  <c r="C23" i="60"/>
  <c r="AD22" i="60"/>
  <c r="J22" i="60" s="1"/>
  <c r="I22" i="60" s="1"/>
  <c r="AB22" i="60"/>
  <c r="Y22" i="60"/>
  <c r="X22" i="60"/>
  <c r="P22" i="60"/>
  <c r="O22" i="60"/>
  <c r="Q22" i="60" s="1"/>
  <c r="M22" i="60"/>
  <c r="K22" i="60"/>
  <c r="H22" i="60"/>
  <c r="C22" i="60"/>
  <c r="AB21" i="60"/>
  <c r="AD21" i="60" s="1"/>
  <c r="J21" i="60" s="1"/>
  <c r="Y21" i="60"/>
  <c r="X21" i="60"/>
  <c r="Q21" i="60"/>
  <c r="P21" i="60"/>
  <c r="O21" i="60"/>
  <c r="M21" i="60"/>
  <c r="H21" i="60"/>
  <c r="C21" i="60"/>
  <c r="AB20" i="60"/>
  <c r="AD20" i="60" s="1"/>
  <c r="J20" i="60" s="1"/>
  <c r="Y20" i="60"/>
  <c r="X20" i="60"/>
  <c r="P20" i="60"/>
  <c r="O20" i="60"/>
  <c r="Q20" i="60" s="1"/>
  <c r="M20" i="60"/>
  <c r="H20" i="60"/>
  <c r="C20" i="60"/>
  <c r="AB19" i="60"/>
  <c r="AD19" i="60" s="1"/>
  <c r="Y19" i="60"/>
  <c r="X19" i="60"/>
  <c r="P19" i="60"/>
  <c r="O19" i="60"/>
  <c r="Q19" i="60" s="1"/>
  <c r="M19" i="60"/>
  <c r="J19" i="60"/>
  <c r="H19" i="60"/>
  <c r="C19" i="60"/>
  <c r="AB18" i="60"/>
  <c r="AD18" i="60" s="1"/>
  <c r="J18" i="60" s="1"/>
  <c r="Y18" i="60"/>
  <c r="X18" i="60"/>
  <c r="Q18" i="60"/>
  <c r="P18" i="60"/>
  <c r="O18" i="60"/>
  <c r="M18" i="60"/>
  <c r="H18" i="60"/>
  <c r="C18" i="60"/>
  <c r="AD17" i="60"/>
  <c r="J17" i="60" s="1"/>
  <c r="AB17" i="60"/>
  <c r="Y17" i="60"/>
  <c r="X17" i="60"/>
  <c r="P17" i="60"/>
  <c r="Q17" i="60" s="1"/>
  <c r="O17" i="60"/>
  <c r="M17" i="60"/>
  <c r="H17" i="60"/>
  <c r="C17" i="60"/>
  <c r="AD16" i="60"/>
  <c r="J16" i="60" s="1"/>
  <c r="K16" i="60" s="1"/>
  <c r="AB16" i="60"/>
  <c r="Y16" i="60"/>
  <c r="X16" i="60"/>
  <c r="P16" i="60"/>
  <c r="O16" i="60"/>
  <c r="Q16" i="60" s="1"/>
  <c r="M16" i="60"/>
  <c r="I16" i="60"/>
  <c r="H16" i="60"/>
  <c r="C16" i="60"/>
  <c r="AB15" i="60"/>
  <c r="AD15" i="60" s="1"/>
  <c r="J15" i="60" s="1"/>
  <c r="Y15" i="60"/>
  <c r="X15" i="60"/>
  <c r="P15" i="60"/>
  <c r="O15" i="60"/>
  <c r="Q15" i="60" s="1"/>
  <c r="M15" i="60"/>
  <c r="H15" i="60"/>
  <c r="C15" i="60"/>
  <c r="AD14" i="60"/>
  <c r="J14" i="60" s="1"/>
  <c r="I14" i="60" s="1"/>
  <c r="AB14" i="60"/>
  <c r="Y14" i="60"/>
  <c r="X14" i="60"/>
  <c r="P14" i="60"/>
  <c r="O14" i="60"/>
  <c r="Q14" i="60" s="1"/>
  <c r="M14" i="60"/>
  <c r="K14" i="60"/>
  <c r="H14" i="60"/>
  <c r="C14" i="60"/>
  <c r="AB13" i="60"/>
  <c r="AD13" i="60" s="1"/>
  <c r="J13" i="60" s="1"/>
  <c r="Y13" i="60"/>
  <c r="X13" i="60"/>
  <c r="Q13" i="60"/>
  <c r="P13" i="60"/>
  <c r="O13" i="60"/>
  <c r="M13" i="60"/>
  <c r="H13" i="60"/>
  <c r="C13" i="60"/>
  <c r="AB12" i="60"/>
  <c r="AD12" i="60" s="1"/>
  <c r="J12" i="60" s="1"/>
  <c r="Y12" i="60"/>
  <c r="X12" i="60"/>
  <c r="P12" i="60"/>
  <c r="O12" i="60"/>
  <c r="Q12" i="60" s="1"/>
  <c r="M12" i="60"/>
  <c r="H12" i="60"/>
  <c r="C12" i="60"/>
  <c r="AB11" i="60"/>
  <c r="AD11" i="60" s="1"/>
  <c r="Y11" i="60"/>
  <c r="X11" i="60"/>
  <c r="P11" i="60"/>
  <c r="O11" i="60"/>
  <c r="Q11" i="60" s="1"/>
  <c r="M11" i="60"/>
  <c r="J11" i="60"/>
  <c r="H11" i="60"/>
  <c r="C11" i="60"/>
  <c r="AB10" i="60"/>
  <c r="AD10" i="60" s="1"/>
  <c r="J10" i="60" s="1"/>
  <c r="Y10" i="60"/>
  <c r="X10" i="60"/>
  <c r="Q10" i="60"/>
  <c r="P10" i="60"/>
  <c r="O10" i="60"/>
  <c r="M10" i="60"/>
  <c r="H10" i="60"/>
  <c r="C10" i="60"/>
  <c r="AD9" i="60"/>
  <c r="J9" i="60" s="1"/>
  <c r="AB9" i="60"/>
  <c r="Y9" i="60"/>
  <c r="X9" i="60"/>
  <c r="P9" i="60"/>
  <c r="Q9" i="60" s="1"/>
  <c r="O9" i="60"/>
  <c r="M9" i="60"/>
  <c r="H9" i="60"/>
  <c r="C9" i="60"/>
  <c r="AD8" i="60"/>
  <c r="J8" i="60" s="1"/>
  <c r="K8" i="60" s="1"/>
  <c r="AB8" i="60"/>
  <c r="Y8" i="60"/>
  <c r="X8" i="60"/>
  <c r="P8" i="60"/>
  <c r="O8" i="60"/>
  <c r="Q8" i="60" s="1"/>
  <c r="M8" i="60"/>
  <c r="I8" i="60"/>
  <c r="H8" i="60"/>
  <c r="C8" i="60"/>
  <c r="AB7" i="60"/>
  <c r="AD7" i="60" s="1"/>
  <c r="J7" i="60" s="1"/>
  <c r="Y7" i="60"/>
  <c r="X7" i="60"/>
  <c r="P7" i="60"/>
  <c r="O7" i="60"/>
  <c r="Q7" i="60" s="1"/>
  <c r="M7" i="60"/>
  <c r="H7" i="60"/>
  <c r="C7" i="60"/>
  <c r="AD6" i="60"/>
  <c r="J6" i="60" s="1"/>
  <c r="I6" i="60" s="1"/>
  <c r="AB6" i="60"/>
  <c r="Y6" i="60"/>
  <c r="X6" i="60"/>
  <c r="P6" i="60"/>
  <c r="O6" i="60"/>
  <c r="Q6" i="60" s="1"/>
  <c r="M6" i="60"/>
  <c r="K6" i="60"/>
  <c r="H6" i="60"/>
  <c r="C6" i="60"/>
  <c r="AB5" i="60"/>
  <c r="AD5" i="60" s="1"/>
  <c r="J5" i="60" s="1"/>
  <c r="Y5" i="60"/>
  <c r="X5" i="60"/>
  <c r="Q5" i="60"/>
  <c r="P5" i="60"/>
  <c r="O5" i="60"/>
  <c r="M5" i="60"/>
  <c r="H5" i="60"/>
  <c r="C5" i="60"/>
  <c r="AB4" i="60"/>
  <c r="AD4" i="60" s="1"/>
  <c r="Y4" i="60"/>
  <c r="X4" i="60"/>
  <c r="P4" i="60"/>
  <c r="O4" i="60"/>
  <c r="Q4" i="60" s="1"/>
  <c r="M4" i="60"/>
  <c r="H4" i="60"/>
  <c r="C4" i="60"/>
  <c r="AG3" i="60"/>
  <c r="AF3" i="60"/>
  <c r="W3" i="60"/>
  <c r="X3" i="60" s="1"/>
  <c r="V3" i="60"/>
  <c r="U3" i="60"/>
  <c r="T3" i="60"/>
  <c r="O3" i="60"/>
  <c r="G3" i="60"/>
  <c r="H3" i="60" s="1"/>
  <c r="F3" i="60"/>
  <c r="D3" i="60"/>
  <c r="C3" i="60"/>
  <c r="A2" i="60"/>
  <c r="A1" i="60"/>
  <c r="AB32" i="59"/>
  <c r="AD32" i="59" s="1"/>
  <c r="J32" i="59" s="1"/>
  <c r="K32" i="59" s="1"/>
  <c r="Y32" i="59"/>
  <c r="X32" i="59"/>
  <c r="V32" i="59"/>
  <c r="U32" i="59"/>
  <c r="T32" i="59"/>
  <c r="P32" i="59"/>
  <c r="O32" i="59"/>
  <c r="Q32" i="59" s="1"/>
  <c r="M32" i="59"/>
  <c r="H32" i="59"/>
  <c r="C32" i="59"/>
  <c r="AB31" i="59"/>
  <c r="AD31" i="59" s="1"/>
  <c r="J31" i="59" s="1"/>
  <c r="Y31" i="59"/>
  <c r="X31" i="59"/>
  <c r="P31" i="59"/>
  <c r="O31" i="59"/>
  <c r="M31" i="59"/>
  <c r="H31" i="59"/>
  <c r="C31" i="59"/>
  <c r="AD30" i="59"/>
  <c r="J30" i="59" s="1"/>
  <c r="I30" i="59" s="1"/>
  <c r="AB30" i="59"/>
  <c r="Y30" i="59"/>
  <c r="X30" i="59"/>
  <c r="P30" i="59"/>
  <c r="O30" i="59"/>
  <c r="Q30" i="59" s="1"/>
  <c r="M30" i="59"/>
  <c r="K30" i="59"/>
  <c r="H30" i="59"/>
  <c r="C30" i="59"/>
  <c r="AB29" i="59"/>
  <c r="AD29" i="59" s="1"/>
  <c r="J29" i="59" s="1"/>
  <c r="Y29" i="59"/>
  <c r="X29" i="59"/>
  <c r="Q29" i="59"/>
  <c r="P29" i="59"/>
  <c r="O29" i="59"/>
  <c r="M29" i="59"/>
  <c r="H29" i="59"/>
  <c r="C29" i="59"/>
  <c r="AB28" i="59"/>
  <c r="AD28" i="59" s="1"/>
  <c r="J28" i="59" s="1"/>
  <c r="Y28" i="59"/>
  <c r="X28" i="59"/>
  <c r="P28" i="59"/>
  <c r="O28" i="59"/>
  <c r="Q28" i="59" s="1"/>
  <c r="M28" i="59"/>
  <c r="H28" i="59"/>
  <c r="C28" i="59"/>
  <c r="AB27" i="59"/>
  <c r="AD27" i="59" s="1"/>
  <c r="J27" i="59" s="1"/>
  <c r="Y27" i="59"/>
  <c r="X27" i="59"/>
  <c r="P27" i="59"/>
  <c r="O27" i="59"/>
  <c r="Q27" i="59" s="1"/>
  <c r="M27" i="59"/>
  <c r="H27" i="59"/>
  <c r="C27" i="59"/>
  <c r="AB26" i="59"/>
  <c r="AD26" i="59" s="1"/>
  <c r="Y26" i="59"/>
  <c r="X26" i="59"/>
  <c r="Q26" i="59"/>
  <c r="P26" i="59"/>
  <c r="O26" i="59"/>
  <c r="M26" i="59"/>
  <c r="J26" i="59"/>
  <c r="K26" i="59" s="1"/>
  <c r="H26" i="59"/>
  <c r="C26" i="59"/>
  <c r="AD25" i="59"/>
  <c r="J25" i="59" s="1"/>
  <c r="AB25" i="59"/>
  <c r="Y25" i="59"/>
  <c r="X25" i="59"/>
  <c r="Q25" i="59"/>
  <c r="P25" i="59"/>
  <c r="O25" i="59"/>
  <c r="M25" i="59"/>
  <c r="H25" i="59"/>
  <c r="C25" i="59"/>
  <c r="AD24" i="59"/>
  <c r="J24" i="59" s="1"/>
  <c r="K24" i="59" s="1"/>
  <c r="AB24" i="59"/>
  <c r="Y24" i="59"/>
  <c r="X24" i="59"/>
  <c r="P24" i="59"/>
  <c r="O24" i="59"/>
  <c r="Q24" i="59" s="1"/>
  <c r="M24" i="59"/>
  <c r="I24" i="59"/>
  <c r="H24" i="59"/>
  <c r="C24" i="59"/>
  <c r="AB23" i="59"/>
  <c r="AD23" i="59" s="1"/>
  <c r="J23" i="59" s="1"/>
  <c r="K23" i="59" s="1"/>
  <c r="Y23" i="59"/>
  <c r="X23" i="59"/>
  <c r="P23" i="59"/>
  <c r="O23" i="59"/>
  <c r="M23" i="59"/>
  <c r="H23" i="59"/>
  <c r="C23" i="59"/>
  <c r="AB22" i="59"/>
  <c r="AD22" i="59" s="1"/>
  <c r="J22" i="59" s="1"/>
  <c r="Y22" i="59"/>
  <c r="X22" i="59"/>
  <c r="P22" i="59"/>
  <c r="O22" i="59"/>
  <c r="M22" i="59"/>
  <c r="H22" i="59"/>
  <c r="C22" i="59"/>
  <c r="AB21" i="59"/>
  <c r="AD21" i="59" s="1"/>
  <c r="J21" i="59" s="1"/>
  <c r="Y21" i="59"/>
  <c r="X21" i="59"/>
  <c r="Q21" i="59"/>
  <c r="P21" i="59"/>
  <c r="O21" i="59"/>
  <c r="M21" i="59"/>
  <c r="H21" i="59"/>
  <c r="C21" i="59"/>
  <c r="AB20" i="59"/>
  <c r="AD20" i="59" s="1"/>
  <c r="J20" i="59" s="1"/>
  <c r="Y20" i="59"/>
  <c r="X20" i="59"/>
  <c r="Q20" i="59"/>
  <c r="P20" i="59"/>
  <c r="O20" i="59"/>
  <c r="M20" i="59"/>
  <c r="H20" i="59"/>
  <c r="C20" i="59"/>
  <c r="AB19" i="59"/>
  <c r="AD19" i="59" s="1"/>
  <c r="Y19" i="59"/>
  <c r="X19" i="59"/>
  <c r="P19" i="59"/>
  <c r="O19" i="59"/>
  <c r="Q19" i="59" s="1"/>
  <c r="M19" i="59"/>
  <c r="J19" i="59"/>
  <c r="K19" i="59" s="1"/>
  <c r="H19" i="59"/>
  <c r="C19" i="59"/>
  <c r="AB18" i="59"/>
  <c r="AD18" i="59" s="1"/>
  <c r="J18" i="59" s="1"/>
  <c r="Y18" i="59"/>
  <c r="X18" i="59"/>
  <c r="P18" i="59"/>
  <c r="Q18" i="59" s="1"/>
  <c r="O18" i="59"/>
  <c r="M18" i="59"/>
  <c r="H18" i="59"/>
  <c r="C18" i="59"/>
  <c r="AD17" i="59"/>
  <c r="J17" i="59" s="1"/>
  <c r="I17" i="59" s="1"/>
  <c r="AB17" i="59"/>
  <c r="Y17" i="59"/>
  <c r="X17" i="59"/>
  <c r="P17" i="59"/>
  <c r="Q17" i="59" s="1"/>
  <c r="O17" i="59"/>
  <c r="M17" i="59"/>
  <c r="K17" i="59"/>
  <c r="H17" i="59"/>
  <c r="C17" i="59"/>
  <c r="AD16" i="59"/>
  <c r="J16" i="59" s="1"/>
  <c r="K16" i="59" s="1"/>
  <c r="AB16" i="59"/>
  <c r="Y16" i="59"/>
  <c r="X16" i="59"/>
  <c r="P16" i="59"/>
  <c r="O16" i="59"/>
  <c r="Q16" i="59" s="1"/>
  <c r="M16" i="59"/>
  <c r="I16" i="59"/>
  <c r="H16" i="59"/>
  <c r="C16" i="59"/>
  <c r="AB15" i="59"/>
  <c r="AD15" i="59" s="1"/>
  <c r="J15" i="59" s="1"/>
  <c r="K15" i="59" s="1"/>
  <c r="Y15" i="59"/>
  <c r="X15" i="59"/>
  <c r="P15" i="59"/>
  <c r="O15" i="59"/>
  <c r="M15" i="59"/>
  <c r="I15" i="59"/>
  <c r="H15" i="59"/>
  <c r="C15" i="59"/>
  <c r="AD14" i="59"/>
  <c r="AB14" i="59"/>
  <c r="Y14" i="59"/>
  <c r="X14" i="59"/>
  <c r="P14" i="59"/>
  <c r="O14" i="59"/>
  <c r="Q14" i="59" s="1"/>
  <c r="M14" i="59"/>
  <c r="J14" i="59"/>
  <c r="I14" i="59" s="1"/>
  <c r="H14" i="59"/>
  <c r="C14" i="59"/>
  <c r="AB13" i="59"/>
  <c r="AD13" i="59" s="1"/>
  <c r="J13" i="59" s="1"/>
  <c r="Y13" i="59"/>
  <c r="X13" i="59"/>
  <c r="Q13" i="59"/>
  <c r="P13" i="59"/>
  <c r="O13" i="59"/>
  <c r="M13" i="59"/>
  <c r="H13" i="59"/>
  <c r="C13" i="59"/>
  <c r="AB12" i="59"/>
  <c r="AD12" i="59" s="1"/>
  <c r="J12" i="59" s="1"/>
  <c r="Y12" i="59"/>
  <c r="X12" i="59"/>
  <c r="Q12" i="59"/>
  <c r="P12" i="59"/>
  <c r="O12" i="59"/>
  <c r="M12" i="59"/>
  <c r="H12" i="59"/>
  <c r="C12" i="59"/>
  <c r="AB11" i="59"/>
  <c r="AD11" i="59" s="1"/>
  <c r="Y11" i="59"/>
  <c r="X11" i="59"/>
  <c r="P11" i="59"/>
  <c r="O11" i="59"/>
  <c r="Q11" i="59" s="1"/>
  <c r="M11" i="59"/>
  <c r="J11" i="59"/>
  <c r="H11" i="59"/>
  <c r="C11" i="59"/>
  <c r="AB10" i="59"/>
  <c r="AD10" i="59" s="1"/>
  <c r="J10" i="59" s="1"/>
  <c r="Y10" i="59"/>
  <c r="X10" i="59"/>
  <c r="P10" i="59"/>
  <c r="Q10" i="59" s="1"/>
  <c r="O10" i="59"/>
  <c r="M10" i="59"/>
  <c r="H10" i="59"/>
  <c r="C10" i="59"/>
  <c r="AD9" i="59"/>
  <c r="J9" i="59" s="1"/>
  <c r="I9" i="59" s="1"/>
  <c r="AB9" i="59"/>
  <c r="Y9" i="59"/>
  <c r="X9" i="59"/>
  <c r="P9" i="59"/>
  <c r="Q9" i="59" s="1"/>
  <c r="O9" i="59"/>
  <c r="M9" i="59"/>
  <c r="K9" i="59"/>
  <c r="H9" i="59"/>
  <c r="C9" i="59"/>
  <c r="AD8" i="59"/>
  <c r="AB8" i="59"/>
  <c r="Y8" i="59"/>
  <c r="X8" i="59"/>
  <c r="P8" i="59"/>
  <c r="O8" i="59"/>
  <c r="Q8" i="59" s="1"/>
  <c r="M8" i="59"/>
  <c r="J8" i="59"/>
  <c r="K8" i="59" s="1"/>
  <c r="H8" i="59"/>
  <c r="C8" i="59"/>
  <c r="AB7" i="59"/>
  <c r="AD7" i="59" s="1"/>
  <c r="J7" i="59" s="1"/>
  <c r="Y7" i="59"/>
  <c r="X7" i="59"/>
  <c r="P7" i="59"/>
  <c r="Q7" i="59" s="1"/>
  <c r="O7" i="59"/>
  <c r="M7" i="59"/>
  <c r="H7" i="59"/>
  <c r="C7" i="59"/>
  <c r="AB6" i="59"/>
  <c r="AD6" i="59" s="1"/>
  <c r="J6" i="59" s="1"/>
  <c r="Y6" i="59"/>
  <c r="X6" i="59"/>
  <c r="P6" i="59"/>
  <c r="O6" i="59"/>
  <c r="Q6" i="59" s="1"/>
  <c r="M6" i="59"/>
  <c r="H6" i="59"/>
  <c r="C6" i="59"/>
  <c r="AB5" i="59"/>
  <c r="AD5" i="59" s="1"/>
  <c r="Y5" i="59"/>
  <c r="X5" i="59"/>
  <c r="Q5" i="59"/>
  <c r="P5" i="59"/>
  <c r="O5" i="59"/>
  <c r="M5" i="59"/>
  <c r="H5" i="59"/>
  <c r="C5" i="59"/>
  <c r="AD4" i="59"/>
  <c r="J4" i="59" s="1"/>
  <c r="K4" i="59" s="1"/>
  <c r="AB4" i="59"/>
  <c r="Y4" i="59"/>
  <c r="X4" i="59"/>
  <c r="P4" i="59"/>
  <c r="O4" i="59"/>
  <c r="Q4" i="59" s="1"/>
  <c r="M4" i="59"/>
  <c r="I4" i="59"/>
  <c r="H4" i="59"/>
  <c r="C4" i="59"/>
  <c r="AG3" i="59"/>
  <c r="AF3" i="59"/>
  <c r="X3" i="59"/>
  <c r="W3" i="59"/>
  <c r="V3" i="59"/>
  <c r="U3" i="59"/>
  <c r="T3" i="59"/>
  <c r="O3" i="59"/>
  <c r="G3" i="59"/>
  <c r="H3" i="59" s="1"/>
  <c r="F3" i="59"/>
  <c r="D3" i="59"/>
  <c r="C3" i="59"/>
  <c r="A2" i="59"/>
  <c r="A1" i="59"/>
  <c r="AD32" i="58"/>
  <c r="J32" i="58" s="1"/>
  <c r="AB32" i="58"/>
  <c r="Y32" i="58"/>
  <c r="X32" i="58"/>
  <c r="V32" i="58"/>
  <c r="U32" i="58"/>
  <c r="T32" i="58"/>
  <c r="Q32" i="58"/>
  <c r="P32" i="58"/>
  <c r="O32" i="58"/>
  <c r="M32" i="58"/>
  <c r="H32" i="58"/>
  <c r="C32" i="58"/>
  <c r="AB31" i="58"/>
  <c r="AD31" i="58" s="1"/>
  <c r="J31" i="58" s="1"/>
  <c r="Y31" i="58"/>
  <c r="X31" i="58"/>
  <c r="P31" i="58"/>
  <c r="O31" i="58"/>
  <c r="Q31" i="58" s="1"/>
  <c r="M31" i="58"/>
  <c r="H31" i="58"/>
  <c r="C31" i="58"/>
  <c r="AB30" i="58"/>
  <c r="AD30" i="58" s="1"/>
  <c r="J30" i="58" s="1"/>
  <c r="K30" i="58" s="1"/>
  <c r="Y30" i="58"/>
  <c r="X30" i="58"/>
  <c r="P30" i="58"/>
  <c r="O30" i="58"/>
  <c r="Q30" i="58" s="1"/>
  <c r="M30" i="58"/>
  <c r="H30" i="58"/>
  <c r="C30" i="58"/>
  <c r="AB29" i="58"/>
  <c r="AD29" i="58" s="1"/>
  <c r="J29" i="58" s="1"/>
  <c r="Y29" i="58"/>
  <c r="X29" i="58"/>
  <c r="P29" i="58"/>
  <c r="Q29" i="58" s="1"/>
  <c r="O29" i="58"/>
  <c r="M29" i="58"/>
  <c r="H29" i="58"/>
  <c r="C29" i="58"/>
  <c r="AD28" i="58"/>
  <c r="J28" i="58" s="1"/>
  <c r="I28" i="58" s="1"/>
  <c r="AB28" i="58"/>
  <c r="Y28" i="58"/>
  <c r="X28" i="58"/>
  <c r="Q28" i="58"/>
  <c r="P28" i="58"/>
  <c r="O28" i="58"/>
  <c r="M28" i="58"/>
  <c r="K28" i="58"/>
  <c r="H28" i="58"/>
  <c r="C28" i="58"/>
  <c r="AB27" i="58"/>
  <c r="AD27" i="58" s="1"/>
  <c r="J27" i="58" s="1"/>
  <c r="Y27" i="58"/>
  <c r="X27" i="58"/>
  <c r="P27" i="58"/>
  <c r="Q27" i="58" s="1"/>
  <c r="O27" i="58"/>
  <c r="M27" i="58"/>
  <c r="H27" i="58"/>
  <c r="C27" i="58"/>
  <c r="AD26" i="58"/>
  <c r="J26" i="58" s="1"/>
  <c r="AB26" i="58"/>
  <c r="Y26" i="58"/>
  <c r="X26" i="58"/>
  <c r="P26" i="58"/>
  <c r="O26" i="58"/>
  <c r="Q26" i="58" s="1"/>
  <c r="M26" i="58"/>
  <c r="H26" i="58"/>
  <c r="C26" i="58"/>
  <c r="AB25" i="58"/>
  <c r="AD25" i="58" s="1"/>
  <c r="Y25" i="58"/>
  <c r="X25" i="58"/>
  <c r="P25" i="58"/>
  <c r="Q25" i="58" s="1"/>
  <c r="O25" i="58"/>
  <c r="M25" i="58"/>
  <c r="J25" i="58"/>
  <c r="H25" i="58"/>
  <c r="C25" i="58"/>
  <c r="AD24" i="58"/>
  <c r="J24" i="58" s="1"/>
  <c r="AB24" i="58"/>
  <c r="Y24" i="58"/>
  <c r="X24" i="58"/>
  <c r="Q24" i="58"/>
  <c r="P24" i="58"/>
  <c r="O24" i="58"/>
  <c r="M24" i="58"/>
  <c r="H24" i="58"/>
  <c r="C24" i="58"/>
  <c r="AB23" i="58"/>
  <c r="AD23" i="58" s="1"/>
  <c r="J23" i="58" s="1"/>
  <c r="Y23" i="58"/>
  <c r="X23" i="58"/>
  <c r="P23" i="58"/>
  <c r="O23" i="58"/>
  <c r="Q23" i="58" s="1"/>
  <c r="M23" i="58"/>
  <c r="H23" i="58"/>
  <c r="C23" i="58"/>
  <c r="AB22" i="58"/>
  <c r="AD22" i="58" s="1"/>
  <c r="J22" i="58" s="1"/>
  <c r="K22" i="58" s="1"/>
  <c r="Y22" i="58"/>
  <c r="X22" i="58"/>
  <c r="P22" i="58"/>
  <c r="O22" i="58"/>
  <c r="Q22" i="58" s="1"/>
  <c r="M22" i="58"/>
  <c r="H22" i="58"/>
  <c r="C22" i="58"/>
  <c r="AB21" i="58"/>
  <c r="AD21" i="58" s="1"/>
  <c r="J21" i="58" s="1"/>
  <c r="Y21" i="58"/>
  <c r="X21" i="58"/>
  <c r="P21" i="58"/>
  <c r="Q21" i="58" s="1"/>
  <c r="O21" i="58"/>
  <c r="M21" i="58"/>
  <c r="H21" i="58"/>
  <c r="C21" i="58"/>
  <c r="AD20" i="58"/>
  <c r="J20" i="58" s="1"/>
  <c r="I20" i="58" s="1"/>
  <c r="AB20" i="58"/>
  <c r="Y20" i="58"/>
  <c r="X20" i="58"/>
  <c r="Q20" i="58"/>
  <c r="P20" i="58"/>
  <c r="O20" i="58"/>
  <c r="M20" i="58"/>
  <c r="K20" i="58"/>
  <c r="H20" i="58"/>
  <c r="C20" i="58"/>
  <c r="AB19" i="58"/>
  <c r="AD19" i="58" s="1"/>
  <c r="J19" i="58" s="1"/>
  <c r="Y19" i="58"/>
  <c r="X19" i="58"/>
  <c r="P19" i="58"/>
  <c r="Q19" i="58" s="1"/>
  <c r="O19" i="58"/>
  <c r="M19" i="58"/>
  <c r="H19" i="58"/>
  <c r="C19" i="58"/>
  <c r="AD18" i="58"/>
  <c r="J18" i="58" s="1"/>
  <c r="AB18" i="58"/>
  <c r="Y18" i="58"/>
  <c r="X18" i="58"/>
  <c r="P18" i="58"/>
  <c r="O18" i="58"/>
  <c r="Q18" i="58" s="1"/>
  <c r="M18" i="58"/>
  <c r="H18" i="58"/>
  <c r="C18" i="58"/>
  <c r="AB17" i="58"/>
  <c r="AD17" i="58" s="1"/>
  <c r="Y17" i="58"/>
  <c r="X17" i="58"/>
  <c r="P17" i="58"/>
  <c r="Q17" i="58" s="1"/>
  <c r="O17" i="58"/>
  <c r="M17" i="58"/>
  <c r="J17" i="58"/>
  <c r="H17" i="58"/>
  <c r="C17" i="58"/>
  <c r="AD16" i="58"/>
  <c r="J16" i="58" s="1"/>
  <c r="AB16" i="58"/>
  <c r="Y16" i="58"/>
  <c r="X16" i="58"/>
  <c r="Q16" i="58"/>
  <c r="P16" i="58"/>
  <c r="O16" i="58"/>
  <c r="M16" i="58"/>
  <c r="H16" i="58"/>
  <c r="C16" i="58"/>
  <c r="AB15" i="58"/>
  <c r="AD15" i="58" s="1"/>
  <c r="J15" i="58" s="1"/>
  <c r="Y15" i="58"/>
  <c r="X15" i="58"/>
  <c r="P15" i="58"/>
  <c r="O15" i="58"/>
  <c r="Q15" i="58" s="1"/>
  <c r="M15" i="58"/>
  <c r="H15" i="58"/>
  <c r="C15" i="58"/>
  <c r="AB14" i="58"/>
  <c r="AD14" i="58" s="1"/>
  <c r="J14" i="58" s="1"/>
  <c r="K14" i="58" s="1"/>
  <c r="Y14" i="58"/>
  <c r="X14" i="58"/>
  <c r="P14" i="58"/>
  <c r="O14" i="58"/>
  <c r="Q14" i="58" s="1"/>
  <c r="M14" i="58"/>
  <c r="H14" i="58"/>
  <c r="C14" i="58"/>
  <c r="AB13" i="58"/>
  <c r="AD13" i="58" s="1"/>
  <c r="J13" i="58" s="1"/>
  <c r="Y13" i="58"/>
  <c r="X13" i="58"/>
  <c r="P13" i="58"/>
  <c r="Q13" i="58" s="1"/>
  <c r="O13" i="58"/>
  <c r="M13" i="58"/>
  <c r="H13" i="58"/>
  <c r="C13" i="58"/>
  <c r="AD12" i="58"/>
  <c r="J12" i="58" s="1"/>
  <c r="I12" i="58" s="1"/>
  <c r="AB12" i="58"/>
  <c r="Y12" i="58"/>
  <c r="X12" i="58"/>
  <c r="Q12" i="58"/>
  <c r="P12" i="58"/>
  <c r="O12" i="58"/>
  <c r="M12" i="58"/>
  <c r="K12" i="58"/>
  <c r="H12" i="58"/>
  <c r="C12" i="58"/>
  <c r="AB11" i="58"/>
  <c r="AD11" i="58" s="1"/>
  <c r="J11" i="58" s="1"/>
  <c r="Y11" i="58"/>
  <c r="X11" i="58"/>
  <c r="P11" i="58"/>
  <c r="Q11" i="58" s="1"/>
  <c r="O11" i="58"/>
  <c r="M11" i="58"/>
  <c r="H11" i="58"/>
  <c r="C11" i="58"/>
  <c r="AD10" i="58"/>
  <c r="J10" i="58" s="1"/>
  <c r="AB10" i="58"/>
  <c r="Y10" i="58"/>
  <c r="X10" i="58"/>
  <c r="P10" i="58"/>
  <c r="O10" i="58"/>
  <c r="Q10" i="58" s="1"/>
  <c r="M10" i="58"/>
  <c r="H10" i="58"/>
  <c r="C10" i="58"/>
  <c r="AB9" i="58"/>
  <c r="AD9" i="58" s="1"/>
  <c r="Y9" i="58"/>
  <c r="X9" i="58"/>
  <c r="P9" i="58"/>
  <c r="O9" i="58"/>
  <c r="Q9" i="58" s="1"/>
  <c r="M9" i="58"/>
  <c r="J9" i="58"/>
  <c r="H9" i="58"/>
  <c r="C9" i="58"/>
  <c r="AD8" i="58"/>
  <c r="J8" i="58" s="1"/>
  <c r="AB8" i="58"/>
  <c r="Y8" i="58"/>
  <c r="X8" i="58"/>
  <c r="Q8" i="58"/>
  <c r="P8" i="58"/>
  <c r="O8" i="58"/>
  <c r="M8" i="58"/>
  <c r="H8" i="58"/>
  <c r="C8" i="58"/>
  <c r="AB7" i="58"/>
  <c r="AD7" i="58" s="1"/>
  <c r="J7" i="58" s="1"/>
  <c r="Y7" i="58"/>
  <c r="X7" i="58"/>
  <c r="P7" i="58"/>
  <c r="O7" i="58"/>
  <c r="Q7" i="58" s="1"/>
  <c r="M7" i="58"/>
  <c r="H7" i="58"/>
  <c r="C7" i="58"/>
  <c r="AB6" i="58"/>
  <c r="AD6" i="58" s="1"/>
  <c r="J6" i="58" s="1"/>
  <c r="K6" i="58" s="1"/>
  <c r="Y6" i="58"/>
  <c r="X6" i="58"/>
  <c r="P6" i="58"/>
  <c r="O6" i="58"/>
  <c r="Q6" i="58" s="1"/>
  <c r="M6" i="58"/>
  <c r="H6" i="58"/>
  <c r="C6" i="58"/>
  <c r="AB5" i="58"/>
  <c r="AD5" i="58" s="1"/>
  <c r="J5" i="58" s="1"/>
  <c r="Y5" i="58"/>
  <c r="X5" i="58"/>
  <c r="P5" i="58"/>
  <c r="Q5" i="58" s="1"/>
  <c r="O5" i="58"/>
  <c r="M5" i="58"/>
  <c r="H5" i="58"/>
  <c r="C5" i="58"/>
  <c r="AD4" i="58"/>
  <c r="AB4" i="58"/>
  <c r="Y4" i="58"/>
  <c r="X4" i="58"/>
  <c r="Q4" i="58"/>
  <c r="P4" i="58"/>
  <c r="O4" i="58"/>
  <c r="M4" i="58"/>
  <c r="H4" i="58"/>
  <c r="C4" i="58"/>
  <c r="AG3" i="58"/>
  <c r="AF3" i="58"/>
  <c r="X3" i="58"/>
  <c r="W3" i="58"/>
  <c r="V3" i="58"/>
  <c r="U3" i="58"/>
  <c r="T3" i="58"/>
  <c r="O3" i="58"/>
  <c r="G3" i="58"/>
  <c r="H3" i="58" s="1"/>
  <c r="F3" i="58"/>
  <c r="D3" i="58"/>
  <c r="C3" i="58"/>
  <c r="A2" i="58"/>
  <c r="A1" i="58"/>
  <c r="AD32" i="57"/>
  <c r="J32" i="57" s="1"/>
  <c r="AB32" i="57"/>
  <c r="Y32" i="57"/>
  <c r="X32" i="57"/>
  <c r="V32" i="57"/>
  <c r="U32" i="57"/>
  <c r="T32" i="57"/>
  <c r="Q32" i="57"/>
  <c r="P32" i="57"/>
  <c r="O32" i="57"/>
  <c r="M32" i="57"/>
  <c r="H32" i="57"/>
  <c r="C32" i="57"/>
  <c r="AB31" i="57"/>
  <c r="AD31" i="57" s="1"/>
  <c r="J31" i="57" s="1"/>
  <c r="Y31" i="57"/>
  <c r="X31" i="57"/>
  <c r="P31" i="57"/>
  <c r="O31" i="57"/>
  <c r="Q31" i="57" s="1"/>
  <c r="M31" i="57"/>
  <c r="H31" i="57"/>
  <c r="C31" i="57"/>
  <c r="AB30" i="57"/>
  <c r="AD30" i="57" s="1"/>
  <c r="J30" i="57" s="1"/>
  <c r="Y30" i="57"/>
  <c r="X30" i="57"/>
  <c r="P30" i="57"/>
  <c r="O30" i="57"/>
  <c r="Q30" i="57" s="1"/>
  <c r="M30" i="57"/>
  <c r="H30" i="57"/>
  <c r="C30" i="57"/>
  <c r="AB29" i="57"/>
  <c r="AD29" i="57" s="1"/>
  <c r="J29" i="57" s="1"/>
  <c r="Y29" i="57"/>
  <c r="X29" i="57"/>
  <c r="P29" i="57"/>
  <c r="Q29" i="57" s="1"/>
  <c r="O29" i="57"/>
  <c r="M29" i="57"/>
  <c r="H29" i="57"/>
  <c r="C29" i="57"/>
  <c r="AD28" i="57"/>
  <c r="J28" i="57" s="1"/>
  <c r="I28" i="57" s="1"/>
  <c r="AB28" i="57"/>
  <c r="Y28" i="57"/>
  <c r="X28" i="57"/>
  <c r="Q28" i="57"/>
  <c r="P28" i="57"/>
  <c r="O28" i="57"/>
  <c r="M28" i="57"/>
  <c r="K28" i="57"/>
  <c r="H28" i="57"/>
  <c r="C28" i="57"/>
  <c r="AB27" i="57"/>
  <c r="AD27" i="57" s="1"/>
  <c r="J27" i="57" s="1"/>
  <c r="Y27" i="57"/>
  <c r="X27" i="57"/>
  <c r="Q27" i="57"/>
  <c r="P27" i="57"/>
  <c r="O27" i="57"/>
  <c r="M27" i="57"/>
  <c r="H27" i="57"/>
  <c r="C27" i="57"/>
  <c r="AD26" i="57"/>
  <c r="J26" i="57" s="1"/>
  <c r="AB26" i="57"/>
  <c r="Y26" i="57"/>
  <c r="X26" i="57"/>
  <c r="P26" i="57"/>
  <c r="O26" i="57"/>
  <c r="Q26" i="57" s="1"/>
  <c r="M26" i="57"/>
  <c r="H26" i="57"/>
  <c r="C26" i="57"/>
  <c r="AB25" i="57"/>
  <c r="AD25" i="57" s="1"/>
  <c r="Y25" i="57"/>
  <c r="X25" i="57"/>
  <c r="P25" i="57"/>
  <c r="Q25" i="57" s="1"/>
  <c r="O25" i="57"/>
  <c r="M25" i="57"/>
  <c r="J25" i="57"/>
  <c r="H25" i="57"/>
  <c r="C25" i="57"/>
  <c r="AD24" i="57"/>
  <c r="J24" i="57" s="1"/>
  <c r="AB24" i="57"/>
  <c r="Y24" i="57"/>
  <c r="X24" i="57"/>
  <c r="Q24" i="57"/>
  <c r="P24" i="57"/>
  <c r="O24" i="57"/>
  <c r="M24" i="57"/>
  <c r="H24" i="57"/>
  <c r="C24" i="57"/>
  <c r="AB23" i="57"/>
  <c r="AD23" i="57" s="1"/>
  <c r="J23" i="57" s="1"/>
  <c r="Y23" i="57"/>
  <c r="X23" i="57"/>
  <c r="P23" i="57"/>
  <c r="O23" i="57"/>
  <c r="Q23" i="57" s="1"/>
  <c r="M23" i="57"/>
  <c r="H23" i="57"/>
  <c r="C23" i="57"/>
  <c r="AB22" i="57"/>
  <c r="AD22" i="57" s="1"/>
  <c r="J22" i="57" s="1"/>
  <c r="K22" i="57" s="1"/>
  <c r="Y22" i="57"/>
  <c r="X22" i="57"/>
  <c r="P22" i="57"/>
  <c r="O22" i="57"/>
  <c r="Q22" i="57" s="1"/>
  <c r="M22" i="57"/>
  <c r="I22" i="57"/>
  <c r="H22" i="57"/>
  <c r="C22" i="57"/>
  <c r="AB21" i="57"/>
  <c r="AD21" i="57" s="1"/>
  <c r="J21" i="57" s="1"/>
  <c r="Y21" i="57"/>
  <c r="X21" i="57"/>
  <c r="P21" i="57"/>
  <c r="Q21" i="57" s="1"/>
  <c r="O21" i="57"/>
  <c r="M21" i="57"/>
  <c r="H21" i="57"/>
  <c r="C21" i="57"/>
  <c r="AD20" i="57"/>
  <c r="J20" i="57" s="1"/>
  <c r="I20" i="57" s="1"/>
  <c r="AB20" i="57"/>
  <c r="Y20" i="57"/>
  <c r="X20" i="57"/>
  <c r="Q20" i="57"/>
  <c r="P20" i="57"/>
  <c r="O20" i="57"/>
  <c r="M20" i="57"/>
  <c r="K20" i="57"/>
  <c r="H20" i="57"/>
  <c r="C20" i="57"/>
  <c r="AB19" i="57"/>
  <c r="AD19" i="57" s="1"/>
  <c r="J19" i="57" s="1"/>
  <c r="Y19" i="57"/>
  <c r="X19" i="57"/>
  <c r="Q19" i="57"/>
  <c r="P19" i="57"/>
  <c r="O19" i="57"/>
  <c r="M19" i="57"/>
  <c r="H19" i="57"/>
  <c r="C19" i="57"/>
  <c r="AD18" i="57"/>
  <c r="J18" i="57" s="1"/>
  <c r="AB18" i="57"/>
  <c r="Y18" i="57"/>
  <c r="X18" i="57"/>
  <c r="P18" i="57"/>
  <c r="O18" i="57"/>
  <c r="Q18" i="57" s="1"/>
  <c r="M18" i="57"/>
  <c r="H18" i="57"/>
  <c r="C18" i="57"/>
  <c r="AB17" i="57"/>
  <c r="AD17" i="57" s="1"/>
  <c r="J17" i="57" s="1"/>
  <c r="Y17" i="57"/>
  <c r="X17" i="57"/>
  <c r="P17" i="57"/>
  <c r="Q17" i="57" s="1"/>
  <c r="O17" i="57"/>
  <c r="M17" i="57"/>
  <c r="H17" i="57"/>
  <c r="C17" i="57"/>
  <c r="AD16" i="57"/>
  <c r="J16" i="57" s="1"/>
  <c r="AB16" i="57"/>
  <c r="Y16" i="57"/>
  <c r="X16" i="57"/>
  <c r="Q16" i="57"/>
  <c r="P16" i="57"/>
  <c r="O16" i="57"/>
  <c r="M16" i="57"/>
  <c r="H16" i="57"/>
  <c r="C16" i="57"/>
  <c r="AB15" i="57"/>
  <c r="AD15" i="57" s="1"/>
  <c r="J15" i="57" s="1"/>
  <c r="Y15" i="57"/>
  <c r="X15" i="57"/>
  <c r="P15" i="57"/>
  <c r="O15" i="57"/>
  <c r="Q15" i="57" s="1"/>
  <c r="M15" i="57"/>
  <c r="H15" i="57"/>
  <c r="C15" i="57"/>
  <c r="AB14" i="57"/>
  <c r="AD14" i="57" s="1"/>
  <c r="J14" i="57" s="1"/>
  <c r="K14" i="57" s="1"/>
  <c r="Y14" i="57"/>
  <c r="X14" i="57"/>
  <c r="P14" i="57"/>
  <c r="O14" i="57"/>
  <c r="Q14" i="57" s="1"/>
  <c r="M14" i="57"/>
  <c r="I14" i="57"/>
  <c r="H14" i="57"/>
  <c r="C14" i="57"/>
  <c r="AB13" i="57"/>
  <c r="AD13" i="57" s="1"/>
  <c r="J13" i="57" s="1"/>
  <c r="Y13" i="57"/>
  <c r="X13" i="57"/>
  <c r="P13" i="57"/>
  <c r="Q13" i="57" s="1"/>
  <c r="O13" i="57"/>
  <c r="M13" i="57"/>
  <c r="H13" i="57"/>
  <c r="C13" i="57"/>
  <c r="AD12" i="57"/>
  <c r="J12" i="57" s="1"/>
  <c r="I12" i="57" s="1"/>
  <c r="AB12" i="57"/>
  <c r="Y12" i="57"/>
  <c r="X12" i="57"/>
  <c r="Q12" i="57"/>
  <c r="P12" i="57"/>
  <c r="O12" i="57"/>
  <c r="M12" i="57"/>
  <c r="K12" i="57"/>
  <c r="H12" i="57"/>
  <c r="C12" i="57"/>
  <c r="AB11" i="57"/>
  <c r="AD11" i="57" s="1"/>
  <c r="J11" i="57" s="1"/>
  <c r="Y11" i="57"/>
  <c r="X11" i="57"/>
  <c r="Q11" i="57"/>
  <c r="P11" i="57"/>
  <c r="O11" i="57"/>
  <c r="M11" i="57"/>
  <c r="H11" i="57"/>
  <c r="C11" i="57"/>
  <c r="AD10" i="57"/>
  <c r="J10" i="57" s="1"/>
  <c r="AB10" i="57"/>
  <c r="Y10" i="57"/>
  <c r="X10" i="57"/>
  <c r="P10" i="57"/>
  <c r="O10" i="57"/>
  <c r="Q10" i="57" s="1"/>
  <c r="M10" i="57"/>
  <c r="H10" i="57"/>
  <c r="C10" i="57"/>
  <c r="AB9" i="57"/>
  <c r="AD9" i="57" s="1"/>
  <c r="J9" i="57" s="1"/>
  <c r="Y9" i="57"/>
  <c r="X9" i="57"/>
  <c r="P9" i="57"/>
  <c r="Q9" i="57" s="1"/>
  <c r="O9" i="57"/>
  <c r="M9" i="57"/>
  <c r="H9" i="57"/>
  <c r="C9" i="57"/>
  <c r="AD8" i="57"/>
  <c r="J8" i="57" s="1"/>
  <c r="AB8" i="57"/>
  <c r="Y8" i="57"/>
  <c r="X8" i="57"/>
  <c r="Q8" i="57"/>
  <c r="P8" i="57"/>
  <c r="O8" i="57"/>
  <c r="M8" i="57"/>
  <c r="H8" i="57"/>
  <c r="C8" i="57"/>
  <c r="AB7" i="57"/>
  <c r="AD7" i="57" s="1"/>
  <c r="J7" i="57" s="1"/>
  <c r="Y7" i="57"/>
  <c r="X7" i="57"/>
  <c r="P7" i="57"/>
  <c r="O7" i="57"/>
  <c r="Q7" i="57" s="1"/>
  <c r="M7" i="57"/>
  <c r="H7" i="57"/>
  <c r="C7" i="57"/>
  <c r="AB6" i="57"/>
  <c r="AD6" i="57" s="1"/>
  <c r="J6" i="57" s="1"/>
  <c r="K6" i="57" s="1"/>
  <c r="Y6" i="57"/>
  <c r="X6" i="57"/>
  <c r="P6" i="57"/>
  <c r="O6" i="57"/>
  <c r="Q6" i="57" s="1"/>
  <c r="M6" i="57"/>
  <c r="H6" i="57"/>
  <c r="C6" i="57"/>
  <c r="AB5" i="57"/>
  <c r="AD5" i="57" s="1"/>
  <c r="J5" i="57" s="1"/>
  <c r="Y5" i="57"/>
  <c r="X5" i="57"/>
  <c r="P5" i="57"/>
  <c r="Q5" i="57" s="1"/>
  <c r="O5" i="57"/>
  <c r="M5" i="57"/>
  <c r="H5" i="57"/>
  <c r="C5" i="57"/>
  <c r="AD4" i="57"/>
  <c r="AB4" i="57"/>
  <c r="Y4" i="57"/>
  <c r="X4" i="57"/>
  <c r="Q4" i="57"/>
  <c r="P4" i="57"/>
  <c r="O4" i="57"/>
  <c r="M4" i="57"/>
  <c r="H4" i="57"/>
  <c r="C4" i="57"/>
  <c r="AG3" i="57"/>
  <c r="AF3" i="57"/>
  <c r="X3" i="57"/>
  <c r="W3" i="57"/>
  <c r="V3" i="57"/>
  <c r="U3" i="57"/>
  <c r="T3" i="57"/>
  <c r="O3" i="57"/>
  <c r="G3" i="57"/>
  <c r="H3" i="57" s="1"/>
  <c r="F3" i="57"/>
  <c r="D3" i="57"/>
  <c r="C3" i="57"/>
  <c r="A2" i="57"/>
  <c r="A1" i="57"/>
  <c r="AD32" i="56"/>
  <c r="J32" i="56" s="1"/>
  <c r="AB32" i="56"/>
  <c r="Y32" i="56"/>
  <c r="X32" i="56"/>
  <c r="V32" i="56"/>
  <c r="U32" i="56"/>
  <c r="T32" i="56"/>
  <c r="Q32" i="56"/>
  <c r="P32" i="56"/>
  <c r="O32" i="56"/>
  <c r="M32" i="56"/>
  <c r="H32" i="56"/>
  <c r="C32" i="56"/>
  <c r="AB31" i="56"/>
  <c r="AD31" i="56" s="1"/>
  <c r="J31" i="56" s="1"/>
  <c r="Y31" i="56"/>
  <c r="X31" i="56"/>
  <c r="P31" i="56"/>
  <c r="O31" i="56"/>
  <c r="Q31" i="56" s="1"/>
  <c r="M31" i="56"/>
  <c r="H31" i="56"/>
  <c r="C31" i="56"/>
  <c r="AB30" i="56"/>
  <c r="AD30" i="56" s="1"/>
  <c r="J30" i="56" s="1"/>
  <c r="K30" i="56" s="1"/>
  <c r="Y30" i="56"/>
  <c r="X30" i="56"/>
  <c r="P30" i="56"/>
  <c r="O30" i="56"/>
  <c r="Q30" i="56" s="1"/>
  <c r="M30" i="56"/>
  <c r="I30" i="56"/>
  <c r="H30" i="56"/>
  <c r="C30" i="56"/>
  <c r="AB29" i="56"/>
  <c r="AD29" i="56" s="1"/>
  <c r="J29" i="56" s="1"/>
  <c r="Y29" i="56"/>
  <c r="X29" i="56"/>
  <c r="P29" i="56"/>
  <c r="Q29" i="56" s="1"/>
  <c r="O29" i="56"/>
  <c r="M29" i="56"/>
  <c r="H29" i="56"/>
  <c r="C29" i="56"/>
  <c r="AD28" i="56"/>
  <c r="J28" i="56" s="1"/>
  <c r="I28" i="56" s="1"/>
  <c r="AB28" i="56"/>
  <c r="Y28" i="56"/>
  <c r="X28" i="56"/>
  <c r="Q28" i="56"/>
  <c r="P28" i="56"/>
  <c r="O28" i="56"/>
  <c r="M28" i="56"/>
  <c r="K28" i="56"/>
  <c r="H28" i="56"/>
  <c r="C28" i="56"/>
  <c r="AD27" i="56"/>
  <c r="J27" i="56" s="1"/>
  <c r="AB27" i="56"/>
  <c r="Y27" i="56"/>
  <c r="X27" i="56"/>
  <c r="P27" i="56"/>
  <c r="Q27" i="56" s="1"/>
  <c r="O27" i="56"/>
  <c r="M27" i="56"/>
  <c r="H27" i="56"/>
  <c r="C27" i="56"/>
  <c r="AD26" i="56"/>
  <c r="J26" i="56" s="1"/>
  <c r="AB26" i="56"/>
  <c r="Y26" i="56"/>
  <c r="X26" i="56"/>
  <c r="P26" i="56"/>
  <c r="O26" i="56"/>
  <c r="Q26" i="56" s="1"/>
  <c r="M26" i="56"/>
  <c r="H26" i="56"/>
  <c r="C26" i="56"/>
  <c r="AB25" i="56"/>
  <c r="AD25" i="56" s="1"/>
  <c r="Y25" i="56"/>
  <c r="X25" i="56"/>
  <c r="P25" i="56"/>
  <c r="O25" i="56"/>
  <c r="Q25" i="56" s="1"/>
  <c r="M25" i="56"/>
  <c r="J25" i="56"/>
  <c r="H25" i="56"/>
  <c r="C25" i="56"/>
  <c r="AD24" i="56"/>
  <c r="J24" i="56" s="1"/>
  <c r="AB24" i="56"/>
  <c r="Y24" i="56"/>
  <c r="X24" i="56"/>
  <c r="Q24" i="56"/>
  <c r="P24" i="56"/>
  <c r="O24" i="56"/>
  <c r="M24" i="56"/>
  <c r="H24" i="56"/>
  <c r="C24" i="56"/>
  <c r="AB23" i="56"/>
  <c r="AD23" i="56" s="1"/>
  <c r="J23" i="56" s="1"/>
  <c r="Y23" i="56"/>
  <c r="X23" i="56"/>
  <c r="P23" i="56"/>
  <c r="O23" i="56"/>
  <c r="Q23" i="56" s="1"/>
  <c r="M23" i="56"/>
  <c r="H23" i="56"/>
  <c r="C23" i="56"/>
  <c r="AB22" i="56"/>
  <c r="AD22" i="56" s="1"/>
  <c r="J22" i="56" s="1"/>
  <c r="K22" i="56" s="1"/>
  <c r="Y22" i="56"/>
  <c r="X22" i="56"/>
  <c r="P22" i="56"/>
  <c r="O22" i="56"/>
  <c r="Q22" i="56" s="1"/>
  <c r="M22" i="56"/>
  <c r="H22" i="56"/>
  <c r="C22" i="56"/>
  <c r="AB21" i="56"/>
  <c r="AD21" i="56" s="1"/>
  <c r="J21" i="56" s="1"/>
  <c r="Y21" i="56"/>
  <c r="X21" i="56"/>
  <c r="P21" i="56"/>
  <c r="Q21" i="56" s="1"/>
  <c r="O21" i="56"/>
  <c r="M21" i="56"/>
  <c r="H21" i="56"/>
  <c r="C21" i="56"/>
  <c r="AD20" i="56"/>
  <c r="J20" i="56" s="1"/>
  <c r="I20" i="56" s="1"/>
  <c r="AB20" i="56"/>
  <c r="Y20" i="56"/>
  <c r="X20" i="56"/>
  <c r="Q20" i="56"/>
  <c r="P20" i="56"/>
  <c r="O20" i="56"/>
  <c r="M20" i="56"/>
  <c r="K20" i="56"/>
  <c r="H20" i="56"/>
  <c r="C20" i="56"/>
  <c r="AD19" i="56"/>
  <c r="J19" i="56" s="1"/>
  <c r="AB19" i="56"/>
  <c r="Y19" i="56"/>
  <c r="X19" i="56"/>
  <c r="Q19" i="56"/>
  <c r="P19" i="56"/>
  <c r="O19" i="56"/>
  <c r="M19" i="56"/>
  <c r="H19" i="56"/>
  <c r="C19" i="56"/>
  <c r="AD18" i="56"/>
  <c r="J18" i="56" s="1"/>
  <c r="AB18" i="56"/>
  <c r="Y18" i="56"/>
  <c r="X18" i="56"/>
  <c r="P18" i="56"/>
  <c r="O18" i="56"/>
  <c r="Q18" i="56" s="1"/>
  <c r="M18" i="56"/>
  <c r="H18" i="56"/>
  <c r="C18" i="56"/>
  <c r="AB17" i="56"/>
  <c r="AD17" i="56" s="1"/>
  <c r="Y17" i="56"/>
  <c r="X17" i="56"/>
  <c r="P17" i="56"/>
  <c r="O17" i="56"/>
  <c r="Q17" i="56" s="1"/>
  <c r="M17" i="56"/>
  <c r="J17" i="56"/>
  <c r="H17" i="56"/>
  <c r="C17" i="56"/>
  <c r="AD16" i="56"/>
  <c r="J16" i="56" s="1"/>
  <c r="AB16" i="56"/>
  <c r="Y16" i="56"/>
  <c r="X16" i="56"/>
  <c r="Q16" i="56"/>
  <c r="P16" i="56"/>
  <c r="O16" i="56"/>
  <c r="M16" i="56"/>
  <c r="H16" i="56"/>
  <c r="C16" i="56"/>
  <c r="AB15" i="56"/>
  <c r="AD15" i="56" s="1"/>
  <c r="J15" i="56" s="1"/>
  <c r="Y15" i="56"/>
  <c r="X15" i="56"/>
  <c r="P15" i="56"/>
  <c r="O15" i="56"/>
  <c r="Q15" i="56" s="1"/>
  <c r="M15" i="56"/>
  <c r="H15" i="56"/>
  <c r="C15" i="56"/>
  <c r="AB14" i="56"/>
  <c r="AD14" i="56" s="1"/>
  <c r="J14" i="56" s="1"/>
  <c r="K14" i="56" s="1"/>
  <c r="Y14" i="56"/>
  <c r="X14" i="56"/>
  <c r="P14" i="56"/>
  <c r="O14" i="56"/>
  <c r="Q14" i="56" s="1"/>
  <c r="M14" i="56"/>
  <c r="H14" i="56"/>
  <c r="C14" i="56"/>
  <c r="AB13" i="56"/>
  <c r="AD13" i="56" s="1"/>
  <c r="J13" i="56" s="1"/>
  <c r="Y13" i="56"/>
  <c r="X13" i="56"/>
  <c r="P13" i="56"/>
  <c r="Q13" i="56" s="1"/>
  <c r="O13" i="56"/>
  <c r="M13" i="56"/>
  <c r="H13" i="56"/>
  <c r="C13" i="56"/>
  <c r="AD12" i="56"/>
  <c r="J12" i="56" s="1"/>
  <c r="I12" i="56" s="1"/>
  <c r="AB12" i="56"/>
  <c r="Y12" i="56"/>
  <c r="X12" i="56"/>
  <c r="Q12" i="56"/>
  <c r="P12" i="56"/>
  <c r="O12" i="56"/>
  <c r="M12" i="56"/>
  <c r="K12" i="56"/>
  <c r="H12" i="56"/>
  <c r="C12" i="56"/>
  <c r="AD11" i="56"/>
  <c r="J11" i="56" s="1"/>
  <c r="AB11" i="56"/>
  <c r="Y11" i="56"/>
  <c r="X11" i="56"/>
  <c r="Q11" i="56"/>
  <c r="P11" i="56"/>
  <c r="O11" i="56"/>
  <c r="M11" i="56"/>
  <c r="H11" i="56"/>
  <c r="C11" i="56"/>
  <c r="AB10" i="56"/>
  <c r="AD10" i="56" s="1"/>
  <c r="J10" i="56" s="1"/>
  <c r="Y10" i="56"/>
  <c r="X10" i="56"/>
  <c r="P10" i="56"/>
  <c r="O10" i="56"/>
  <c r="Q10" i="56" s="1"/>
  <c r="M10" i="56"/>
  <c r="H10" i="56"/>
  <c r="C10" i="56"/>
  <c r="AB9" i="56"/>
  <c r="AD9" i="56" s="1"/>
  <c r="J9" i="56" s="1"/>
  <c r="Y9" i="56"/>
  <c r="X9" i="56"/>
  <c r="P9" i="56"/>
  <c r="O9" i="56"/>
  <c r="Q9" i="56" s="1"/>
  <c r="M9" i="56"/>
  <c r="H9" i="56"/>
  <c r="C9" i="56"/>
  <c r="AD8" i="56"/>
  <c r="J8" i="56" s="1"/>
  <c r="AB8" i="56"/>
  <c r="Y8" i="56"/>
  <c r="X8" i="56"/>
  <c r="Q8" i="56"/>
  <c r="P8" i="56"/>
  <c r="O8" i="56"/>
  <c r="M8" i="56"/>
  <c r="H8" i="56"/>
  <c r="C8" i="56"/>
  <c r="AD7" i="56"/>
  <c r="J7" i="56" s="1"/>
  <c r="AB7" i="56"/>
  <c r="Y7" i="56"/>
  <c r="X7" i="56"/>
  <c r="P7" i="56"/>
  <c r="O7" i="56"/>
  <c r="Q7" i="56" s="1"/>
  <c r="M7" i="56"/>
  <c r="H7" i="56"/>
  <c r="C7" i="56"/>
  <c r="AB6" i="56"/>
  <c r="AD6" i="56" s="1"/>
  <c r="J6" i="56" s="1"/>
  <c r="K6" i="56" s="1"/>
  <c r="Y6" i="56"/>
  <c r="X6" i="56"/>
  <c r="P6" i="56"/>
  <c r="O6" i="56"/>
  <c r="Q6" i="56" s="1"/>
  <c r="M6" i="56"/>
  <c r="I6" i="56"/>
  <c r="H6" i="56"/>
  <c r="C6" i="56"/>
  <c r="AB5" i="56"/>
  <c r="AD5" i="56" s="1"/>
  <c r="J5" i="56" s="1"/>
  <c r="Y5" i="56"/>
  <c r="X5" i="56"/>
  <c r="P5" i="56"/>
  <c r="Q5" i="56" s="1"/>
  <c r="O5" i="56"/>
  <c r="M5" i="56"/>
  <c r="H5" i="56"/>
  <c r="C5" i="56"/>
  <c r="AD4" i="56"/>
  <c r="AB4" i="56"/>
  <c r="Y4" i="56"/>
  <c r="X4" i="56"/>
  <c r="Q4" i="56"/>
  <c r="P4" i="56"/>
  <c r="O4" i="56"/>
  <c r="M4" i="56"/>
  <c r="H4" i="56"/>
  <c r="C4" i="56"/>
  <c r="AG3" i="56"/>
  <c r="AF3" i="56"/>
  <c r="W3" i="56"/>
  <c r="V3" i="56"/>
  <c r="U3" i="56"/>
  <c r="T3" i="56"/>
  <c r="O3" i="56"/>
  <c r="G3" i="56"/>
  <c r="H3" i="56" s="1"/>
  <c r="F3" i="56"/>
  <c r="D3" i="56"/>
  <c r="X3" i="56" s="1"/>
  <c r="C3" i="56"/>
  <c r="A2" i="56"/>
  <c r="A1" i="56"/>
  <c r="AD32" i="55"/>
  <c r="J32" i="55" s="1"/>
  <c r="I32" i="55" s="1"/>
  <c r="AB32" i="55"/>
  <c r="Y32" i="55"/>
  <c r="X32" i="55"/>
  <c r="V32" i="55"/>
  <c r="U32" i="55"/>
  <c r="T32" i="55"/>
  <c r="Q32" i="55"/>
  <c r="P32" i="55"/>
  <c r="O32" i="55"/>
  <c r="M32" i="55"/>
  <c r="K32" i="55"/>
  <c r="H32" i="55"/>
  <c r="C32" i="55"/>
  <c r="AB31" i="55"/>
  <c r="AD31" i="55" s="1"/>
  <c r="J31" i="55" s="1"/>
  <c r="Y31" i="55"/>
  <c r="X31" i="55"/>
  <c r="P31" i="55"/>
  <c r="O31" i="55"/>
  <c r="Q31" i="55" s="1"/>
  <c r="M31" i="55"/>
  <c r="H31" i="55"/>
  <c r="C31" i="55"/>
  <c r="AB30" i="55"/>
  <c r="AD30" i="55" s="1"/>
  <c r="J30" i="55" s="1"/>
  <c r="Y30" i="55"/>
  <c r="X30" i="55"/>
  <c r="P30" i="55"/>
  <c r="O30" i="55"/>
  <c r="Q30" i="55" s="1"/>
  <c r="M30" i="55"/>
  <c r="H30" i="55"/>
  <c r="C30" i="55"/>
  <c r="AB29" i="55"/>
  <c r="AD29" i="55" s="1"/>
  <c r="J29" i="55" s="1"/>
  <c r="Y29" i="55"/>
  <c r="X29" i="55"/>
  <c r="Q29" i="55"/>
  <c r="P29" i="55"/>
  <c r="O29" i="55"/>
  <c r="M29" i="55"/>
  <c r="H29" i="55"/>
  <c r="C29" i="55"/>
  <c r="AD28" i="55"/>
  <c r="J28" i="55" s="1"/>
  <c r="I28" i="55" s="1"/>
  <c r="AB28" i="55"/>
  <c r="Y28" i="55"/>
  <c r="X28" i="55"/>
  <c r="Q28" i="55"/>
  <c r="P28" i="55"/>
  <c r="O28" i="55"/>
  <c r="M28" i="55"/>
  <c r="K28" i="55"/>
  <c r="H28" i="55"/>
  <c r="C28" i="55"/>
  <c r="AD27" i="55"/>
  <c r="J27" i="55" s="1"/>
  <c r="K27" i="55" s="1"/>
  <c r="AB27" i="55"/>
  <c r="Y27" i="55"/>
  <c r="X27" i="55"/>
  <c r="P27" i="55"/>
  <c r="O27" i="55"/>
  <c r="Q27" i="55" s="1"/>
  <c r="M27" i="55"/>
  <c r="H27" i="55"/>
  <c r="C27" i="55"/>
  <c r="AB26" i="55"/>
  <c r="AD26" i="55" s="1"/>
  <c r="J26" i="55" s="1"/>
  <c r="K26" i="55" s="1"/>
  <c r="Y26" i="55"/>
  <c r="X26" i="55"/>
  <c r="P26" i="55"/>
  <c r="O26" i="55"/>
  <c r="Q26" i="55" s="1"/>
  <c r="M26" i="55"/>
  <c r="I26" i="55"/>
  <c r="H26" i="55"/>
  <c r="C26" i="55"/>
  <c r="AD25" i="55"/>
  <c r="AB25" i="55"/>
  <c r="Y25" i="55"/>
  <c r="X25" i="55"/>
  <c r="P25" i="55"/>
  <c r="O25" i="55"/>
  <c r="Q25" i="55" s="1"/>
  <c r="M25" i="55"/>
  <c r="J25" i="55"/>
  <c r="I25" i="55" s="1"/>
  <c r="H25" i="55"/>
  <c r="C25" i="55"/>
  <c r="AD24" i="55"/>
  <c r="J24" i="55" s="1"/>
  <c r="I24" i="55" s="1"/>
  <c r="AB24" i="55"/>
  <c r="Y24" i="55"/>
  <c r="X24" i="55"/>
  <c r="Q24" i="55"/>
  <c r="P24" i="55"/>
  <c r="O24" i="55"/>
  <c r="M24" i="55"/>
  <c r="K24" i="55"/>
  <c r="H24" i="55"/>
  <c r="C24" i="55"/>
  <c r="AB23" i="55"/>
  <c r="AD23" i="55" s="1"/>
  <c r="J23" i="55" s="1"/>
  <c r="Y23" i="55"/>
  <c r="X23" i="55"/>
  <c r="P23" i="55"/>
  <c r="O23" i="55"/>
  <c r="Q23" i="55" s="1"/>
  <c r="M23" i="55"/>
  <c r="H23" i="55"/>
  <c r="C23" i="55"/>
  <c r="AB22" i="55"/>
  <c r="AD22" i="55" s="1"/>
  <c r="J22" i="55" s="1"/>
  <c r="Y22" i="55"/>
  <c r="X22" i="55"/>
  <c r="P22" i="55"/>
  <c r="O22" i="55"/>
  <c r="Q22" i="55" s="1"/>
  <c r="M22" i="55"/>
  <c r="H22" i="55"/>
  <c r="C22" i="55"/>
  <c r="AB21" i="55"/>
  <c r="AD21" i="55" s="1"/>
  <c r="J21" i="55" s="1"/>
  <c r="Y21" i="55"/>
  <c r="X21" i="55"/>
  <c r="Q21" i="55"/>
  <c r="P21" i="55"/>
  <c r="O21" i="55"/>
  <c r="M21" i="55"/>
  <c r="H21" i="55"/>
  <c r="C21" i="55"/>
  <c r="AD20" i="55"/>
  <c r="J20" i="55" s="1"/>
  <c r="I20" i="55" s="1"/>
  <c r="AB20" i="55"/>
  <c r="Y20" i="55"/>
  <c r="X20" i="55"/>
  <c r="Q20" i="55"/>
  <c r="P20" i="55"/>
  <c r="O20" i="55"/>
  <c r="M20" i="55"/>
  <c r="K20" i="55"/>
  <c r="H20" i="55"/>
  <c r="C20" i="55"/>
  <c r="AD19" i="55"/>
  <c r="J19" i="55" s="1"/>
  <c r="K19" i="55" s="1"/>
  <c r="AB19" i="55"/>
  <c r="Y19" i="55"/>
  <c r="X19" i="55"/>
  <c r="P19" i="55"/>
  <c r="O19" i="55"/>
  <c r="Q19" i="55" s="1"/>
  <c r="M19" i="55"/>
  <c r="H19" i="55"/>
  <c r="C19" i="55"/>
  <c r="AB18" i="55"/>
  <c r="AD18" i="55" s="1"/>
  <c r="J18" i="55" s="1"/>
  <c r="K18" i="55" s="1"/>
  <c r="Y18" i="55"/>
  <c r="X18" i="55"/>
  <c r="P18" i="55"/>
  <c r="O18" i="55"/>
  <c r="Q18" i="55" s="1"/>
  <c r="M18" i="55"/>
  <c r="I18" i="55"/>
  <c r="H18" i="55"/>
  <c r="C18" i="55"/>
  <c r="AD17" i="55"/>
  <c r="AB17" i="55"/>
  <c r="Y17" i="55"/>
  <c r="X17" i="55"/>
  <c r="P17" i="55"/>
  <c r="O17" i="55"/>
  <c r="Q17" i="55" s="1"/>
  <c r="M17" i="55"/>
  <c r="J17" i="55"/>
  <c r="I17" i="55" s="1"/>
  <c r="H17" i="55"/>
  <c r="C17" i="55"/>
  <c r="AD16" i="55"/>
  <c r="J16" i="55" s="1"/>
  <c r="I16" i="55" s="1"/>
  <c r="AB16" i="55"/>
  <c r="Y16" i="55"/>
  <c r="X16" i="55"/>
  <c r="Q16" i="55"/>
  <c r="P16" i="55"/>
  <c r="O16" i="55"/>
  <c r="M16" i="55"/>
  <c r="K16" i="55"/>
  <c r="H16" i="55"/>
  <c r="C16" i="55"/>
  <c r="AB15" i="55"/>
  <c r="AD15" i="55" s="1"/>
  <c r="Y15" i="55"/>
  <c r="X15" i="55"/>
  <c r="Q15" i="55"/>
  <c r="P15" i="55"/>
  <c r="O15" i="55"/>
  <c r="M15" i="55"/>
  <c r="J15" i="55"/>
  <c r="K15" i="55" s="1"/>
  <c r="H15" i="55"/>
  <c r="C15" i="55"/>
  <c r="AB14" i="55"/>
  <c r="AD14" i="55" s="1"/>
  <c r="J14" i="55" s="1"/>
  <c r="Y14" i="55"/>
  <c r="X14" i="55"/>
  <c r="P14" i="55"/>
  <c r="O14" i="55"/>
  <c r="Q14" i="55" s="1"/>
  <c r="M14" i="55"/>
  <c r="H14" i="55"/>
  <c r="C14" i="55"/>
  <c r="AB13" i="55"/>
  <c r="AD13" i="55" s="1"/>
  <c r="J13" i="55" s="1"/>
  <c r="K13" i="55" s="1"/>
  <c r="Y13" i="55"/>
  <c r="X13" i="55"/>
  <c r="Q13" i="55"/>
  <c r="P13" i="55"/>
  <c r="O13" i="55"/>
  <c r="M13" i="55"/>
  <c r="H13" i="55"/>
  <c r="C13" i="55"/>
  <c r="AD12" i="55"/>
  <c r="J12" i="55" s="1"/>
  <c r="AB12" i="55"/>
  <c r="Y12" i="55"/>
  <c r="X12" i="55"/>
  <c r="P12" i="55"/>
  <c r="Q12" i="55" s="1"/>
  <c r="O12" i="55"/>
  <c r="M12" i="55"/>
  <c r="H12" i="55"/>
  <c r="C12" i="55"/>
  <c r="AD11" i="55"/>
  <c r="J11" i="55" s="1"/>
  <c r="I11" i="55" s="1"/>
  <c r="AB11" i="55"/>
  <c r="Y11" i="55"/>
  <c r="X11" i="55"/>
  <c r="P11" i="55"/>
  <c r="Q11" i="55" s="1"/>
  <c r="O11" i="55"/>
  <c r="M11" i="55"/>
  <c r="H11" i="55"/>
  <c r="C11" i="55"/>
  <c r="AD10" i="55"/>
  <c r="J10" i="55" s="1"/>
  <c r="AB10" i="55"/>
  <c r="Y10" i="55"/>
  <c r="X10" i="55"/>
  <c r="P10" i="55"/>
  <c r="O10" i="55"/>
  <c r="Q10" i="55" s="1"/>
  <c r="M10" i="55"/>
  <c r="H10" i="55"/>
  <c r="C10" i="55"/>
  <c r="AD9" i="55"/>
  <c r="J9" i="55" s="1"/>
  <c r="AB9" i="55"/>
  <c r="Y9" i="55"/>
  <c r="X9" i="55"/>
  <c r="P9" i="55"/>
  <c r="O9" i="55"/>
  <c r="Q9" i="55" s="1"/>
  <c r="M9" i="55"/>
  <c r="H9" i="55"/>
  <c r="C9" i="55"/>
  <c r="AB8" i="55"/>
  <c r="AD8" i="55" s="1"/>
  <c r="J8" i="55" s="1"/>
  <c r="Y8" i="55"/>
  <c r="X8" i="55"/>
  <c r="P8" i="55"/>
  <c r="O8" i="55"/>
  <c r="Q8" i="55" s="1"/>
  <c r="M8" i="55"/>
  <c r="H8" i="55"/>
  <c r="C8" i="55"/>
  <c r="AB7" i="55"/>
  <c r="AD7" i="55" s="1"/>
  <c r="J7" i="55" s="1"/>
  <c r="Y7" i="55"/>
  <c r="X7" i="55"/>
  <c r="Q7" i="55"/>
  <c r="P7" i="55"/>
  <c r="O7" i="55"/>
  <c r="M7" i="55"/>
  <c r="H7" i="55"/>
  <c r="C7" i="55"/>
  <c r="AB6" i="55"/>
  <c r="AD6" i="55" s="1"/>
  <c r="J6" i="55" s="1"/>
  <c r="Y6" i="55"/>
  <c r="X6" i="55"/>
  <c r="P6" i="55"/>
  <c r="O6" i="55"/>
  <c r="Q6" i="55" s="1"/>
  <c r="M6" i="55"/>
  <c r="H6" i="55"/>
  <c r="C6" i="55"/>
  <c r="AB5" i="55"/>
  <c r="AD5" i="55" s="1"/>
  <c r="Y5" i="55"/>
  <c r="X5" i="55"/>
  <c r="Q5" i="55"/>
  <c r="P5" i="55"/>
  <c r="O5" i="55"/>
  <c r="M5" i="55"/>
  <c r="H5" i="55"/>
  <c r="C5" i="55"/>
  <c r="AD4" i="55"/>
  <c r="J4" i="55" s="1"/>
  <c r="AB4" i="55"/>
  <c r="Y4" i="55"/>
  <c r="X4" i="55"/>
  <c r="P4" i="55"/>
  <c r="Q4" i="55" s="1"/>
  <c r="O4" i="55"/>
  <c r="M4" i="55"/>
  <c r="H4" i="55"/>
  <c r="C4" i="55"/>
  <c r="AG3" i="55"/>
  <c r="AF3" i="55"/>
  <c r="W3" i="55"/>
  <c r="V3" i="55"/>
  <c r="U3" i="55"/>
  <c r="T3" i="55"/>
  <c r="O3" i="55"/>
  <c r="G3" i="55"/>
  <c r="H3" i="55" s="1"/>
  <c r="F3" i="55"/>
  <c r="D3" i="55"/>
  <c r="X3" i="55" s="1"/>
  <c r="C3" i="55"/>
  <c r="A2" i="55"/>
  <c r="A1" i="55"/>
  <c r="AD32" i="54"/>
  <c r="AB32" i="54"/>
  <c r="Y32" i="54"/>
  <c r="X32" i="54"/>
  <c r="V32" i="54"/>
  <c r="U32" i="54"/>
  <c r="T32" i="54"/>
  <c r="P32" i="54"/>
  <c r="O32" i="54"/>
  <c r="Q32" i="54" s="1"/>
  <c r="M32" i="54"/>
  <c r="J32" i="54"/>
  <c r="H32" i="54"/>
  <c r="C32" i="54"/>
  <c r="AB31" i="54"/>
  <c r="AD31" i="54" s="1"/>
  <c r="J31" i="54" s="1"/>
  <c r="Y31" i="54"/>
  <c r="X31" i="54"/>
  <c r="Q31" i="54"/>
  <c r="P31" i="54"/>
  <c r="O31" i="54"/>
  <c r="M31" i="54"/>
  <c r="H31" i="54"/>
  <c r="C31" i="54"/>
  <c r="AB30" i="54"/>
  <c r="AD30" i="54" s="1"/>
  <c r="J30" i="54" s="1"/>
  <c r="Y30" i="54"/>
  <c r="X30" i="54"/>
  <c r="P30" i="54"/>
  <c r="O30" i="54"/>
  <c r="Q30" i="54" s="1"/>
  <c r="M30" i="54"/>
  <c r="H30" i="54"/>
  <c r="C30" i="54"/>
  <c r="AB29" i="54"/>
  <c r="AD29" i="54" s="1"/>
  <c r="J29" i="54" s="1"/>
  <c r="K29" i="54" s="1"/>
  <c r="Y29" i="54"/>
  <c r="X29" i="54"/>
  <c r="Q29" i="54"/>
  <c r="P29" i="54"/>
  <c r="O29" i="54"/>
  <c r="M29" i="54"/>
  <c r="H29" i="54"/>
  <c r="C29" i="54"/>
  <c r="AD28" i="54"/>
  <c r="J28" i="54" s="1"/>
  <c r="AB28" i="54"/>
  <c r="Y28" i="54"/>
  <c r="X28" i="54"/>
  <c r="P28" i="54"/>
  <c r="Q28" i="54" s="1"/>
  <c r="O28" i="54"/>
  <c r="M28" i="54"/>
  <c r="H28" i="54"/>
  <c r="C28" i="54"/>
  <c r="AD27" i="54"/>
  <c r="J27" i="54" s="1"/>
  <c r="I27" i="54" s="1"/>
  <c r="AB27" i="54"/>
  <c r="Y27" i="54"/>
  <c r="X27" i="54"/>
  <c r="P27" i="54"/>
  <c r="Q27" i="54" s="1"/>
  <c r="O27" i="54"/>
  <c r="M27" i="54"/>
  <c r="H27" i="54"/>
  <c r="C27" i="54"/>
  <c r="AD26" i="54"/>
  <c r="J26" i="54" s="1"/>
  <c r="AB26" i="54"/>
  <c r="Y26" i="54"/>
  <c r="X26" i="54"/>
  <c r="P26" i="54"/>
  <c r="O26" i="54"/>
  <c r="Q26" i="54" s="1"/>
  <c r="M26" i="54"/>
  <c r="H26" i="54"/>
  <c r="C26" i="54"/>
  <c r="AD25" i="54"/>
  <c r="J25" i="54" s="1"/>
  <c r="AB25" i="54"/>
  <c r="Y25" i="54"/>
  <c r="X25" i="54"/>
  <c r="P25" i="54"/>
  <c r="O25" i="54"/>
  <c r="Q25" i="54" s="1"/>
  <c r="M25" i="54"/>
  <c r="H25" i="54"/>
  <c r="C25" i="54"/>
  <c r="AB24" i="54"/>
  <c r="AD24" i="54" s="1"/>
  <c r="J24" i="54" s="1"/>
  <c r="Y24" i="54"/>
  <c r="X24" i="54"/>
  <c r="P24" i="54"/>
  <c r="O24" i="54"/>
  <c r="Q24" i="54" s="1"/>
  <c r="M24" i="54"/>
  <c r="H24" i="54"/>
  <c r="C24" i="54"/>
  <c r="AB23" i="54"/>
  <c r="AD23" i="54" s="1"/>
  <c r="J23" i="54" s="1"/>
  <c r="Y23" i="54"/>
  <c r="X23" i="54"/>
  <c r="Q23" i="54"/>
  <c r="P23" i="54"/>
  <c r="O23" i="54"/>
  <c r="M23" i="54"/>
  <c r="H23" i="54"/>
  <c r="C23" i="54"/>
  <c r="AB22" i="54"/>
  <c r="AD22" i="54" s="1"/>
  <c r="J22" i="54" s="1"/>
  <c r="Y22" i="54"/>
  <c r="X22" i="54"/>
  <c r="P22" i="54"/>
  <c r="O22" i="54"/>
  <c r="Q22" i="54" s="1"/>
  <c r="M22" i="54"/>
  <c r="H22" i="54"/>
  <c r="C22" i="54"/>
  <c r="AB21" i="54"/>
  <c r="AD21" i="54" s="1"/>
  <c r="J21" i="54" s="1"/>
  <c r="Y21" i="54"/>
  <c r="X21" i="54"/>
  <c r="Q21" i="54"/>
  <c r="P21" i="54"/>
  <c r="O21" i="54"/>
  <c r="M21" i="54"/>
  <c r="H21" i="54"/>
  <c r="C21" i="54"/>
  <c r="AD20" i="54"/>
  <c r="J20" i="54" s="1"/>
  <c r="AB20" i="54"/>
  <c r="Y20" i="54"/>
  <c r="X20" i="54"/>
  <c r="P20" i="54"/>
  <c r="Q20" i="54" s="1"/>
  <c r="O20" i="54"/>
  <c r="M20" i="54"/>
  <c r="H20" i="54"/>
  <c r="C20" i="54"/>
  <c r="AD19" i="54"/>
  <c r="J19" i="54" s="1"/>
  <c r="I19" i="54" s="1"/>
  <c r="AB19" i="54"/>
  <c r="Y19" i="54"/>
  <c r="X19" i="54"/>
  <c r="P19" i="54"/>
  <c r="Q19" i="54" s="1"/>
  <c r="O19" i="54"/>
  <c r="M19" i="54"/>
  <c r="K19" i="54"/>
  <c r="H19" i="54"/>
  <c r="C19" i="54"/>
  <c r="AD18" i="54"/>
  <c r="J18" i="54" s="1"/>
  <c r="AB18" i="54"/>
  <c r="Y18" i="54"/>
  <c r="X18" i="54"/>
  <c r="P18" i="54"/>
  <c r="O18" i="54"/>
  <c r="Q18" i="54" s="1"/>
  <c r="M18" i="54"/>
  <c r="H18" i="54"/>
  <c r="C18" i="54"/>
  <c r="AD17" i="54"/>
  <c r="J17" i="54" s="1"/>
  <c r="AB17" i="54"/>
  <c r="Y17" i="54"/>
  <c r="X17" i="54"/>
  <c r="P17" i="54"/>
  <c r="O17" i="54"/>
  <c r="Q17" i="54" s="1"/>
  <c r="M17" i="54"/>
  <c r="H17" i="54"/>
  <c r="C17" i="54"/>
  <c r="AB16" i="54"/>
  <c r="AD16" i="54" s="1"/>
  <c r="J16" i="54" s="1"/>
  <c r="Y16" i="54"/>
  <c r="X16" i="54"/>
  <c r="P16" i="54"/>
  <c r="O16" i="54"/>
  <c r="Q16" i="54" s="1"/>
  <c r="M16" i="54"/>
  <c r="H16" i="54"/>
  <c r="C16" i="54"/>
  <c r="AB15" i="54"/>
  <c r="AD15" i="54" s="1"/>
  <c r="J15" i="54" s="1"/>
  <c r="Y15" i="54"/>
  <c r="X15" i="54"/>
  <c r="Q15" i="54"/>
  <c r="P15" i="54"/>
  <c r="O15" i="54"/>
  <c r="M15" i="54"/>
  <c r="H15" i="54"/>
  <c r="C15" i="54"/>
  <c r="AB14" i="54"/>
  <c r="AD14" i="54" s="1"/>
  <c r="J14" i="54" s="1"/>
  <c r="Y14" i="54"/>
  <c r="X14" i="54"/>
  <c r="P14" i="54"/>
  <c r="O14" i="54"/>
  <c r="Q14" i="54" s="1"/>
  <c r="M14" i="54"/>
  <c r="H14" i="54"/>
  <c r="C14" i="54"/>
  <c r="AB13" i="54"/>
  <c r="AD13" i="54" s="1"/>
  <c r="J13" i="54" s="1"/>
  <c r="K13" i="54" s="1"/>
  <c r="Y13" i="54"/>
  <c r="X13" i="54"/>
  <c r="Q13" i="54"/>
  <c r="P13" i="54"/>
  <c r="O13" i="54"/>
  <c r="M13" i="54"/>
  <c r="I13" i="54"/>
  <c r="H13" i="54"/>
  <c r="C13" i="54"/>
  <c r="AD12" i="54"/>
  <c r="J12" i="54" s="1"/>
  <c r="AB12" i="54"/>
  <c r="Y12" i="54"/>
  <c r="X12" i="54"/>
  <c r="P12" i="54"/>
  <c r="Q12" i="54" s="1"/>
  <c r="O12" i="54"/>
  <c r="M12" i="54"/>
  <c r="H12" i="54"/>
  <c r="C12" i="54"/>
  <c r="AD11" i="54"/>
  <c r="J11" i="54" s="1"/>
  <c r="I11" i="54" s="1"/>
  <c r="AB11" i="54"/>
  <c r="Y11" i="54"/>
  <c r="X11" i="54"/>
  <c r="P11" i="54"/>
  <c r="O11" i="54"/>
  <c r="Q11" i="54" s="1"/>
  <c r="M11" i="54"/>
  <c r="H11" i="54"/>
  <c r="C11" i="54"/>
  <c r="AD10" i="54"/>
  <c r="J10" i="54" s="1"/>
  <c r="AB10" i="54"/>
  <c r="Y10" i="54"/>
  <c r="X10" i="54"/>
  <c r="P10" i="54"/>
  <c r="Q10" i="54" s="1"/>
  <c r="O10" i="54"/>
  <c r="M10" i="54"/>
  <c r="H10" i="54"/>
  <c r="C10" i="54"/>
  <c r="AD9" i="54"/>
  <c r="J9" i="54" s="1"/>
  <c r="AB9" i="54"/>
  <c r="Y9" i="54"/>
  <c r="X9" i="54"/>
  <c r="P9" i="54"/>
  <c r="O9" i="54"/>
  <c r="Q9" i="54" s="1"/>
  <c r="M9" i="54"/>
  <c r="H9" i="54"/>
  <c r="C9" i="54"/>
  <c r="AB8" i="54"/>
  <c r="AD8" i="54" s="1"/>
  <c r="J8" i="54" s="1"/>
  <c r="Y8" i="54"/>
  <c r="X8" i="54"/>
  <c r="P8" i="54"/>
  <c r="O8" i="54"/>
  <c r="Q8" i="54" s="1"/>
  <c r="M8" i="54"/>
  <c r="H8" i="54"/>
  <c r="C8" i="54"/>
  <c r="AB7" i="54"/>
  <c r="AD7" i="54" s="1"/>
  <c r="J7" i="54" s="1"/>
  <c r="Y7" i="54"/>
  <c r="X7" i="54"/>
  <c r="Q7" i="54"/>
  <c r="P7" i="54"/>
  <c r="O7" i="54"/>
  <c r="M7" i="54"/>
  <c r="H7" i="54"/>
  <c r="C7" i="54"/>
  <c r="AB6" i="54"/>
  <c r="AD6" i="54" s="1"/>
  <c r="J6" i="54" s="1"/>
  <c r="Y6" i="54"/>
  <c r="X6" i="54"/>
  <c r="Q6" i="54"/>
  <c r="P6" i="54"/>
  <c r="O6" i="54"/>
  <c r="M6" i="54"/>
  <c r="H6" i="54"/>
  <c r="C6" i="54"/>
  <c r="AB5" i="54"/>
  <c r="AD5" i="54" s="1"/>
  <c r="Y5" i="54"/>
  <c r="X5" i="54"/>
  <c r="Q5" i="54"/>
  <c r="P5" i="54"/>
  <c r="O5" i="54"/>
  <c r="M5" i="54"/>
  <c r="H5" i="54"/>
  <c r="C5" i="54"/>
  <c r="AD4" i="54"/>
  <c r="J4" i="54" s="1"/>
  <c r="AB4" i="54"/>
  <c r="Y4" i="54"/>
  <c r="X4" i="54"/>
  <c r="P4" i="54"/>
  <c r="Q4" i="54" s="1"/>
  <c r="O4" i="54"/>
  <c r="M4" i="54"/>
  <c r="H4" i="54"/>
  <c r="C4" i="54"/>
  <c r="AG3" i="54"/>
  <c r="AF3" i="54"/>
  <c r="W3" i="54"/>
  <c r="V3" i="54"/>
  <c r="U3" i="54"/>
  <c r="T3" i="54"/>
  <c r="O3" i="54"/>
  <c r="G3" i="54"/>
  <c r="H3" i="54" s="1"/>
  <c r="F3" i="54"/>
  <c r="D3" i="54"/>
  <c r="X3" i="54" s="1"/>
  <c r="C3" i="54"/>
  <c r="A2" i="54"/>
  <c r="A1" i="54"/>
  <c r="AD32" i="53"/>
  <c r="AB32" i="53"/>
  <c r="Y32" i="53"/>
  <c r="X32" i="53"/>
  <c r="V32" i="53"/>
  <c r="U32" i="53"/>
  <c r="T32" i="53"/>
  <c r="P32" i="53"/>
  <c r="O32" i="53"/>
  <c r="Q32" i="53" s="1"/>
  <c r="M32" i="53"/>
  <c r="J32" i="53"/>
  <c r="H32" i="53"/>
  <c r="C32" i="53"/>
  <c r="AB31" i="53"/>
  <c r="AD31" i="53" s="1"/>
  <c r="J31" i="53" s="1"/>
  <c r="Y31" i="53"/>
  <c r="X31" i="53"/>
  <c r="Q31" i="53"/>
  <c r="P31" i="53"/>
  <c r="O31" i="53"/>
  <c r="M31" i="53"/>
  <c r="H31" i="53"/>
  <c r="C31" i="53"/>
  <c r="AB30" i="53"/>
  <c r="AD30" i="53" s="1"/>
  <c r="J30" i="53" s="1"/>
  <c r="Y30" i="53"/>
  <c r="X30" i="53"/>
  <c r="Q30" i="53"/>
  <c r="P30" i="53"/>
  <c r="O30" i="53"/>
  <c r="M30" i="53"/>
  <c r="H30" i="53"/>
  <c r="C30" i="53"/>
  <c r="AB29" i="53"/>
  <c r="AD29" i="53" s="1"/>
  <c r="J29" i="53" s="1"/>
  <c r="K29" i="53" s="1"/>
  <c r="Y29" i="53"/>
  <c r="X29" i="53"/>
  <c r="Q29" i="53"/>
  <c r="P29" i="53"/>
  <c r="O29" i="53"/>
  <c r="M29" i="53"/>
  <c r="I29" i="53"/>
  <c r="H29" i="53"/>
  <c r="C29" i="53"/>
  <c r="AD28" i="53"/>
  <c r="J28" i="53" s="1"/>
  <c r="AB28" i="53"/>
  <c r="Y28" i="53"/>
  <c r="X28" i="53"/>
  <c r="P28" i="53"/>
  <c r="Q28" i="53" s="1"/>
  <c r="O28" i="53"/>
  <c r="M28" i="53"/>
  <c r="H28" i="53"/>
  <c r="C28" i="53"/>
  <c r="AD27" i="53"/>
  <c r="J27" i="53" s="1"/>
  <c r="I27" i="53" s="1"/>
  <c r="AB27" i="53"/>
  <c r="Y27" i="53"/>
  <c r="X27" i="53"/>
  <c r="P27" i="53"/>
  <c r="Q27" i="53" s="1"/>
  <c r="O27" i="53"/>
  <c r="M27" i="53"/>
  <c r="H27" i="53"/>
  <c r="C27" i="53"/>
  <c r="AD26" i="53"/>
  <c r="J26" i="53" s="1"/>
  <c r="AB26" i="53"/>
  <c r="Y26" i="53"/>
  <c r="X26" i="53"/>
  <c r="P26" i="53"/>
  <c r="Q26" i="53" s="1"/>
  <c r="O26" i="53"/>
  <c r="M26" i="53"/>
  <c r="H26" i="53"/>
  <c r="C26" i="53"/>
  <c r="AD25" i="53"/>
  <c r="J25" i="53" s="1"/>
  <c r="AB25" i="53"/>
  <c r="Y25" i="53"/>
  <c r="X25" i="53"/>
  <c r="P25" i="53"/>
  <c r="O25" i="53"/>
  <c r="Q25" i="53" s="1"/>
  <c r="M25" i="53"/>
  <c r="H25" i="53"/>
  <c r="C25" i="53"/>
  <c r="AB24" i="53"/>
  <c r="AD24" i="53" s="1"/>
  <c r="Y24" i="53"/>
  <c r="X24" i="53"/>
  <c r="P24" i="53"/>
  <c r="O24" i="53"/>
  <c r="Q24" i="53" s="1"/>
  <c r="M24" i="53"/>
  <c r="J24" i="53"/>
  <c r="H24" i="53"/>
  <c r="C24" i="53"/>
  <c r="AB23" i="53"/>
  <c r="AD23" i="53" s="1"/>
  <c r="J23" i="53" s="1"/>
  <c r="Y23" i="53"/>
  <c r="X23" i="53"/>
  <c r="Q23" i="53"/>
  <c r="P23" i="53"/>
  <c r="O23" i="53"/>
  <c r="M23" i="53"/>
  <c r="H23" i="53"/>
  <c r="C23" i="53"/>
  <c r="AB22" i="53"/>
  <c r="AD22" i="53" s="1"/>
  <c r="J22" i="53" s="1"/>
  <c r="Y22" i="53"/>
  <c r="X22" i="53"/>
  <c r="Q22" i="53"/>
  <c r="P22" i="53"/>
  <c r="O22" i="53"/>
  <c r="M22" i="53"/>
  <c r="H22" i="53"/>
  <c r="C22" i="53"/>
  <c r="AB21" i="53"/>
  <c r="AD21" i="53" s="1"/>
  <c r="J21" i="53" s="1"/>
  <c r="K21" i="53" s="1"/>
  <c r="Y21" i="53"/>
  <c r="X21" i="53"/>
  <c r="Q21" i="53"/>
  <c r="P21" i="53"/>
  <c r="O21" i="53"/>
  <c r="M21" i="53"/>
  <c r="I21" i="53"/>
  <c r="H21" i="53"/>
  <c r="C21" i="53"/>
  <c r="AD20" i="53"/>
  <c r="J20" i="53" s="1"/>
  <c r="AB20" i="53"/>
  <c r="Y20" i="53"/>
  <c r="X20" i="53"/>
  <c r="P20" i="53"/>
  <c r="Q20" i="53" s="1"/>
  <c r="O20" i="53"/>
  <c r="M20" i="53"/>
  <c r="H20" i="53"/>
  <c r="C20" i="53"/>
  <c r="AD19" i="53"/>
  <c r="J19" i="53" s="1"/>
  <c r="AB19" i="53"/>
  <c r="Y19" i="53"/>
  <c r="X19" i="53"/>
  <c r="P19" i="53"/>
  <c r="Q19" i="53" s="1"/>
  <c r="O19" i="53"/>
  <c r="M19" i="53"/>
  <c r="H19" i="53"/>
  <c r="C19" i="53"/>
  <c r="AD18" i="53"/>
  <c r="J18" i="53" s="1"/>
  <c r="AB18" i="53"/>
  <c r="Y18" i="53"/>
  <c r="X18" i="53"/>
  <c r="P18" i="53"/>
  <c r="Q18" i="53" s="1"/>
  <c r="O18" i="53"/>
  <c r="M18" i="53"/>
  <c r="H18" i="53"/>
  <c r="C18" i="53"/>
  <c r="AD17" i="53"/>
  <c r="J17" i="53" s="1"/>
  <c r="AB17" i="53"/>
  <c r="Y17" i="53"/>
  <c r="X17" i="53"/>
  <c r="P17" i="53"/>
  <c r="O17" i="53"/>
  <c r="Q17" i="53" s="1"/>
  <c r="M17" i="53"/>
  <c r="H17" i="53"/>
  <c r="C17" i="53"/>
  <c r="AB16" i="53"/>
  <c r="AD16" i="53" s="1"/>
  <c r="Y16" i="53"/>
  <c r="X16" i="53"/>
  <c r="P16" i="53"/>
  <c r="O16" i="53"/>
  <c r="Q16" i="53" s="1"/>
  <c r="M16" i="53"/>
  <c r="J16" i="53"/>
  <c r="H16" i="53"/>
  <c r="C16" i="53"/>
  <c r="AB15" i="53"/>
  <c r="AD15" i="53" s="1"/>
  <c r="J15" i="53" s="1"/>
  <c r="Y15" i="53"/>
  <c r="X15" i="53"/>
  <c r="Q15" i="53"/>
  <c r="P15" i="53"/>
  <c r="O15" i="53"/>
  <c r="M15" i="53"/>
  <c r="H15" i="53"/>
  <c r="C15" i="53"/>
  <c r="AB14" i="53"/>
  <c r="AD14" i="53" s="1"/>
  <c r="J14" i="53" s="1"/>
  <c r="Y14" i="53"/>
  <c r="X14" i="53"/>
  <c r="Q14" i="53"/>
  <c r="P14" i="53"/>
  <c r="O14" i="53"/>
  <c r="M14" i="53"/>
  <c r="H14" i="53"/>
  <c r="C14" i="53"/>
  <c r="AB13" i="53"/>
  <c r="AD13" i="53" s="1"/>
  <c r="J13" i="53" s="1"/>
  <c r="K13" i="53" s="1"/>
  <c r="Y13" i="53"/>
  <c r="X13" i="53"/>
  <c r="Q13" i="53"/>
  <c r="P13" i="53"/>
  <c r="O13" i="53"/>
  <c r="M13" i="53"/>
  <c r="I13" i="53"/>
  <c r="H13" i="53"/>
  <c r="C13" i="53"/>
  <c r="AD12" i="53"/>
  <c r="J12" i="53" s="1"/>
  <c r="AB12" i="53"/>
  <c r="Y12" i="53"/>
  <c r="X12" i="53"/>
  <c r="P12" i="53"/>
  <c r="Q12" i="53" s="1"/>
  <c r="O12" i="53"/>
  <c r="M12" i="53"/>
  <c r="H12" i="53"/>
  <c r="C12" i="53"/>
  <c r="AD11" i="53"/>
  <c r="J11" i="53" s="1"/>
  <c r="I11" i="53" s="1"/>
  <c r="AB11" i="53"/>
  <c r="Y11" i="53"/>
  <c r="X11" i="53"/>
  <c r="P11" i="53"/>
  <c r="Q11" i="53" s="1"/>
  <c r="O11" i="53"/>
  <c r="M11" i="53"/>
  <c r="H11" i="53"/>
  <c r="C11" i="53"/>
  <c r="AD10" i="53"/>
  <c r="J10" i="53" s="1"/>
  <c r="AB10" i="53"/>
  <c r="Y10" i="53"/>
  <c r="X10" i="53"/>
  <c r="P10" i="53"/>
  <c r="O10" i="53"/>
  <c r="Q10" i="53" s="1"/>
  <c r="M10" i="53"/>
  <c r="H10" i="53"/>
  <c r="C10" i="53"/>
  <c r="AD9" i="53"/>
  <c r="J9" i="53" s="1"/>
  <c r="AB9" i="53"/>
  <c r="Y9" i="53"/>
  <c r="X9" i="53"/>
  <c r="P9" i="53"/>
  <c r="O9" i="53"/>
  <c r="Q9" i="53" s="1"/>
  <c r="M9" i="53"/>
  <c r="H9" i="53"/>
  <c r="C9" i="53"/>
  <c r="AB8" i="53"/>
  <c r="AD8" i="53" s="1"/>
  <c r="J8" i="53" s="1"/>
  <c r="Y8" i="53"/>
  <c r="X8" i="53"/>
  <c r="P8" i="53"/>
  <c r="O8" i="53"/>
  <c r="Q8" i="53" s="1"/>
  <c r="M8" i="53"/>
  <c r="H8" i="53"/>
  <c r="C8" i="53"/>
  <c r="AB7" i="53"/>
  <c r="AD7" i="53" s="1"/>
  <c r="J7" i="53" s="1"/>
  <c r="Y7" i="53"/>
  <c r="X7" i="53"/>
  <c r="Q7" i="53"/>
  <c r="P7" i="53"/>
  <c r="O7" i="53"/>
  <c r="M7" i="53"/>
  <c r="H7" i="53"/>
  <c r="C7" i="53"/>
  <c r="AB6" i="53"/>
  <c r="AD6" i="53" s="1"/>
  <c r="J6" i="53" s="1"/>
  <c r="Y6" i="53"/>
  <c r="X6" i="53"/>
  <c r="Q6" i="53"/>
  <c r="P6" i="53"/>
  <c r="O6" i="53"/>
  <c r="M6" i="53"/>
  <c r="H6" i="53"/>
  <c r="C6" i="53"/>
  <c r="AB5" i="53"/>
  <c r="AD5" i="53" s="1"/>
  <c r="Y5" i="53"/>
  <c r="X5" i="53"/>
  <c r="Q5" i="53"/>
  <c r="P5" i="53"/>
  <c r="O5" i="53"/>
  <c r="M5" i="53"/>
  <c r="H5" i="53"/>
  <c r="C5" i="53"/>
  <c r="AD4" i="53"/>
  <c r="J4" i="53" s="1"/>
  <c r="AB4" i="53"/>
  <c r="Y4" i="53"/>
  <c r="X4" i="53"/>
  <c r="P4" i="53"/>
  <c r="Q4" i="53" s="1"/>
  <c r="O4" i="53"/>
  <c r="M4" i="53"/>
  <c r="H4" i="53"/>
  <c r="C4" i="53"/>
  <c r="AG3" i="53"/>
  <c r="AF3" i="53"/>
  <c r="W3" i="53"/>
  <c r="V3" i="53"/>
  <c r="U3" i="53"/>
  <c r="T3" i="53"/>
  <c r="O3" i="53"/>
  <c r="G3" i="53"/>
  <c r="H3" i="53" s="1"/>
  <c r="F3" i="53"/>
  <c r="D3" i="53"/>
  <c r="X3" i="53" s="1"/>
  <c r="C3" i="53"/>
  <c r="A2" i="53"/>
  <c r="A1" i="53"/>
  <c r="AD32" i="52"/>
  <c r="AB32" i="52"/>
  <c r="Y32" i="52"/>
  <c r="X32" i="52"/>
  <c r="V32" i="52"/>
  <c r="U32" i="52"/>
  <c r="T32" i="52"/>
  <c r="P32" i="52"/>
  <c r="O32" i="52"/>
  <c r="Q32" i="52" s="1"/>
  <c r="M32" i="52"/>
  <c r="J32" i="52"/>
  <c r="H32" i="52"/>
  <c r="C32" i="52"/>
  <c r="AB31" i="52"/>
  <c r="AD31" i="52" s="1"/>
  <c r="J31" i="52" s="1"/>
  <c r="Y31" i="52"/>
  <c r="X31" i="52"/>
  <c r="Q31" i="52"/>
  <c r="P31" i="52"/>
  <c r="O31" i="52"/>
  <c r="M31" i="52"/>
  <c r="H31" i="52"/>
  <c r="C31" i="52"/>
  <c r="AB30" i="52"/>
  <c r="AD30" i="52" s="1"/>
  <c r="J30" i="52" s="1"/>
  <c r="Y30" i="52"/>
  <c r="X30" i="52"/>
  <c r="Q30" i="52"/>
  <c r="P30" i="52"/>
  <c r="O30" i="52"/>
  <c r="M30" i="52"/>
  <c r="H30" i="52"/>
  <c r="C30" i="52"/>
  <c r="AB29" i="52"/>
  <c r="AD29" i="52" s="1"/>
  <c r="J29" i="52" s="1"/>
  <c r="K29" i="52" s="1"/>
  <c r="Y29" i="52"/>
  <c r="X29" i="52"/>
  <c r="Q29" i="52"/>
  <c r="P29" i="52"/>
  <c r="O29" i="52"/>
  <c r="M29" i="52"/>
  <c r="I29" i="52"/>
  <c r="H29" i="52"/>
  <c r="C29" i="52"/>
  <c r="AD28" i="52"/>
  <c r="J28" i="52" s="1"/>
  <c r="AB28" i="52"/>
  <c r="Y28" i="52"/>
  <c r="X28" i="52"/>
  <c r="P28" i="52"/>
  <c r="Q28" i="52" s="1"/>
  <c r="O28" i="52"/>
  <c r="M28" i="52"/>
  <c r="H28" i="52"/>
  <c r="C28" i="52"/>
  <c r="AD27" i="52"/>
  <c r="J27" i="52" s="1"/>
  <c r="I27" i="52" s="1"/>
  <c r="AB27" i="52"/>
  <c r="Y27" i="52"/>
  <c r="X27" i="52"/>
  <c r="P27" i="52"/>
  <c r="Q27" i="52" s="1"/>
  <c r="O27" i="52"/>
  <c r="M27" i="52"/>
  <c r="H27" i="52"/>
  <c r="C27" i="52"/>
  <c r="AD26" i="52"/>
  <c r="J26" i="52" s="1"/>
  <c r="AB26" i="52"/>
  <c r="Y26" i="52"/>
  <c r="X26" i="52"/>
  <c r="P26" i="52"/>
  <c r="Q26" i="52" s="1"/>
  <c r="O26" i="52"/>
  <c r="M26" i="52"/>
  <c r="H26" i="52"/>
  <c r="C26" i="52"/>
  <c r="AD25" i="52"/>
  <c r="J25" i="52" s="1"/>
  <c r="AB25" i="52"/>
  <c r="Y25" i="52"/>
  <c r="X25" i="52"/>
  <c r="P25" i="52"/>
  <c r="O25" i="52"/>
  <c r="Q25" i="52" s="1"/>
  <c r="M25" i="52"/>
  <c r="H25" i="52"/>
  <c r="C25" i="52"/>
  <c r="AB24" i="52"/>
  <c r="AD24" i="52" s="1"/>
  <c r="J24" i="52" s="1"/>
  <c r="Y24" i="52"/>
  <c r="X24" i="52"/>
  <c r="P24" i="52"/>
  <c r="O24" i="52"/>
  <c r="Q24" i="52" s="1"/>
  <c r="M24" i="52"/>
  <c r="H24" i="52"/>
  <c r="C24" i="52"/>
  <c r="AB23" i="52"/>
  <c r="AD23" i="52" s="1"/>
  <c r="Y23" i="52"/>
  <c r="X23" i="52"/>
  <c r="Q23" i="52"/>
  <c r="P23" i="52"/>
  <c r="O23" i="52"/>
  <c r="M23" i="52"/>
  <c r="J23" i="52"/>
  <c r="H23" i="52"/>
  <c r="C23" i="52"/>
  <c r="AB22" i="52"/>
  <c r="AD22" i="52" s="1"/>
  <c r="J22" i="52" s="1"/>
  <c r="Y22" i="52"/>
  <c r="X22" i="52"/>
  <c r="Q22" i="52"/>
  <c r="P22" i="52"/>
  <c r="O22" i="52"/>
  <c r="M22" i="52"/>
  <c r="H22" i="52"/>
  <c r="C22" i="52"/>
  <c r="AB21" i="52"/>
  <c r="AD21" i="52" s="1"/>
  <c r="J21" i="52" s="1"/>
  <c r="K21" i="52" s="1"/>
  <c r="Y21" i="52"/>
  <c r="X21" i="52"/>
  <c r="Q21" i="52"/>
  <c r="P21" i="52"/>
  <c r="O21" i="52"/>
  <c r="M21" i="52"/>
  <c r="H21" i="52"/>
  <c r="C21" i="52"/>
  <c r="AD20" i="52"/>
  <c r="J20" i="52" s="1"/>
  <c r="K20" i="52" s="1"/>
  <c r="AB20" i="52"/>
  <c r="Y20" i="52"/>
  <c r="X20" i="52"/>
  <c r="P20" i="52"/>
  <c r="Q20" i="52" s="1"/>
  <c r="O20" i="52"/>
  <c r="M20" i="52"/>
  <c r="H20" i="52"/>
  <c r="C20" i="52"/>
  <c r="AD19" i="52"/>
  <c r="J19" i="52" s="1"/>
  <c r="AB19" i="52"/>
  <c r="Y19" i="52"/>
  <c r="X19" i="52"/>
  <c r="P19" i="52"/>
  <c r="Q19" i="52" s="1"/>
  <c r="O19" i="52"/>
  <c r="M19" i="52"/>
  <c r="H19" i="52"/>
  <c r="C19" i="52"/>
  <c r="AD18" i="52"/>
  <c r="J18" i="52" s="1"/>
  <c r="I18" i="52" s="1"/>
  <c r="AB18" i="52"/>
  <c r="Y18" i="52"/>
  <c r="X18" i="52"/>
  <c r="P18" i="52"/>
  <c r="Q18" i="52" s="1"/>
  <c r="O18" i="52"/>
  <c r="M18" i="52"/>
  <c r="H18" i="52"/>
  <c r="C18" i="52"/>
  <c r="AD17" i="52"/>
  <c r="J17" i="52" s="1"/>
  <c r="AB17" i="52"/>
  <c r="Y17" i="52"/>
  <c r="X17" i="52"/>
  <c r="P17" i="52"/>
  <c r="O17" i="52"/>
  <c r="Q17" i="52" s="1"/>
  <c r="M17" i="52"/>
  <c r="H17" i="52"/>
  <c r="C17" i="52"/>
  <c r="AB16" i="52"/>
  <c r="AD16" i="52" s="1"/>
  <c r="J16" i="52" s="1"/>
  <c r="Y16" i="52"/>
  <c r="X16" i="52"/>
  <c r="P16" i="52"/>
  <c r="O16" i="52"/>
  <c r="Q16" i="52" s="1"/>
  <c r="M16" i="52"/>
  <c r="H16" i="52"/>
  <c r="C16" i="52"/>
  <c r="AB15" i="52"/>
  <c r="AD15" i="52" s="1"/>
  <c r="J15" i="52" s="1"/>
  <c r="Y15" i="52"/>
  <c r="X15" i="52"/>
  <c r="Q15" i="52"/>
  <c r="P15" i="52"/>
  <c r="O15" i="52"/>
  <c r="M15" i="52"/>
  <c r="H15" i="52"/>
  <c r="C15" i="52"/>
  <c r="AB14" i="52"/>
  <c r="AD14" i="52" s="1"/>
  <c r="J14" i="52" s="1"/>
  <c r="Y14" i="52"/>
  <c r="X14" i="52"/>
  <c r="Q14" i="52"/>
  <c r="P14" i="52"/>
  <c r="O14" i="52"/>
  <c r="M14" i="52"/>
  <c r="H14" i="52"/>
  <c r="C14" i="52"/>
  <c r="AB13" i="52"/>
  <c r="AD13" i="52" s="1"/>
  <c r="J13" i="52" s="1"/>
  <c r="Y13" i="52"/>
  <c r="X13" i="52"/>
  <c r="Q13" i="52"/>
  <c r="P13" i="52"/>
  <c r="O13" i="52"/>
  <c r="M13" i="52"/>
  <c r="H13" i="52"/>
  <c r="C13" i="52"/>
  <c r="AD12" i="52"/>
  <c r="J12" i="52" s="1"/>
  <c r="K12" i="52" s="1"/>
  <c r="AB12" i="52"/>
  <c r="Y12" i="52"/>
  <c r="X12" i="52"/>
  <c r="P12" i="52"/>
  <c r="Q12" i="52" s="1"/>
  <c r="O12" i="52"/>
  <c r="M12" i="52"/>
  <c r="I12" i="52"/>
  <c r="H12" i="52"/>
  <c r="C12" i="52"/>
  <c r="AD11" i="52"/>
  <c r="J11" i="52" s="1"/>
  <c r="K11" i="52" s="1"/>
  <c r="AB11" i="52"/>
  <c r="Y11" i="52"/>
  <c r="X11" i="52"/>
  <c r="P11" i="52"/>
  <c r="Q11" i="52" s="1"/>
  <c r="O11" i="52"/>
  <c r="M11" i="52"/>
  <c r="H11" i="52"/>
  <c r="C11" i="52"/>
  <c r="AD10" i="52"/>
  <c r="J10" i="52" s="1"/>
  <c r="AB10" i="52"/>
  <c r="Y10" i="52"/>
  <c r="X10" i="52"/>
  <c r="P10" i="52"/>
  <c r="O10" i="52"/>
  <c r="Q10" i="52" s="1"/>
  <c r="M10" i="52"/>
  <c r="K10" i="52"/>
  <c r="I10" i="52"/>
  <c r="H10" i="52"/>
  <c r="C10" i="52"/>
  <c r="AD9" i="52"/>
  <c r="J9" i="52" s="1"/>
  <c r="I9" i="52" s="1"/>
  <c r="AB9" i="52"/>
  <c r="Y9" i="52"/>
  <c r="X9" i="52"/>
  <c r="P9" i="52"/>
  <c r="O9" i="52"/>
  <c r="M9" i="52"/>
  <c r="H9" i="52"/>
  <c r="C9" i="52"/>
  <c r="AD8" i="52"/>
  <c r="AB8" i="52"/>
  <c r="Y8" i="52"/>
  <c r="X8" i="52"/>
  <c r="P8" i="52"/>
  <c r="O8" i="52"/>
  <c r="Q8" i="52" s="1"/>
  <c r="M8" i="52"/>
  <c r="J8" i="52"/>
  <c r="H8" i="52"/>
  <c r="C8" i="52"/>
  <c r="AB7" i="52"/>
  <c r="AD7" i="52" s="1"/>
  <c r="Y7" i="52"/>
  <c r="X7" i="52"/>
  <c r="P7" i="52"/>
  <c r="O7" i="52"/>
  <c r="Q7" i="52" s="1"/>
  <c r="M7" i="52"/>
  <c r="J7" i="52"/>
  <c r="H7" i="52"/>
  <c r="C7" i="52"/>
  <c r="AB6" i="52"/>
  <c r="AD6" i="52" s="1"/>
  <c r="Y6" i="52"/>
  <c r="X6" i="52"/>
  <c r="Q6" i="52"/>
  <c r="P6" i="52"/>
  <c r="O6" i="52"/>
  <c r="M6" i="52"/>
  <c r="J6" i="52"/>
  <c r="H6" i="52"/>
  <c r="C6" i="52"/>
  <c r="AB5" i="52"/>
  <c r="AD5" i="52" s="1"/>
  <c r="Y5" i="52"/>
  <c r="X5" i="52"/>
  <c r="Q5" i="52"/>
  <c r="P5" i="52"/>
  <c r="O5" i="52"/>
  <c r="M5" i="52"/>
  <c r="J5" i="52"/>
  <c r="K5" i="52" s="1"/>
  <c r="H5" i="52"/>
  <c r="C5" i="52"/>
  <c r="AD4" i="52"/>
  <c r="J4" i="52" s="1"/>
  <c r="K4" i="52" s="1"/>
  <c r="AB4" i="52"/>
  <c r="Y4" i="52"/>
  <c r="X4" i="52"/>
  <c r="Q4" i="52"/>
  <c r="P4" i="52"/>
  <c r="O4" i="52"/>
  <c r="M4" i="52"/>
  <c r="I4" i="52"/>
  <c r="H4" i="52"/>
  <c r="C4" i="52"/>
  <c r="AG3" i="52"/>
  <c r="AF3" i="52"/>
  <c r="W3" i="52"/>
  <c r="V3" i="52"/>
  <c r="U3" i="52"/>
  <c r="T3" i="52"/>
  <c r="O3" i="52"/>
  <c r="G3" i="52"/>
  <c r="H3" i="52" s="1"/>
  <c r="F3" i="52"/>
  <c r="D3" i="52"/>
  <c r="C3" i="52"/>
  <c r="A2" i="52"/>
  <c r="A1" i="52"/>
  <c r="AB32" i="51"/>
  <c r="AD32" i="51" s="1"/>
  <c r="J32" i="51" s="1"/>
  <c r="Y32" i="51"/>
  <c r="X32" i="51"/>
  <c r="V32" i="51"/>
  <c r="U32" i="51"/>
  <c r="T32" i="51"/>
  <c r="P32" i="51"/>
  <c r="O32" i="51"/>
  <c r="Q32" i="51" s="1"/>
  <c r="M32" i="51"/>
  <c r="H32" i="51"/>
  <c r="C32" i="51"/>
  <c r="AB31" i="51"/>
  <c r="AD31" i="51" s="1"/>
  <c r="J31" i="51" s="1"/>
  <c r="Y31" i="51"/>
  <c r="X31" i="51"/>
  <c r="P31" i="51"/>
  <c r="O31" i="51"/>
  <c r="Q31" i="51" s="1"/>
  <c r="M31" i="51"/>
  <c r="H31" i="51"/>
  <c r="C31" i="51"/>
  <c r="AB30" i="51"/>
  <c r="AD30" i="51" s="1"/>
  <c r="J30" i="51" s="1"/>
  <c r="Y30" i="51"/>
  <c r="X30" i="51"/>
  <c r="Q30" i="51"/>
  <c r="P30" i="51"/>
  <c r="O30" i="51"/>
  <c r="M30" i="51"/>
  <c r="H30" i="51"/>
  <c r="C30" i="51"/>
  <c r="AB29" i="51"/>
  <c r="AD29" i="51" s="1"/>
  <c r="J29" i="51" s="1"/>
  <c r="Y29" i="51"/>
  <c r="X29" i="51"/>
  <c r="Q29" i="51"/>
  <c r="P29" i="51"/>
  <c r="O29" i="51"/>
  <c r="M29" i="51"/>
  <c r="H29" i="51"/>
  <c r="C29" i="51"/>
  <c r="AB28" i="51"/>
  <c r="AD28" i="51" s="1"/>
  <c r="J28" i="51" s="1"/>
  <c r="K28" i="51" s="1"/>
  <c r="Y28" i="51"/>
  <c r="X28" i="51"/>
  <c r="Q28" i="51"/>
  <c r="P28" i="51"/>
  <c r="O28" i="51"/>
  <c r="M28" i="51"/>
  <c r="I28" i="51"/>
  <c r="H28" i="51"/>
  <c r="C28" i="51"/>
  <c r="AD27" i="51"/>
  <c r="J27" i="51" s="1"/>
  <c r="AB27" i="51"/>
  <c r="Y27" i="51"/>
  <c r="X27" i="51"/>
  <c r="P27" i="51"/>
  <c r="Q27" i="51" s="1"/>
  <c r="O27" i="51"/>
  <c r="M27" i="51"/>
  <c r="K27" i="51"/>
  <c r="I27" i="51"/>
  <c r="H27" i="51"/>
  <c r="C27" i="51"/>
  <c r="AD26" i="51"/>
  <c r="J26" i="51" s="1"/>
  <c r="K26" i="51" s="1"/>
  <c r="AB26" i="51"/>
  <c r="Y26" i="51"/>
  <c r="X26" i="51"/>
  <c r="P26" i="51"/>
  <c r="Q26" i="51" s="1"/>
  <c r="O26" i="51"/>
  <c r="M26" i="51"/>
  <c r="I26" i="51"/>
  <c r="H26" i="51"/>
  <c r="C26" i="51"/>
  <c r="AD25" i="51"/>
  <c r="J25" i="51" s="1"/>
  <c r="I25" i="51" s="1"/>
  <c r="AB25" i="51"/>
  <c r="Y25" i="51"/>
  <c r="X25" i="51"/>
  <c r="P25" i="51"/>
  <c r="O25" i="51"/>
  <c r="Q25" i="51" s="1"/>
  <c r="M25" i="51"/>
  <c r="K25" i="51"/>
  <c r="H25" i="51"/>
  <c r="C25" i="51"/>
  <c r="AB24" i="51"/>
  <c r="AD24" i="51" s="1"/>
  <c r="J24" i="51" s="1"/>
  <c r="Y24" i="51"/>
  <c r="X24" i="51"/>
  <c r="P24" i="51"/>
  <c r="O24" i="51"/>
  <c r="Q24" i="51" s="1"/>
  <c r="M24" i="51"/>
  <c r="H24" i="51"/>
  <c r="C24" i="51"/>
  <c r="AB23" i="51"/>
  <c r="AD23" i="51" s="1"/>
  <c r="J23" i="51" s="1"/>
  <c r="Y23" i="51"/>
  <c r="X23" i="51"/>
  <c r="Q23" i="51"/>
  <c r="P23" i="51"/>
  <c r="O23" i="51"/>
  <c r="M23" i="51"/>
  <c r="H23" i="51"/>
  <c r="C23" i="51"/>
  <c r="AB22" i="51"/>
  <c r="AD22" i="51" s="1"/>
  <c r="J22" i="51" s="1"/>
  <c r="Y22" i="51"/>
  <c r="X22" i="51"/>
  <c r="P22" i="51"/>
  <c r="O22" i="51"/>
  <c r="Q22" i="51" s="1"/>
  <c r="M22" i="51"/>
  <c r="H22" i="51"/>
  <c r="C22" i="51"/>
  <c r="AB21" i="51"/>
  <c r="AD21" i="51" s="1"/>
  <c r="Y21" i="51"/>
  <c r="X21" i="51"/>
  <c r="Q21" i="51"/>
  <c r="P21" i="51"/>
  <c r="O21" i="51"/>
  <c r="M21" i="51"/>
  <c r="J21" i="51"/>
  <c r="H21" i="51"/>
  <c r="C21" i="51"/>
  <c r="AB20" i="51"/>
  <c r="AD20" i="51" s="1"/>
  <c r="J20" i="51" s="1"/>
  <c r="K20" i="51" s="1"/>
  <c r="Y20" i="51"/>
  <c r="X20" i="51"/>
  <c r="Q20" i="51"/>
  <c r="P20" i="51"/>
  <c r="O20" i="51"/>
  <c r="M20" i="51"/>
  <c r="I20" i="51"/>
  <c r="H20" i="51"/>
  <c r="C20" i="51"/>
  <c r="AD19" i="51"/>
  <c r="J19" i="51" s="1"/>
  <c r="AB19" i="51"/>
  <c r="Y19" i="51"/>
  <c r="X19" i="51"/>
  <c r="P19" i="51"/>
  <c r="O19" i="51"/>
  <c r="Q19" i="51" s="1"/>
  <c r="M19" i="51"/>
  <c r="K19" i="51"/>
  <c r="I19" i="51"/>
  <c r="H19" i="51"/>
  <c r="C19" i="51"/>
  <c r="AD18" i="51"/>
  <c r="J18" i="51" s="1"/>
  <c r="AB18" i="51"/>
  <c r="Y18" i="51"/>
  <c r="X18" i="51"/>
  <c r="P18" i="51"/>
  <c r="Q18" i="51" s="1"/>
  <c r="O18" i="51"/>
  <c r="M18" i="51"/>
  <c r="K18" i="51"/>
  <c r="I18" i="51"/>
  <c r="H18" i="51"/>
  <c r="C18" i="51"/>
  <c r="AD17" i="51"/>
  <c r="J17" i="51" s="1"/>
  <c r="I17" i="51" s="1"/>
  <c r="AB17" i="51"/>
  <c r="Y17" i="51"/>
  <c r="X17" i="51"/>
  <c r="P17" i="51"/>
  <c r="O17" i="51"/>
  <c r="M17" i="51"/>
  <c r="K17" i="51"/>
  <c r="H17" i="51"/>
  <c r="C17" i="51"/>
  <c r="AB16" i="51"/>
  <c r="AD16" i="51" s="1"/>
  <c r="J16" i="51" s="1"/>
  <c r="Y16" i="51"/>
  <c r="X16" i="51"/>
  <c r="P16" i="51"/>
  <c r="O16" i="51"/>
  <c r="Q16" i="51" s="1"/>
  <c r="M16" i="51"/>
  <c r="H16" i="51"/>
  <c r="C16" i="51"/>
  <c r="AB15" i="51"/>
  <c r="AD15" i="51" s="1"/>
  <c r="Y15" i="51"/>
  <c r="X15" i="51"/>
  <c r="P15" i="51"/>
  <c r="O15" i="51"/>
  <c r="Q15" i="51" s="1"/>
  <c r="M15" i="51"/>
  <c r="J15" i="51"/>
  <c r="H15" i="51"/>
  <c r="C15" i="51"/>
  <c r="AB14" i="51"/>
  <c r="AD14" i="51" s="1"/>
  <c r="J14" i="51" s="1"/>
  <c r="Y14" i="51"/>
  <c r="X14" i="51"/>
  <c r="P14" i="51"/>
  <c r="O14" i="51"/>
  <c r="Q14" i="51" s="1"/>
  <c r="M14" i="51"/>
  <c r="H14" i="51"/>
  <c r="C14" i="51"/>
  <c r="AB13" i="51"/>
  <c r="AD13" i="51" s="1"/>
  <c r="J13" i="51" s="1"/>
  <c r="Y13" i="51"/>
  <c r="X13" i="51"/>
  <c r="Q13" i="51"/>
  <c r="P13" i="51"/>
  <c r="O13" i="51"/>
  <c r="M13" i="51"/>
  <c r="H13" i="51"/>
  <c r="C13" i="51"/>
  <c r="AB12" i="51"/>
  <c r="AD12" i="51" s="1"/>
  <c r="J12" i="51" s="1"/>
  <c r="K12" i="51" s="1"/>
  <c r="Y12" i="51"/>
  <c r="X12" i="51"/>
  <c r="Q12" i="51"/>
  <c r="P12" i="51"/>
  <c r="O12" i="51"/>
  <c r="M12" i="51"/>
  <c r="I12" i="51"/>
  <c r="H12" i="51"/>
  <c r="C12" i="51"/>
  <c r="AD11" i="51"/>
  <c r="J11" i="51" s="1"/>
  <c r="AB11" i="51"/>
  <c r="Y11" i="51"/>
  <c r="X11" i="51"/>
  <c r="P11" i="51"/>
  <c r="Q11" i="51" s="1"/>
  <c r="O11" i="51"/>
  <c r="M11" i="51"/>
  <c r="K11" i="51"/>
  <c r="I11" i="51"/>
  <c r="H11" i="51"/>
  <c r="C11" i="51"/>
  <c r="AD10" i="51"/>
  <c r="J10" i="51" s="1"/>
  <c r="K10" i="51" s="1"/>
  <c r="AB10" i="51"/>
  <c r="Y10" i="51"/>
  <c r="X10" i="51"/>
  <c r="P10" i="51"/>
  <c r="Q10" i="51" s="1"/>
  <c r="O10" i="51"/>
  <c r="M10" i="51"/>
  <c r="I10" i="51"/>
  <c r="H10" i="51"/>
  <c r="C10" i="51"/>
  <c r="AD9" i="51"/>
  <c r="J9" i="51" s="1"/>
  <c r="I9" i="51" s="1"/>
  <c r="AB9" i="51"/>
  <c r="Y9" i="51"/>
  <c r="X9" i="51"/>
  <c r="P9" i="51"/>
  <c r="O9" i="51"/>
  <c r="Q9" i="51" s="1"/>
  <c r="M9" i="51"/>
  <c r="K9" i="51"/>
  <c r="H9" i="51"/>
  <c r="C9" i="51"/>
  <c r="AB8" i="51"/>
  <c r="AD8" i="51" s="1"/>
  <c r="J8" i="51" s="1"/>
  <c r="Y8" i="51"/>
  <c r="X8" i="51"/>
  <c r="P8" i="51"/>
  <c r="O8" i="51"/>
  <c r="Q8" i="51" s="1"/>
  <c r="M8" i="51"/>
  <c r="H8" i="51"/>
  <c r="C8" i="51"/>
  <c r="AB7" i="51"/>
  <c r="AD7" i="51" s="1"/>
  <c r="J7" i="51" s="1"/>
  <c r="Y7" i="51"/>
  <c r="X7" i="51"/>
  <c r="Q7" i="51"/>
  <c r="P7" i="51"/>
  <c r="O7" i="51"/>
  <c r="M7" i="51"/>
  <c r="H7" i="51"/>
  <c r="C7" i="51"/>
  <c r="AB6" i="51"/>
  <c r="AD6" i="51" s="1"/>
  <c r="J6" i="51" s="1"/>
  <c r="Y6" i="51"/>
  <c r="X6" i="51"/>
  <c r="P6" i="51"/>
  <c r="O6" i="51"/>
  <c r="Q6" i="51" s="1"/>
  <c r="M6" i="51"/>
  <c r="H6" i="51"/>
  <c r="C6" i="51"/>
  <c r="AB5" i="51"/>
  <c r="AD5" i="51" s="1"/>
  <c r="Y5" i="51"/>
  <c r="X5" i="51"/>
  <c r="P5" i="51"/>
  <c r="O5" i="51"/>
  <c r="Q5" i="51" s="1"/>
  <c r="M5" i="51"/>
  <c r="K5" i="51"/>
  <c r="J5" i="51"/>
  <c r="I5" i="51" s="1"/>
  <c r="H5" i="51"/>
  <c r="C5" i="51"/>
  <c r="AD4" i="51"/>
  <c r="AB4" i="51"/>
  <c r="Y4" i="51"/>
  <c r="X4" i="51"/>
  <c r="P4" i="51"/>
  <c r="O4" i="51"/>
  <c r="Q4" i="51" s="1"/>
  <c r="M4" i="51"/>
  <c r="H4" i="51"/>
  <c r="C4" i="51"/>
  <c r="AG3" i="51"/>
  <c r="AF3" i="51"/>
  <c r="X3" i="51"/>
  <c r="W3" i="51"/>
  <c r="V3" i="51"/>
  <c r="U3" i="51"/>
  <c r="T3" i="51"/>
  <c r="O3" i="51"/>
  <c r="G3" i="51"/>
  <c r="H3" i="51" s="1"/>
  <c r="F3" i="51"/>
  <c r="D3" i="51"/>
  <c r="C3" i="51"/>
  <c r="A2" i="51"/>
  <c r="A1" i="51"/>
  <c r="AD32" i="50"/>
  <c r="J32" i="50" s="1"/>
  <c r="AB32" i="50"/>
  <c r="Y32" i="50"/>
  <c r="X32" i="50"/>
  <c r="V32" i="50"/>
  <c r="U32" i="50"/>
  <c r="T32" i="50"/>
  <c r="P32" i="50"/>
  <c r="O32" i="50"/>
  <c r="Q32" i="50" s="1"/>
  <c r="M32" i="50"/>
  <c r="H32" i="50"/>
  <c r="C32" i="50"/>
  <c r="AB31" i="50"/>
  <c r="AD31" i="50" s="1"/>
  <c r="J31" i="50" s="1"/>
  <c r="Y31" i="50"/>
  <c r="X31" i="50"/>
  <c r="P31" i="50"/>
  <c r="O31" i="50"/>
  <c r="Q31" i="50" s="1"/>
  <c r="M31" i="50"/>
  <c r="H31" i="50"/>
  <c r="C31" i="50"/>
  <c r="AD30" i="50"/>
  <c r="J30" i="50" s="1"/>
  <c r="AB30" i="50"/>
  <c r="Y30" i="50"/>
  <c r="X30" i="50"/>
  <c r="Q30" i="50"/>
  <c r="P30" i="50"/>
  <c r="O30" i="50"/>
  <c r="M30" i="50"/>
  <c r="H30" i="50"/>
  <c r="C30" i="50"/>
  <c r="AD29" i="50"/>
  <c r="J29" i="50" s="1"/>
  <c r="I29" i="50" s="1"/>
  <c r="AB29" i="50"/>
  <c r="Y29" i="50"/>
  <c r="X29" i="50"/>
  <c r="P29" i="50"/>
  <c r="O29" i="50"/>
  <c r="Q29" i="50" s="1"/>
  <c r="M29" i="50"/>
  <c r="H29" i="50"/>
  <c r="C29" i="50"/>
  <c r="AD28" i="50"/>
  <c r="J28" i="50" s="1"/>
  <c r="K28" i="50" s="1"/>
  <c r="AB28" i="50"/>
  <c r="Y28" i="50"/>
  <c r="X28" i="50"/>
  <c r="P28" i="50"/>
  <c r="O28" i="50"/>
  <c r="Q28" i="50" s="1"/>
  <c r="M28" i="50"/>
  <c r="I28" i="50"/>
  <c r="H28" i="50"/>
  <c r="C28" i="50"/>
  <c r="AB27" i="50"/>
  <c r="AD27" i="50" s="1"/>
  <c r="J27" i="50" s="1"/>
  <c r="Y27" i="50"/>
  <c r="X27" i="50"/>
  <c r="P27" i="50"/>
  <c r="O27" i="50"/>
  <c r="Q27" i="50" s="1"/>
  <c r="M27" i="50"/>
  <c r="H27" i="50"/>
  <c r="C27" i="50"/>
  <c r="AB26" i="50"/>
  <c r="AD26" i="50" s="1"/>
  <c r="J26" i="50" s="1"/>
  <c r="Y26" i="50"/>
  <c r="X26" i="50"/>
  <c r="P26" i="50"/>
  <c r="O26" i="50"/>
  <c r="Q26" i="50" s="1"/>
  <c r="M26" i="50"/>
  <c r="H26" i="50"/>
  <c r="C26" i="50"/>
  <c r="AB25" i="50"/>
  <c r="AD25" i="50" s="1"/>
  <c r="J25" i="50" s="1"/>
  <c r="Y25" i="50"/>
  <c r="X25" i="50"/>
  <c r="Q25" i="50"/>
  <c r="P25" i="50"/>
  <c r="O25" i="50"/>
  <c r="M25" i="50"/>
  <c r="H25" i="50"/>
  <c r="C25" i="50"/>
  <c r="AD24" i="50"/>
  <c r="J24" i="50" s="1"/>
  <c r="AB24" i="50"/>
  <c r="Y24" i="50"/>
  <c r="X24" i="50"/>
  <c r="P24" i="50"/>
  <c r="O24" i="50"/>
  <c r="Q24" i="50" s="1"/>
  <c r="M24" i="50"/>
  <c r="H24" i="50"/>
  <c r="C24" i="50"/>
  <c r="AB23" i="50"/>
  <c r="AD23" i="50" s="1"/>
  <c r="J23" i="50" s="1"/>
  <c r="Y23" i="50"/>
  <c r="X23" i="50"/>
  <c r="P23" i="50"/>
  <c r="O23" i="50"/>
  <c r="Q23" i="50" s="1"/>
  <c r="M23" i="50"/>
  <c r="H23" i="50"/>
  <c r="C23" i="50"/>
  <c r="AD22" i="50"/>
  <c r="J22" i="50" s="1"/>
  <c r="AB22" i="50"/>
  <c r="Y22" i="50"/>
  <c r="X22" i="50"/>
  <c r="P22" i="50"/>
  <c r="Q22" i="50" s="1"/>
  <c r="O22" i="50"/>
  <c r="M22" i="50"/>
  <c r="H22" i="50"/>
  <c r="C22" i="50"/>
  <c r="AD21" i="50"/>
  <c r="J21" i="50" s="1"/>
  <c r="AB21" i="50"/>
  <c r="Y21" i="50"/>
  <c r="X21" i="50"/>
  <c r="P21" i="50"/>
  <c r="O21" i="50"/>
  <c r="Q21" i="50" s="1"/>
  <c r="M21" i="50"/>
  <c r="H21" i="50"/>
  <c r="C21" i="50"/>
  <c r="AD20" i="50"/>
  <c r="J20" i="50" s="1"/>
  <c r="K20" i="50" s="1"/>
  <c r="AB20" i="50"/>
  <c r="Y20" i="50"/>
  <c r="X20" i="50"/>
  <c r="P20" i="50"/>
  <c r="O20" i="50"/>
  <c r="Q20" i="50" s="1"/>
  <c r="M20" i="50"/>
  <c r="I20" i="50"/>
  <c r="H20" i="50"/>
  <c r="C20" i="50"/>
  <c r="AB19" i="50"/>
  <c r="AD19" i="50" s="1"/>
  <c r="J19" i="50" s="1"/>
  <c r="Y19" i="50"/>
  <c r="X19" i="50"/>
  <c r="P19" i="50"/>
  <c r="O19" i="50"/>
  <c r="Q19" i="50" s="1"/>
  <c r="M19" i="50"/>
  <c r="H19" i="50"/>
  <c r="C19" i="50"/>
  <c r="AD18" i="50"/>
  <c r="J18" i="50" s="1"/>
  <c r="AB18" i="50"/>
  <c r="Y18" i="50"/>
  <c r="X18" i="50"/>
  <c r="P18" i="50"/>
  <c r="O18" i="50"/>
  <c r="Q18" i="50" s="1"/>
  <c r="M18" i="50"/>
  <c r="H18" i="50"/>
  <c r="C18" i="50"/>
  <c r="AB17" i="50"/>
  <c r="AD17" i="50" s="1"/>
  <c r="J17" i="50" s="1"/>
  <c r="Y17" i="50"/>
  <c r="X17" i="50"/>
  <c r="Q17" i="50"/>
  <c r="P17" i="50"/>
  <c r="O17" i="50"/>
  <c r="M17" i="50"/>
  <c r="H17" i="50"/>
  <c r="C17" i="50"/>
  <c r="AD16" i="50"/>
  <c r="J16" i="50" s="1"/>
  <c r="AB16" i="50"/>
  <c r="Y16" i="50"/>
  <c r="X16" i="50"/>
  <c r="P16" i="50"/>
  <c r="O16" i="50"/>
  <c r="Q16" i="50" s="1"/>
  <c r="M16" i="50"/>
  <c r="H16" i="50"/>
  <c r="C16" i="50"/>
  <c r="AB15" i="50"/>
  <c r="AD15" i="50" s="1"/>
  <c r="J15" i="50" s="1"/>
  <c r="K15" i="50" s="1"/>
  <c r="Y15" i="50"/>
  <c r="X15" i="50"/>
  <c r="P15" i="50"/>
  <c r="O15" i="50"/>
  <c r="Q15" i="50" s="1"/>
  <c r="M15" i="50"/>
  <c r="H15" i="50"/>
  <c r="C15" i="50"/>
  <c r="AD14" i="50"/>
  <c r="J14" i="50" s="1"/>
  <c r="AB14" i="50"/>
  <c r="Y14" i="50"/>
  <c r="X14" i="50"/>
  <c r="P14" i="50"/>
  <c r="Q14" i="50" s="1"/>
  <c r="O14" i="50"/>
  <c r="M14" i="50"/>
  <c r="H14" i="50"/>
  <c r="C14" i="50"/>
  <c r="AD13" i="50"/>
  <c r="J13" i="50" s="1"/>
  <c r="I13" i="50" s="1"/>
  <c r="AB13" i="50"/>
  <c r="Y13" i="50"/>
  <c r="X13" i="50"/>
  <c r="P13" i="50"/>
  <c r="O13" i="50"/>
  <c r="Q13" i="50" s="1"/>
  <c r="M13" i="50"/>
  <c r="K13" i="50"/>
  <c r="H13" i="50"/>
  <c r="C13" i="50"/>
  <c r="AD12" i="50"/>
  <c r="J12" i="50" s="1"/>
  <c r="K12" i="50" s="1"/>
  <c r="AB12" i="50"/>
  <c r="Y12" i="50"/>
  <c r="X12" i="50"/>
  <c r="P12" i="50"/>
  <c r="O12" i="50"/>
  <c r="Q12" i="50" s="1"/>
  <c r="M12" i="50"/>
  <c r="H12" i="50"/>
  <c r="C12" i="50"/>
  <c r="AB11" i="50"/>
  <c r="AD11" i="50" s="1"/>
  <c r="J11" i="50" s="1"/>
  <c r="Y11" i="50"/>
  <c r="X11" i="50"/>
  <c r="P11" i="50"/>
  <c r="O11" i="50"/>
  <c r="M11" i="50"/>
  <c r="H11" i="50"/>
  <c r="C11" i="50"/>
  <c r="AD10" i="50"/>
  <c r="AB10" i="50"/>
  <c r="Y10" i="50"/>
  <c r="X10" i="50"/>
  <c r="P10" i="50"/>
  <c r="O10" i="50"/>
  <c r="Q10" i="50" s="1"/>
  <c r="M10" i="50"/>
  <c r="K10" i="50"/>
  <c r="J10" i="50"/>
  <c r="I10" i="50" s="1"/>
  <c r="H10" i="50"/>
  <c r="C10" i="50"/>
  <c r="AB9" i="50"/>
  <c r="AD9" i="50" s="1"/>
  <c r="J9" i="50" s="1"/>
  <c r="Y9" i="50"/>
  <c r="X9" i="50"/>
  <c r="Q9" i="50"/>
  <c r="P9" i="50"/>
  <c r="O9" i="50"/>
  <c r="M9" i="50"/>
  <c r="H9" i="50"/>
  <c r="C9" i="50"/>
  <c r="AD8" i="50"/>
  <c r="J8" i="50" s="1"/>
  <c r="AB8" i="50"/>
  <c r="Y8" i="50"/>
  <c r="X8" i="50"/>
  <c r="P8" i="50"/>
  <c r="O8" i="50"/>
  <c r="Q8" i="50" s="1"/>
  <c r="M8" i="50"/>
  <c r="H8" i="50"/>
  <c r="C8" i="50"/>
  <c r="AB7" i="50"/>
  <c r="AD7" i="50" s="1"/>
  <c r="Y7" i="50"/>
  <c r="X7" i="50"/>
  <c r="P7" i="50"/>
  <c r="O7" i="50"/>
  <c r="Q7" i="50" s="1"/>
  <c r="M7" i="50"/>
  <c r="J7" i="50"/>
  <c r="H7" i="50"/>
  <c r="C7" i="50"/>
  <c r="AD6" i="50"/>
  <c r="J6" i="50" s="1"/>
  <c r="AB6" i="50"/>
  <c r="Y6" i="50"/>
  <c r="X6" i="50"/>
  <c r="Q6" i="50"/>
  <c r="P6" i="50"/>
  <c r="O6" i="50"/>
  <c r="M6" i="50"/>
  <c r="H6" i="50"/>
  <c r="C6" i="50"/>
  <c r="AD5" i="50"/>
  <c r="J5" i="50" s="1"/>
  <c r="I5" i="50" s="1"/>
  <c r="AB5" i="50"/>
  <c r="Y5" i="50"/>
  <c r="X5" i="50"/>
  <c r="P5" i="50"/>
  <c r="O5" i="50"/>
  <c r="Q5" i="50" s="1"/>
  <c r="M5" i="50"/>
  <c r="K5" i="50"/>
  <c r="H5" i="50"/>
  <c r="C5" i="50"/>
  <c r="AD4" i="50"/>
  <c r="AB4" i="50"/>
  <c r="Y4" i="50"/>
  <c r="X4" i="50"/>
  <c r="P4" i="50"/>
  <c r="O4" i="50"/>
  <c r="Q4" i="50" s="1"/>
  <c r="M4" i="50"/>
  <c r="H4" i="50"/>
  <c r="C4" i="50"/>
  <c r="AG3" i="50"/>
  <c r="AF3" i="50"/>
  <c r="X3" i="50"/>
  <c r="W3" i="50"/>
  <c r="V3" i="50"/>
  <c r="U3" i="50"/>
  <c r="T3" i="50"/>
  <c r="O3" i="50"/>
  <c r="G3" i="50"/>
  <c r="F3" i="50"/>
  <c r="D3" i="50"/>
  <c r="C3" i="50"/>
  <c r="A2" i="50"/>
  <c r="A1" i="50"/>
  <c r="AD32" i="49"/>
  <c r="J32" i="49" s="1"/>
  <c r="AB32" i="49"/>
  <c r="Y32" i="49"/>
  <c r="X32" i="49"/>
  <c r="V32" i="49"/>
  <c r="U32" i="49"/>
  <c r="T32" i="49"/>
  <c r="P32" i="49"/>
  <c r="O32" i="49"/>
  <c r="Q32" i="49" s="1"/>
  <c r="M32" i="49"/>
  <c r="H32" i="49"/>
  <c r="C32" i="49"/>
  <c r="AB31" i="49"/>
  <c r="AD31" i="49" s="1"/>
  <c r="J31" i="49" s="1"/>
  <c r="Y31" i="49"/>
  <c r="X31" i="49"/>
  <c r="P31" i="49"/>
  <c r="O31" i="49"/>
  <c r="Q31" i="49" s="1"/>
  <c r="M31" i="49"/>
  <c r="H31" i="49"/>
  <c r="C31" i="49"/>
  <c r="AD30" i="49"/>
  <c r="J30" i="49" s="1"/>
  <c r="AB30" i="49"/>
  <c r="Y30" i="49"/>
  <c r="X30" i="49"/>
  <c r="P30" i="49"/>
  <c r="Q30" i="49" s="1"/>
  <c r="O30" i="49"/>
  <c r="M30" i="49"/>
  <c r="H30" i="49"/>
  <c r="C30" i="49"/>
  <c r="AD29" i="49"/>
  <c r="J29" i="49" s="1"/>
  <c r="I29" i="49" s="1"/>
  <c r="AB29" i="49"/>
  <c r="Y29" i="49"/>
  <c r="X29" i="49"/>
  <c r="P29" i="49"/>
  <c r="O29" i="49"/>
  <c r="Q29" i="49" s="1"/>
  <c r="M29" i="49"/>
  <c r="K29" i="49"/>
  <c r="H29" i="49"/>
  <c r="C29" i="49"/>
  <c r="AD28" i="49"/>
  <c r="J28" i="49" s="1"/>
  <c r="K28" i="49" s="1"/>
  <c r="AB28" i="49"/>
  <c r="Y28" i="49"/>
  <c r="X28" i="49"/>
  <c r="P28" i="49"/>
  <c r="O28" i="49"/>
  <c r="Q28" i="49" s="1"/>
  <c r="M28" i="49"/>
  <c r="H28" i="49"/>
  <c r="C28" i="49"/>
  <c r="AB27" i="49"/>
  <c r="AD27" i="49" s="1"/>
  <c r="J27" i="49" s="1"/>
  <c r="Y27" i="49"/>
  <c r="X27" i="49"/>
  <c r="P27" i="49"/>
  <c r="O27" i="49"/>
  <c r="M27" i="49"/>
  <c r="H27" i="49"/>
  <c r="C27" i="49"/>
  <c r="AD26" i="49"/>
  <c r="AB26" i="49"/>
  <c r="Y26" i="49"/>
  <c r="X26" i="49"/>
  <c r="P26" i="49"/>
  <c r="O26" i="49"/>
  <c r="Q26" i="49" s="1"/>
  <c r="M26" i="49"/>
  <c r="K26" i="49"/>
  <c r="J26" i="49"/>
  <c r="I26" i="49" s="1"/>
  <c r="H26" i="49"/>
  <c r="C26" i="49"/>
  <c r="AB25" i="49"/>
  <c r="AD25" i="49" s="1"/>
  <c r="J25" i="49" s="1"/>
  <c r="Y25" i="49"/>
  <c r="X25" i="49"/>
  <c r="Q25" i="49"/>
  <c r="P25" i="49"/>
  <c r="O25" i="49"/>
  <c r="M25" i="49"/>
  <c r="H25" i="49"/>
  <c r="C25" i="49"/>
  <c r="AD24" i="49"/>
  <c r="J24" i="49" s="1"/>
  <c r="AB24" i="49"/>
  <c r="Y24" i="49"/>
  <c r="X24" i="49"/>
  <c r="P24" i="49"/>
  <c r="O24" i="49"/>
  <c r="Q24" i="49" s="1"/>
  <c r="M24" i="49"/>
  <c r="H24" i="49"/>
  <c r="C24" i="49"/>
  <c r="AB23" i="49"/>
  <c r="AD23" i="49" s="1"/>
  <c r="Y23" i="49"/>
  <c r="X23" i="49"/>
  <c r="P23" i="49"/>
  <c r="O23" i="49"/>
  <c r="Q23" i="49" s="1"/>
  <c r="M23" i="49"/>
  <c r="J23" i="49"/>
  <c r="H23" i="49"/>
  <c r="C23" i="49"/>
  <c r="AD22" i="49"/>
  <c r="J22" i="49" s="1"/>
  <c r="AB22" i="49"/>
  <c r="Y22" i="49"/>
  <c r="X22" i="49"/>
  <c r="Q22" i="49"/>
  <c r="P22" i="49"/>
  <c r="O22" i="49"/>
  <c r="M22" i="49"/>
  <c r="H22" i="49"/>
  <c r="C22" i="49"/>
  <c r="AD21" i="49"/>
  <c r="J21" i="49" s="1"/>
  <c r="I21" i="49" s="1"/>
  <c r="AB21" i="49"/>
  <c r="Y21" i="49"/>
  <c r="X21" i="49"/>
  <c r="P21" i="49"/>
  <c r="O21" i="49"/>
  <c r="Q21" i="49" s="1"/>
  <c r="M21" i="49"/>
  <c r="K21" i="49"/>
  <c r="H21" i="49"/>
  <c r="C21" i="49"/>
  <c r="AD20" i="49"/>
  <c r="J20" i="49" s="1"/>
  <c r="AB20" i="49"/>
  <c r="Y20" i="49"/>
  <c r="X20" i="49"/>
  <c r="P20" i="49"/>
  <c r="O20" i="49"/>
  <c r="Q20" i="49" s="1"/>
  <c r="M20" i="49"/>
  <c r="H20" i="49"/>
  <c r="C20" i="49"/>
  <c r="AB19" i="49"/>
  <c r="AD19" i="49" s="1"/>
  <c r="J19" i="49" s="1"/>
  <c r="Y19" i="49"/>
  <c r="X19" i="49"/>
  <c r="P19" i="49"/>
  <c r="O19" i="49"/>
  <c r="M19" i="49"/>
  <c r="H19" i="49"/>
  <c r="C19" i="49"/>
  <c r="AB18" i="49"/>
  <c r="AD18" i="49" s="1"/>
  <c r="J18" i="49" s="1"/>
  <c r="Y18" i="49"/>
  <c r="X18" i="49"/>
  <c r="P18" i="49"/>
  <c r="O18" i="49"/>
  <c r="Q18" i="49" s="1"/>
  <c r="M18" i="49"/>
  <c r="H18" i="49"/>
  <c r="C18" i="49"/>
  <c r="AB17" i="49"/>
  <c r="AD17" i="49" s="1"/>
  <c r="J17" i="49" s="1"/>
  <c r="Y17" i="49"/>
  <c r="X17" i="49"/>
  <c r="Q17" i="49"/>
  <c r="P17" i="49"/>
  <c r="O17" i="49"/>
  <c r="M17" i="49"/>
  <c r="H17" i="49"/>
  <c r="C17" i="49"/>
  <c r="AD16" i="49"/>
  <c r="J16" i="49" s="1"/>
  <c r="AB16" i="49"/>
  <c r="Y16" i="49"/>
  <c r="X16" i="49"/>
  <c r="P16" i="49"/>
  <c r="O16" i="49"/>
  <c r="Q16" i="49" s="1"/>
  <c r="M16" i="49"/>
  <c r="H16" i="49"/>
  <c r="C16" i="49"/>
  <c r="AB15" i="49"/>
  <c r="AD15" i="49" s="1"/>
  <c r="J15" i="49" s="1"/>
  <c r="Y15" i="49"/>
  <c r="X15" i="49"/>
  <c r="P15" i="49"/>
  <c r="O15" i="49"/>
  <c r="Q15" i="49" s="1"/>
  <c r="M15" i="49"/>
  <c r="H15" i="49"/>
  <c r="C15" i="49"/>
  <c r="AD14" i="49"/>
  <c r="J14" i="49" s="1"/>
  <c r="AB14" i="49"/>
  <c r="Y14" i="49"/>
  <c r="X14" i="49"/>
  <c r="Q14" i="49"/>
  <c r="P14" i="49"/>
  <c r="O14" i="49"/>
  <c r="M14" i="49"/>
  <c r="H14" i="49"/>
  <c r="C14" i="49"/>
  <c r="AD13" i="49"/>
  <c r="J13" i="49" s="1"/>
  <c r="I13" i="49" s="1"/>
  <c r="AB13" i="49"/>
  <c r="Y13" i="49"/>
  <c r="X13" i="49"/>
  <c r="P13" i="49"/>
  <c r="O13" i="49"/>
  <c r="Q13" i="49" s="1"/>
  <c r="M13" i="49"/>
  <c r="H13" i="49"/>
  <c r="C13" i="49"/>
  <c r="AD12" i="49"/>
  <c r="J12" i="49" s="1"/>
  <c r="K12" i="49" s="1"/>
  <c r="AB12" i="49"/>
  <c r="Y12" i="49"/>
  <c r="X12" i="49"/>
  <c r="P12" i="49"/>
  <c r="O12" i="49"/>
  <c r="Q12" i="49" s="1"/>
  <c r="M12" i="49"/>
  <c r="I12" i="49"/>
  <c r="H12" i="49"/>
  <c r="C12" i="49"/>
  <c r="AB11" i="49"/>
  <c r="AD11" i="49" s="1"/>
  <c r="J11" i="49" s="1"/>
  <c r="Y11" i="49"/>
  <c r="X11" i="49"/>
  <c r="P11" i="49"/>
  <c r="O11" i="49"/>
  <c r="Q11" i="49" s="1"/>
  <c r="M11" i="49"/>
  <c r="H11" i="49"/>
  <c r="C11" i="49"/>
  <c r="AB10" i="49"/>
  <c r="AD10" i="49" s="1"/>
  <c r="J10" i="49" s="1"/>
  <c r="Y10" i="49"/>
  <c r="X10" i="49"/>
  <c r="P10" i="49"/>
  <c r="O10" i="49"/>
  <c r="Q10" i="49" s="1"/>
  <c r="M10" i="49"/>
  <c r="H10" i="49"/>
  <c r="C10" i="49"/>
  <c r="AB9" i="49"/>
  <c r="AD9" i="49" s="1"/>
  <c r="J9" i="49" s="1"/>
  <c r="Y9" i="49"/>
  <c r="X9" i="49"/>
  <c r="Q9" i="49"/>
  <c r="P9" i="49"/>
  <c r="O9" i="49"/>
  <c r="M9" i="49"/>
  <c r="H9" i="49"/>
  <c r="C9" i="49"/>
  <c r="AD8" i="49"/>
  <c r="J8" i="49" s="1"/>
  <c r="AB8" i="49"/>
  <c r="Y8" i="49"/>
  <c r="X8" i="49"/>
  <c r="P8" i="49"/>
  <c r="O8" i="49"/>
  <c r="Q8" i="49" s="1"/>
  <c r="M8" i="49"/>
  <c r="H8" i="49"/>
  <c r="C8" i="49"/>
  <c r="AB7" i="49"/>
  <c r="AD7" i="49" s="1"/>
  <c r="J7" i="49" s="1"/>
  <c r="Y7" i="49"/>
  <c r="X7" i="49"/>
  <c r="P7" i="49"/>
  <c r="O7" i="49"/>
  <c r="Q7" i="49" s="1"/>
  <c r="M7" i="49"/>
  <c r="H7" i="49"/>
  <c r="C7" i="49"/>
  <c r="AD6" i="49"/>
  <c r="J6" i="49" s="1"/>
  <c r="AB6" i="49"/>
  <c r="Y6" i="49"/>
  <c r="X6" i="49"/>
  <c r="P6" i="49"/>
  <c r="Q6" i="49" s="1"/>
  <c r="O6" i="49"/>
  <c r="M6" i="49"/>
  <c r="H6" i="49"/>
  <c r="C6" i="49"/>
  <c r="AD5" i="49"/>
  <c r="J5" i="49" s="1"/>
  <c r="I5" i="49" s="1"/>
  <c r="AB5" i="49"/>
  <c r="Y5" i="49"/>
  <c r="X5" i="49"/>
  <c r="P5" i="49"/>
  <c r="O5" i="49"/>
  <c r="Q5" i="49" s="1"/>
  <c r="M5" i="49"/>
  <c r="K5" i="49"/>
  <c r="H5" i="49"/>
  <c r="C5" i="49"/>
  <c r="AD4" i="49"/>
  <c r="AB4" i="49"/>
  <c r="Y4" i="49"/>
  <c r="X4" i="49"/>
  <c r="P4" i="49"/>
  <c r="O4" i="49"/>
  <c r="Q4" i="49" s="1"/>
  <c r="M4" i="49"/>
  <c r="H4" i="49"/>
  <c r="C4" i="49"/>
  <c r="AG3" i="49"/>
  <c r="AF3" i="49"/>
  <c r="X3" i="49"/>
  <c r="W3" i="49"/>
  <c r="V3" i="49"/>
  <c r="U3" i="49"/>
  <c r="T3" i="49"/>
  <c r="O3" i="49"/>
  <c r="G3" i="49"/>
  <c r="H3" i="49" s="1"/>
  <c r="F3" i="49"/>
  <c r="D3" i="49"/>
  <c r="C3" i="49"/>
  <c r="A2" i="49"/>
  <c r="A1" i="49"/>
  <c r="AD32" i="48"/>
  <c r="J32" i="48" s="1"/>
  <c r="AB32" i="48"/>
  <c r="Y32" i="48"/>
  <c r="X32" i="48"/>
  <c r="V32" i="48"/>
  <c r="U32" i="48"/>
  <c r="T32" i="48"/>
  <c r="P32" i="48"/>
  <c r="O32" i="48"/>
  <c r="Q32" i="48" s="1"/>
  <c r="M32" i="48"/>
  <c r="H32" i="48"/>
  <c r="C32" i="48"/>
  <c r="AB31" i="48"/>
  <c r="AD31" i="48" s="1"/>
  <c r="J31" i="48" s="1"/>
  <c r="Y31" i="48"/>
  <c r="X31" i="48"/>
  <c r="P31" i="48"/>
  <c r="Q31" i="48" s="1"/>
  <c r="O31" i="48"/>
  <c r="M31" i="48"/>
  <c r="H31" i="48"/>
  <c r="C31" i="48"/>
  <c r="AD30" i="48"/>
  <c r="J30" i="48" s="1"/>
  <c r="K30" i="48" s="1"/>
  <c r="AB30" i="48"/>
  <c r="Y30" i="48"/>
  <c r="X30" i="48"/>
  <c r="Q30" i="48"/>
  <c r="P30" i="48"/>
  <c r="O30" i="48"/>
  <c r="M30" i="48"/>
  <c r="I30" i="48"/>
  <c r="H30" i="48"/>
  <c r="C30" i="48"/>
  <c r="AD29" i="48"/>
  <c r="AB29" i="48"/>
  <c r="Y29" i="48"/>
  <c r="X29" i="48"/>
  <c r="P29" i="48"/>
  <c r="O29" i="48"/>
  <c r="M29" i="48"/>
  <c r="H29" i="48"/>
  <c r="C29" i="48"/>
  <c r="AD28" i="48"/>
  <c r="J28" i="48" s="1"/>
  <c r="AB28" i="48"/>
  <c r="Y28" i="48"/>
  <c r="X28" i="48"/>
  <c r="P28" i="48"/>
  <c r="O28" i="48"/>
  <c r="Q28" i="48" s="1"/>
  <c r="M28" i="48"/>
  <c r="K28" i="48"/>
  <c r="I28" i="48"/>
  <c r="H28" i="48"/>
  <c r="C28" i="48"/>
  <c r="AB27" i="48"/>
  <c r="AD27" i="48" s="1"/>
  <c r="J27" i="48" s="1"/>
  <c r="X27" i="48"/>
  <c r="P27" i="48"/>
  <c r="O27" i="48"/>
  <c r="Q27" i="48" s="1"/>
  <c r="M27" i="48"/>
  <c r="H27" i="48"/>
  <c r="C27" i="48"/>
  <c r="AG3" i="48"/>
  <c r="AF3" i="48"/>
  <c r="W3" i="48"/>
  <c r="V3" i="48"/>
  <c r="U3" i="48"/>
  <c r="T3" i="48"/>
  <c r="O3" i="48"/>
  <c r="G3" i="48"/>
  <c r="H3" i="48" s="1"/>
  <c r="F3" i="48"/>
  <c r="D3" i="48"/>
  <c r="X3" i="48" s="1"/>
  <c r="C3" i="48"/>
  <c r="A2" i="48"/>
  <c r="A1" i="48"/>
  <c r="AD32" i="47"/>
  <c r="AB32" i="47"/>
  <c r="Y32" i="47"/>
  <c r="X32" i="47"/>
  <c r="V32" i="47"/>
  <c r="U32" i="47"/>
  <c r="T32" i="47"/>
  <c r="P32" i="47"/>
  <c r="O32" i="47"/>
  <c r="Q32" i="47" s="1"/>
  <c r="M32" i="47"/>
  <c r="K32" i="47"/>
  <c r="J32" i="47"/>
  <c r="I32" i="47"/>
  <c r="H32" i="47"/>
  <c r="C32" i="47"/>
  <c r="AB31" i="47"/>
  <c r="AD31" i="47" s="1"/>
  <c r="J31" i="47" s="1"/>
  <c r="Y31" i="47"/>
  <c r="X31" i="47"/>
  <c r="P31" i="47"/>
  <c r="O31" i="47"/>
  <c r="M31" i="47"/>
  <c r="H31" i="47"/>
  <c r="C31" i="47"/>
  <c r="AD30" i="47"/>
  <c r="AB30" i="47"/>
  <c r="Y30" i="47"/>
  <c r="X30" i="47"/>
  <c r="P30" i="47"/>
  <c r="O30" i="47"/>
  <c r="Q30" i="47" s="1"/>
  <c r="M30" i="47"/>
  <c r="K30" i="47"/>
  <c r="J30" i="47"/>
  <c r="I30" i="47" s="1"/>
  <c r="H30" i="47"/>
  <c r="C30" i="47"/>
  <c r="AB29" i="47"/>
  <c r="AD29" i="47" s="1"/>
  <c r="J29" i="47" s="1"/>
  <c r="Y29" i="47"/>
  <c r="X29" i="47"/>
  <c r="Q29" i="47"/>
  <c r="P29" i="47"/>
  <c r="O29" i="47"/>
  <c r="M29" i="47"/>
  <c r="H29" i="47"/>
  <c r="C29" i="47"/>
  <c r="AD28" i="47"/>
  <c r="J28" i="47" s="1"/>
  <c r="AB28" i="47"/>
  <c r="Y28" i="47"/>
  <c r="X28" i="47"/>
  <c r="P28" i="47"/>
  <c r="O28" i="47"/>
  <c r="Q28" i="47" s="1"/>
  <c r="M28" i="47"/>
  <c r="H28" i="47"/>
  <c r="C28" i="47"/>
  <c r="AB27" i="47"/>
  <c r="AD27" i="47" s="1"/>
  <c r="J27" i="47" s="1"/>
  <c r="K27" i="47" s="1"/>
  <c r="Y27" i="47"/>
  <c r="X27" i="47"/>
  <c r="P27" i="47"/>
  <c r="Q27" i="47" s="1"/>
  <c r="O27" i="47"/>
  <c r="M27" i="47"/>
  <c r="H27" i="47"/>
  <c r="C27" i="47"/>
  <c r="AD26" i="47"/>
  <c r="J26" i="47" s="1"/>
  <c r="K26" i="47" s="1"/>
  <c r="AB26" i="47"/>
  <c r="Y26" i="47"/>
  <c r="X26" i="47"/>
  <c r="P26" i="47"/>
  <c r="Q26" i="47" s="1"/>
  <c r="O26" i="47"/>
  <c r="M26" i="47"/>
  <c r="I26" i="47"/>
  <c r="H26" i="47"/>
  <c r="C26" i="47"/>
  <c r="AD25" i="47"/>
  <c r="J25" i="47" s="1"/>
  <c r="I25" i="47" s="1"/>
  <c r="AB25" i="47"/>
  <c r="Y25" i="47"/>
  <c r="X25" i="47"/>
  <c r="P25" i="47"/>
  <c r="O25" i="47"/>
  <c r="M25" i="47"/>
  <c r="K25" i="47"/>
  <c r="H25" i="47"/>
  <c r="C25" i="47"/>
  <c r="AD24" i="47"/>
  <c r="J24" i="47" s="1"/>
  <c r="K24" i="47" s="1"/>
  <c r="AB24" i="47"/>
  <c r="Y24" i="47"/>
  <c r="X24" i="47"/>
  <c r="P24" i="47"/>
  <c r="O24" i="47"/>
  <c r="Q24" i="47" s="1"/>
  <c r="M24" i="47"/>
  <c r="H24" i="47"/>
  <c r="C24" i="47"/>
  <c r="AB23" i="47"/>
  <c r="AD23" i="47" s="1"/>
  <c r="J23" i="47" s="1"/>
  <c r="Y23" i="47"/>
  <c r="X23" i="47"/>
  <c r="P23" i="47"/>
  <c r="O23" i="47"/>
  <c r="M23" i="47"/>
  <c r="H23" i="47"/>
  <c r="C23" i="47"/>
  <c r="AB22" i="47"/>
  <c r="AD22" i="47" s="1"/>
  <c r="J22" i="47" s="1"/>
  <c r="Y22" i="47"/>
  <c r="X22" i="47"/>
  <c r="P22" i="47"/>
  <c r="O22" i="47"/>
  <c r="Q22" i="47" s="1"/>
  <c r="M22" i="47"/>
  <c r="H22" i="47"/>
  <c r="C22" i="47"/>
  <c r="AB21" i="47"/>
  <c r="AD21" i="47" s="1"/>
  <c r="Y21" i="47"/>
  <c r="X21" i="47"/>
  <c r="Q21" i="47"/>
  <c r="P21" i="47"/>
  <c r="O21" i="47"/>
  <c r="M21" i="47"/>
  <c r="J21" i="47"/>
  <c r="H21" i="47"/>
  <c r="C21" i="47"/>
  <c r="AD20" i="47"/>
  <c r="J20" i="47" s="1"/>
  <c r="AB20" i="47"/>
  <c r="Y20" i="47"/>
  <c r="X20" i="47"/>
  <c r="P20" i="47"/>
  <c r="O20" i="47"/>
  <c r="Q20" i="47" s="1"/>
  <c r="M20" i="47"/>
  <c r="H20" i="47"/>
  <c r="C20" i="47"/>
  <c r="AB19" i="47"/>
  <c r="AD19" i="47" s="1"/>
  <c r="Y19" i="47"/>
  <c r="X19" i="47"/>
  <c r="P19" i="47"/>
  <c r="Q19" i="47" s="1"/>
  <c r="O19" i="47"/>
  <c r="M19" i="47"/>
  <c r="J19" i="47"/>
  <c r="H19" i="47"/>
  <c r="C19" i="47"/>
  <c r="AD18" i="47"/>
  <c r="J18" i="47" s="1"/>
  <c r="K18" i="47" s="1"/>
  <c r="AB18" i="47"/>
  <c r="Y18" i="47"/>
  <c r="X18" i="47"/>
  <c r="Q18" i="47"/>
  <c r="P18" i="47"/>
  <c r="O18" i="47"/>
  <c r="M18" i="47"/>
  <c r="I18" i="47"/>
  <c r="H18" i="47"/>
  <c r="C18" i="47"/>
  <c r="AD17" i="47"/>
  <c r="J17" i="47" s="1"/>
  <c r="I17" i="47" s="1"/>
  <c r="AB17" i="47"/>
  <c r="Y17" i="47"/>
  <c r="X17" i="47"/>
  <c r="P17" i="47"/>
  <c r="O17" i="47"/>
  <c r="Q17" i="47" s="1"/>
  <c r="M17" i="47"/>
  <c r="K17" i="47"/>
  <c r="H17" i="47"/>
  <c r="C17" i="47"/>
  <c r="AD16" i="47"/>
  <c r="J16" i="47" s="1"/>
  <c r="AB16" i="47"/>
  <c r="Y16" i="47"/>
  <c r="X16" i="47"/>
  <c r="P16" i="47"/>
  <c r="O16" i="47"/>
  <c r="Q16" i="47" s="1"/>
  <c r="M16" i="47"/>
  <c r="K16" i="47"/>
  <c r="I16" i="47"/>
  <c r="H16" i="47"/>
  <c r="C16" i="47"/>
  <c r="AB15" i="47"/>
  <c r="AD15" i="47" s="1"/>
  <c r="J15" i="47" s="1"/>
  <c r="Y15" i="47"/>
  <c r="X15" i="47"/>
  <c r="P15" i="47"/>
  <c r="O15" i="47"/>
  <c r="Q15" i="47" s="1"/>
  <c r="M15" i="47"/>
  <c r="H15" i="47"/>
  <c r="C15" i="47"/>
  <c r="AB14" i="47"/>
  <c r="AD14" i="47" s="1"/>
  <c r="J14" i="47" s="1"/>
  <c r="Y14" i="47"/>
  <c r="X14" i="47"/>
  <c r="P14" i="47"/>
  <c r="O14" i="47"/>
  <c r="Q14" i="47" s="1"/>
  <c r="M14" i="47"/>
  <c r="H14" i="47"/>
  <c r="C14" i="47"/>
  <c r="AB13" i="47"/>
  <c r="AD13" i="47" s="1"/>
  <c r="Y13" i="47"/>
  <c r="X13" i="47"/>
  <c r="Q13" i="47"/>
  <c r="P13" i="47"/>
  <c r="O13" i="47"/>
  <c r="M13" i="47"/>
  <c r="J13" i="47"/>
  <c r="H13" i="47"/>
  <c r="C13" i="47"/>
  <c r="AD12" i="47"/>
  <c r="J12" i="47" s="1"/>
  <c r="AB12" i="47"/>
  <c r="Y12" i="47"/>
  <c r="X12" i="47"/>
  <c r="Q12" i="47"/>
  <c r="P12" i="47"/>
  <c r="O12" i="47"/>
  <c r="M12" i="47"/>
  <c r="H12" i="47"/>
  <c r="C12" i="47"/>
  <c r="AB11" i="47"/>
  <c r="AD11" i="47" s="1"/>
  <c r="Y11" i="47"/>
  <c r="X11" i="47"/>
  <c r="P11" i="47"/>
  <c r="Q11" i="47" s="1"/>
  <c r="O11" i="47"/>
  <c r="M11" i="47"/>
  <c r="J11" i="47"/>
  <c r="H11" i="47"/>
  <c r="C11" i="47"/>
  <c r="AD10" i="47"/>
  <c r="J10" i="47" s="1"/>
  <c r="K10" i="47" s="1"/>
  <c r="AB10" i="47"/>
  <c r="Y10" i="47"/>
  <c r="X10" i="47"/>
  <c r="Q10" i="47"/>
  <c r="P10" i="47"/>
  <c r="O10" i="47"/>
  <c r="M10" i="47"/>
  <c r="I10" i="47"/>
  <c r="H10" i="47"/>
  <c r="C10" i="47"/>
  <c r="AD9" i="47"/>
  <c r="J9" i="47" s="1"/>
  <c r="AB9" i="47"/>
  <c r="Y9" i="47"/>
  <c r="X9" i="47"/>
  <c r="P9" i="47"/>
  <c r="O9" i="47"/>
  <c r="Q9" i="47" s="1"/>
  <c r="M9" i="47"/>
  <c r="H9" i="47"/>
  <c r="C9" i="47"/>
  <c r="AD8" i="47"/>
  <c r="J8" i="47" s="1"/>
  <c r="AB8" i="47"/>
  <c r="Y8" i="47"/>
  <c r="X8" i="47"/>
  <c r="P8" i="47"/>
  <c r="O8" i="47"/>
  <c r="Q8" i="47" s="1"/>
  <c r="M8" i="47"/>
  <c r="K8" i="47"/>
  <c r="I8" i="47"/>
  <c r="H8" i="47"/>
  <c r="C8" i="47"/>
  <c r="AB7" i="47"/>
  <c r="AD7" i="47" s="1"/>
  <c r="J7" i="47" s="1"/>
  <c r="Y7" i="47"/>
  <c r="X7" i="47"/>
  <c r="P7" i="47"/>
  <c r="O7" i="47"/>
  <c r="Q7" i="47" s="1"/>
  <c r="M7" i="47"/>
  <c r="H7" i="47"/>
  <c r="C7" i="47"/>
  <c r="AD6" i="47"/>
  <c r="J6" i="47" s="1"/>
  <c r="AB6" i="47"/>
  <c r="Y6" i="47"/>
  <c r="X6" i="47"/>
  <c r="P6" i="47"/>
  <c r="O6" i="47"/>
  <c r="Q6" i="47" s="1"/>
  <c r="M6" i="47"/>
  <c r="H6" i="47"/>
  <c r="C6" i="47"/>
  <c r="AB5" i="47"/>
  <c r="AD5" i="47" s="1"/>
  <c r="Y5" i="47"/>
  <c r="X5" i="47"/>
  <c r="Q5" i="47"/>
  <c r="P5" i="47"/>
  <c r="O5" i="47"/>
  <c r="M5" i="47"/>
  <c r="H5" i="47"/>
  <c r="C5" i="47"/>
  <c r="AD4" i="47"/>
  <c r="J4" i="47" s="1"/>
  <c r="AB4" i="47"/>
  <c r="Y4" i="47"/>
  <c r="X4" i="47"/>
  <c r="P4" i="47"/>
  <c r="O4" i="47"/>
  <c r="Q4" i="47" s="1"/>
  <c r="M4" i="47"/>
  <c r="H4" i="47"/>
  <c r="C4" i="47"/>
  <c r="AG3" i="47"/>
  <c r="AF3" i="47"/>
  <c r="W3" i="47"/>
  <c r="V3" i="47"/>
  <c r="U3" i="47"/>
  <c r="T3" i="47"/>
  <c r="O3" i="47"/>
  <c r="G3" i="47"/>
  <c r="H3" i="47" s="1"/>
  <c r="F3" i="47"/>
  <c r="D3" i="47"/>
  <c r="C3" i="47"/>
  <c r="A2" i="47"/>
  <c r="A1" i="47"/>
  <c r="AB32" i="46"/>
  <c r="AD32" i="46" s="1"/>
  <c r="J32" i="46" s="1"/>
  <c r="Y32" i="46"/>
  <c r="X32" i="46"/>
  <c r="V32" i="46"/>
  <c r="U32" i="46"/>
  <c r="T32" i="46"/>
  <c r="P32" i="46"/>
  <c r="O32" i="46"/>
  <c r="Q32" i="46" s="1"/>
  <c r="M32" i="46"/>
  <c r="K32" i="46"/>
  <c r="I32" i="46"/>
  <c r="H32" i="46"/>
  <c r="C32" i="46"/>
  <c r="AB31" i="46"/>
  <c r="AD31" i="46" s="1"/>
  <c r="J31" i="46" s="1"/>
  <c r="Y31" i="46"/>
  <c r="X31" i="46"/>
  <c r="P31" i="46"/>
  <c r="O31" i="46"/>
  <c r="M31" i="46"/>
  <c r="H31" i="46"/>
  <c r="C31" i="46"/>
  <c r="AD30" i="46"/>
  <c r="AB30" i="46"/>
  <c r="Y30" i="46"/>
  <c r="X30" i="46"/>
  <c r="P30" i="46"/>
  <c r="O30" i="46"/>
  <c r="Q30" i="46" s="1"/>
  <c r="M30" i="46"/>
  <c r="K30" i="46"/>
  <c r="J30" i="46"/>
  <c r="I30" i="46" s="1"/>
  <c r="H30" i="46"/>
  <c r="C30" i="46"/>
  <c r="AB29" i="46"/>
  <c r="AD29" i="46" s="1"/>
  <c r="J29" i="46" s="1"/>
  <c r="Y29" i="46"/>
  <c r="X29" i="46"/>
  <c r="Q29" i="46"/>
  <c r="P29" i="46"/>
  <c r="O29" i="46"/>
  <c r="M29" i="46"/>
  <c r="H29" i="46"/>
  <c r="C29" i="46"/>
  <c r="AB28" i="46"/>
  <c r="AD28" i="46" s="1"/>
  <c r="J28" i="46" s="1"/>
  <c r="Y28" i="46"/>
  <c r="X28" i="46"/>
  <c r="P28" i="46"/>
  <c r="O28" i="46"/>
  <c r="Q28" i="46" s="1"/>
  <c r="M28" i="46"/>
  <c r="H28" i="46"/>
  <c r="C28" i="46"/>
  <c r="AB27" i="46"/>
  <c r="AD27" i="46" s="1"/>
  <c r="J27" i="46" s="1"/>
  <c r="Y27" i="46"/>
  <c r="X27" i="46"/>
  <c r="P27" i="46"/>
  <c r="O27" i="46"/>
  <c r="Q27" i="46" s="1"/>
  <c r="M27" i="46"/>
  <c r="H27" i="46"/>
  <c r="C27" i="46"/>
  <c r="AD26" i="46"/>
  <c r="J26" i="46" s="1"/>
  <c r="I26" i="46" s="1"/>
  <c r="AB26" i="46"/>
  <c r="Y26" i="46"/>
  <c r="X26" i="46"/>
  <c r="Q26" i="46"/>
  <c r="P26" i="46"/>
  <c r="O26" i="46"/>
  <c r="M26" i="46"/>
  <c r="K26" i="46"/>
  <c r="H26" i="46"/>
  <c r="C26" i="46"/>
  <c r="AD25" i="46"/>
  <c r="J25" i="46" s="1"/>
  <c r="I25" i="46" s="1"/>
  <c r="AB25" i="46"/>
  <c r="Y25" i="46"/>
  <c r="X25" i="46"/>
  <c r="P25" i="46"/>
  <c r="O25" i="46"/>
  <c r="M25" i="46"/>
  <c r="K25" i="46"/>
  <c r="H25" i="46"/>
  <c r="C25" i="46"/>
  <c r="AD24" i="46"/>
  <c r="J24" i="46" s="1"/>
  <c r="K24" i="46" s="1"/>
  <c r="AB24" i="46"/>
  <c r="Y24" i="46"/>
  <c r="X24" i="46"/>
  <c r="P24" i="46"/>
  <c r="O24" i="46"/>
  <c r="Q24" i="46" s="1"/>
  <c r="M24" i="46"/>
  <c r="I24" i="46"/>
  <c r="H24" i="46"/>
  <c r="C24" i="46"/>
  <c r="AB23" i="46"/>
  <c r="AD23" i="46" s="1"/>
  <c r="Y23" i="46"/>
  <c r="X23" i="46"/>
  <c r="P23" i="46"/>
  <c r="O23" i="46"/>
  <c r="Q23" i="46" s="1"/>
  <c r="M23" i="46"/>
  <c r="J23" i="46"/>
  <c r="H23" i="46"/>
  <c r="C23" i="46"/>
  <c r="AD22" i="46"/>
  <c r="J22" i="46" s="1"/>
  <c r="I22" i="46" s="1"/>
  <c r="AB22" i="46"/>
  <c r="Y22" i="46"/>
  <c r="X22" i="46"/>
  <c r="Q22" i="46"/>
  <c r="P22" i="46"/>
  <c r="O22" i="46"/>
  <c r="M22" i="46"/>
  <c r="K22" i="46"/>
  <c r="H22" i="46"/>
  <c r="C22" i="46"/>
  <c r="AB21" i="46"/>
  <c r="AD21" i="46" s="1"/>
  <c r="J21" i="46" s="1"/>
  <c r="Y21" i="46"/>
  <c r="X21" i="46"/>
  <c r="Q21" i="46"/>
  <c r="P21" i="46"/>
  <c r="O21" i="46"/>
  <c r="M21" i="46"/>
  <c r="H21" i="46"/>
  <c r="C21" i="46"/>
  <c r="AB20" i="46"/>
  <c r="AD20" i="46" s="1"/>
  <c r="J20" i="46" s="1"/>
  <c r="K20" i="46" s="1"/>
  <c r="Y20" i="46"/>
  <c r="X20" i="46"/>
  <c r="P20" i="46"/>
  <c r="O20" i="46"/>
  <c r="Q20" i="46" s="1"/>
  <c r="M20" i="46"/>
  <c r="H20" i="46"/>
  <c r="C20" i="46"/>
  <c r="AD19" i="46"/>
  <c r="AB19" i="46"/>
  <c r="Y19" i="46"/>
  <c r="X19" i="46"/>
  <c r="P19" i="46"/>
  <c r="O19" i="46"/>
  <c r="M19" i="46"/>
  <c r="K19" i="46"/>
  <c r="J19" i="46"/>
  <c r="I19" i="46" s="1"/>
  <c r="H19" i="46"/>
  <c r="C19" i="46"/>
  <c r="AD18" i="46"/>
  <c r="J18" i="46" s="1"/>
  <c r="AB18" i="46"/>
  <c r="Y18" i="46"/>
  <c r="X18" i="46"/>
  <c r="Q18" i="46"/>
  <c r="P18" i="46"/>
  <c r="O18" i="46"/>
  <c r="M18" i="46"/>
  <c r="H18" i="46"/>
  <c r="C18" i="46"/>
  <c r="AD17" i="46"/>
  <c r="J17" i="46" s="1"/>
  <c r="AB17" i="46"/>
  <c r="Y17" i="46"/>
  <c r="X17" i="46"/>
  <c r="P17" i="46"/>
  <c r="O17" i="46"/>
  <c r="Q17" i="46" s="1"/>
  <c r="M17" i="46"/>
  <c r="K17" i="46"/>
  <c r="I17" i="46"/>
  <c r="H17" i="46"/>
  <c r="C17" i="46"/>
  <c r="AB16" i="46"/>
  <c r="AD16" i="46" s="1"/>
  <c r="J16" i="46" s="1"/>
  <c r="Y16" i="46"/>
  <c r="X16" i="46"/>
  <c r="P16" i="46"/>
  <c r="O16" i="46"/>
  <c r="Q16" i="46" s="1"/>
  <c r="M16" i="46"/>
  <c r="H16" i="46"/>
  <c r="C16" i="46"/>
  <c r="AB15" i="46"/>
  <c r="AD15" i="46" s="1"/>
  <c r="Y15" i="46"/>
  <c r="X15" i="46"/>
  <c r="P15" i="46"/>
  <c r="O15" i="46"/>
  <c r="Q15" i="46" s="1"/>
  <c r="M15" i="46"/>
  <c r="J15" i="46"/>
  <c r="H15" i="46"/>
  <c r="C15" i="46"/>
  <c r="AB14" i="46"/>
  <c r="AD14" i="46" s="1"/>
  <c r="J14" i="46" s="1"/>
  <c r="Y14" i="46"/>
  <c r="X14" i="46"/>
  <c r="P14" i="46"/>
  <c r="Q14" i="46" s="1"/>
  <c r="O14" i="46"/>
  <c r="M14" i="46"/>
  <c r="H14" i="46"/>
  <c r="C14" i="46"/>
  <c r="AD13" i="46"/>
  <c r="J13" i="46" s="1"/>
  <c r="I13" i="46" s="1"/>
  <c r="AB13" i="46"/>
  <c r="Y13" i="46"/>
  <c r="X13" i="46"/>
  <c r="Q13" i="46"/>
  <c r="P13" i="46"/>
  <c r="O13" i="46"/>
  <c r="M13" i="46"/>
  <c r="K13" i="46"/>
  <c r="H13" i="46"/>
  <c r="C13" i="46"/>
  <c r="AD12" i="46"/>
  <c r="J12" i="46" s="1"/>
  <c r="K12" i="46" s="1"/>
  <c r="AB12" i="46"/>
  <c r="Y12" i="46"/>
  <c r="X12" i="46"/>
  <c r="P12" i="46"/>
  <c r="O12" i="46"/>
  <c r="Q12" i="46" s="1"/>
  <c r="M12" i="46"/>
  <c r="I12" i="46"/>
  <c r="H12" i="46"/>
  <c r="C12" i="46"/>
  <c r="AB11" i="46"/>
  <c r="AD11" i="46" s="1"/>
  <c r="J11" i="46" s="1"/>
  <c r="K11" i="46" s="1"/>
  <c r="Y11" i="46"/>
  <c r="X11" i="46"/>
  <c r="P11" i="46"/>
  <c r="O11" i="46"/>
  <c r="Q11" i="46" s="1"/>
  <c r="M11" i="46"/>
  <c r="H11" i="46"/>
  <c r="C11" i="46"/>
  <c r="AB10" i="46"/>
  <c r="AD10" i="46" s="1"/>
  <c r="J10" i="46" s="1"/>
  <c r="Y10" i="46"/>
  <c r="X10" i="46"/>
  <c r="P10" i="46"/>
  <c r="O10" i="46"/>
  <c r="M10" i="46"/>
  <c r="H10" i="46"/>
  <c r="C10" i="46"/>
  <c r="AD9" i="46"/>
  <c r="J9" i="46" s="1"/>
  <c r="AB9" i="46"/>
  <c r="Y9" i="46"/>
  <c r="X9" i="46"/>
  <c r="Q9" i="46"/>
  <c r="P9" i="46"/>
  <c r="O9" i="46"/>
  <c r="M9" i="46"/>
  <c r="H9" i="46"/>
  <c r="C9" i="46"/>
  <c r="AD8" i="46"/>
  <c r="J8" i="46" s="1"/>
  <c r="AB8" i="46"/>
  <c r="Y8" i="46"/>
  <c r="X8" i="46"/>
  <c r="Q8" i="46"/>
  <c r="P8" i="46"/>
  <c r="O8" i="46"/>
  <c r="M8" i="46"/>
  <c r="H8" i="46"/>
  <c r="C8" i="46"/>
  <c r="AB7" i="46"/>
  <c r="AD7" i="46" s="1"/>
  <c r="J7" i="46" s="1"/>
  <c r="Y7" i="46"/>
  <c r="X7" i="46"/>
  <c r="P7" i="46"/>
  <c r="O7" i="46"/>
  <c r="Q7" i="46" s="1"/>
  <c r="M7" i="46"/>
  <c r="H7" i="46"/>
  <c r="C7" i="46"/>
  <c r="AB6" i="46"/>
  <c r="AD6" i="46" s="1"/>
  <c r="J6" i="46" s="1"/>
  <c r="Y6" i="46"/>
  <c r="X6" i="46"/>
  <c r="P6" i="46"/>
  <c r="Q6" i="46" s="1"/>
  <c r="O6" i="46"/>
  <c r="M6" i="46"/>
  <c r="H6" i="46"/>
  <c r="C6" i="46"/>
  <c r="AD5" i="46"/>
  <c r="J5" i="46" s="1"/>
  <c r="I5" i="46" s="1"/>
  <c r="AB5" i="46"/>
  <c r="Y5" i="46"/>
  <c r="X5" i="46"/>
  <c r="P5" i="46"/>
  <c r="Q5" i="46" s="1"/>
  <c r="O5" i="46"/>
  <c r="M5" i="46"/>
  <c r="K5" i="46"/>
  <c r="H5" i="46"/>
  <c r="C5" i="46"/>
  <c r="AD4" i="46"/>
  <c r="J4" i="46" s="1"/>
  <c r="AB4" i="46"/>
  <c r="Y4" i="46"/>
  <c r="X4" i="46"/>
  <c r="P4" i="46"/>
  <c r="O4" i="46"/>
  <c r="Q4" i="46" s="1"/>
  <c r="M4" i="46"/>
  <c r="I4" i="46"/>
  <c r="H4" i="46"/>
  <c r="C4" i="46"/>
  <c r="AG3" i="46"/>
  <c r="AF3" i="46"/>
  <c r="X3" i="46"/>
  <c r="W3" i="46"/>
  <c r="V3" i="46"/>
  <c r="U3" i="46"/>
  <c r="T3" i="46"/>
  <c r="O3" i="46"/>
  <c r="G3" i="46"/>
  <c r="F3" i="46"/>
  <c r="D3" i="46"/>
  <c r="C3" i="46"/>
  <c r="A2" i="46"/>
  <c r="A1" i="46"/>
  <c r="AD32" i="45"/>
  <c r="J32" i="45" s="1"/>
  <c r="AB32" i="45"/>
  <c r="Y32" i="45"/>
  <c r="X32" i="45"/>
  <c r="V32" i="45"/>
  <c r="U32" i="45"/>
  <c r="T32" i="45"/>
  <c r="P32" i="45"/>
  <c r="O32" i="45"/>
  <c r="Q32" i="45" s="1"/>
  <c r="M32" i="45"/>
  <c r="H32" i="45"/>
  <c r="C32" i="45"/>
  <c r="AB31" i="45"/>
  <c r="AD31" i="45" s="1"/>
  <c r="J31" i="45" s="1"/>
  <c r="K31" i="45" s="1"/>
  <c r="Y31" i="45"/>
  <c r="X31" i="45"/>
  <c r="P31" i="45"/>
  <c r="O31" i="45"/>
  <c r="Q31" i="45" s="1"/>
  <c r="M31" i="45"/>
  <c r="I31" i="45"/>
  <c r="H31" i="45"/>
  <c r="C31" i="45"/>
  <c r="AB30" i="45"/>
  <c r="AD30" i="45" s="1"/>
  <c r="Y30" i="45"/>
  <c r="X30" i="45"/>
  <c r="P30" i="45"/>
  <c r="Q30" i="45" s="1"/>
  <c r="O30" i="45"/>
  <c r="M30" i="45"/>
  <c r="J30" i="45"/>
  <c r="H30" i="45"/>
  <c r="C30" i="45"/>
  <c r="AD29" i="45"/>
  <c r="J29" i="45" s="1"/>
  <c r="I29" i="45" s="1"/>
  <c r="AB29" i="45"/>
  <c r="Y29" i="45"/>
  <c r="X29" i="45"/>
  <c r="Q29" i="45"/>
  <c r="P29" i="45"/>
  <c r="O29" i="45"/>
  <c r="M29" i="45"/>
  <c r="K29" i="45"/>
  <c r="H29" i="45"/>
  <c r="C29" i="45"/>
  <c r="AD28" i="45"/>
  <c r="J28" i="45" s="1"/>
  <c r="I28" i="45" s="1"/>
  <c r="AB28" i="45"/>
  <c r="Y28" i="45"/>
  <c r="X28" i="45"/>
  <c r="Q28" i="45"/>
  <c r="P28" i="45"/>
  <c r="O28" i="45"/>
  <c r="M28" i="45"/>
  <c r="K28" i="45"/>
  <c r="H28" i="45"/>
  <c r="C28" i="45"/>
  <c r="AB27" i="45"/>
  <c r="AD27" i="45" s="1"/>
  <c r="J27" i="45" s="1"/>
  <c r="K27" i="45" s="1"/>
  <c r="Y27" i="45"/>
  <c r="X27" i="45"/>
  <c r="P27" i="45"/>
  <c r="O27" i="45"/>
  <c r="Q27" i="45" s="1"/>
  <c r="M27" i="45"/>
  <c r="H27" i="45"/>
  <c r="C27" i="45"/>
  <c r="AB26" i="45"/>
  <c r="AD26" i="45" s="1"/>
  <c r="J26" i="45" s="1"/>
  <c r="Y26" i="45"/>
  <c r="X26" i="45"/>
  <c r="P26" i="45"/>
  <c r="O26" i="45"/>
  <c r="M26" i="45"/>
  <c r="H26" i="45"/>
  <c r="C26" i="45"/>
  <c r="AB25" i="45"/>
  <c r="AD25" i="45" s="1"/>
  <c r="J25" i="45" s="1"/>
  <c r="Y25" i="45"/>
  <c r="X25" i="45"/>
  <c r="Q25" i="45"/>
  <c r="P25" i="45"/>
  <c r="O25" i="45"/>
  <c r="M25" i="45"/>
  <c r="H25" i="45"/>
  <c r="C25" i="45"/>
  <c r="AD24" i="45"/>
  <c r="J24" i="45" s="1"/>
  <c r="AB24" i="45"/>
  <c r="Y24" i="45"/>
  <c r="X24" i="45"/>
  <c r="Q24" i="45"/>
  <c r="P24" i="45"/>
  <c r="O24" i="45"/>
  <c r="M24" i="45"/>
  <c r="H24" i="45"/>
  <c r="C24" i="45"/>
  <c r="AB23" i="45"/>
  <c r="AD23" i="45" s="1"/>
  <c r="J23" i="45" s="1"/>
  <c r="Y23" i="45"/>
  <c r="X23" i="45"/>
  <c r="P23" i="45"/>
  <c r="O23" i="45"/>
  <c r="Q23" i="45" s="1"/>
  <c r="M23" i="45"/>
  <c r="H23" i="45"/>
  <c r="C23" i="45"/>
  <c r="AB22" i="45"/>
  <c r="AD22" i="45" s="1"/>
  <c r="Y22" i="45"/>
  <c r="X22" i="45"/>
  <c r="P22" i="45"/>
  <c r="Q22" i="45" s="1"/>
  <c r="O22" i="45"/>
  <c r="M22" i="45"/>
  <c r="J22" i="45"/>
  <c r="H22" i="45"/>
  <c r="C22" i="45"/>
  <c r="AD21" i="45"/>
  <c r="J21" i="45" s="1"/>
  <c r="I21" i="45" s="1"/>
  <c r="AB21" i="45"/>
  <c r="Y21" i="45"/>
  <c r="X21" i="45"/>
  <c r="Q21" i="45"/>
  <c r="P21" i="45"/>
  <c r="O21" i="45"/>
  <c r="M21" i="45"/>
  <c r="K21" i="45"/>
  <c r="H21" i="45"/>
  <c r="C21" i="45"/>
  <c r="AD20" i="45"/>
  <c r="J20" i="45" s="1"/>
  <c r="AB20" i="45"/>
  <c r="Y20" i="45"/>
  <c r="X20" i="45"/>
  <c r="Q20" i="45"/>
  <c r="P20" i="45"/>
  <c r="O20" i="45"/>
  <c r="M20" i="45"/>
  <c r="K20" i="45"/>
  <c r="I20" i="45"/>
  <c r="H20" i="45"/>
  <c r="C20" i="45"/>
  <c r="AB19" i="45"/>
  <c r="AD19" i="45" s="1"/>
  <c r="J19" i="45" s="1"/>
  <c r="K19" i="45" s="1"/>
  <c r="Y19" i="45"/>
  <c r="X19" i="45"/>
  <c r="P19" i="45"/>
  <c r="O19" i="45"/>
  <c r="Q19" i="45" s="1"/>
  <c r="M19" i="45"/>
  <c r="I19" i="45"/>
  <c r="H19" i="45"/>
  <c r="C19" i="45"/>
  <c r="AB18" i="45"/>
  <c r="AD18" i="45" s="1"/>
  <c r="J18" i="45" s="1"/>
  <c r="Y18" i="45"/>
  <c r="X18" i="45"/>
  <c r="P18" i="45"/>
  <c r="O18" i="45"/>
  <c r="Q18" i="45" s="1"/>
  <c r="M18" i="45"/>
  <c r="H18" i="45"/>
  <c r="C18" i="45"/>
  <c r="AB17" i="45"/>
  <c r="AD17" i="45" s="1"/>
  <c r="Y17" i="45"/>
  <c r="X17" i="45"/>
  <c r="Q17" i="45"/>
  <c r="P17" i="45"/>
  <c r="O17" i="45"/>
  <c r="M17" i="45"/>
  <c r="J17" i="45"/>
  <c r="H17" i="45"/>
  <c r="C17" i="45"/>
  <c r="AD16" i="45"/>
  <c r="J16" i="45" s="1"/>
  <c r="AB16" i="45"/>
  <c r="Y16" i="45"/>
  <c r="X16" i="45"/>
  <c r="P16" i="45"/>
  <c r="O16" i="45"/>
  <c r="Q16" i="45" s="1"/>
  <c r="M16" i="45"/>
  <c r="H16" i="45"/>
  <c r="C16" i="45"/>
  <c r="AB15" i="45"/>
  <c r="AD15" i="45" s="1"/>
  <c r="J15" i="45" s="1"/>
  <c r="Y15" i="45"/>
  <c r="X15" i="45"/>
  <c r="P15" i="45"/>
  <c r="O15" i="45"/>
  <c r="Q15" i="45" s="1"/>
  <c r="M15" i="45"/>
  <c r="H15" i="45"/>
  <c r="C15" i="45"/>
  <c r="AB14" i="45"/>
  <c r="AD14" i="45" s="1"/>
  <c r="J14" i="45" s="1"/>
  <c r="Y14" i="45"/>
  <c r="X14" i="45"/>
  <c r="Q14" i="45"/>
  <c r="P14" i="45"/>
  <c r="O14" i="45"/>
  <c r="M14" i="45"/>
  <c r="H14" i="45"/>
  <c r="C14" i="45"/>
  <c r="AD13" i="45"/>
  <c r="J13" i="45" s="1"/>
  <c r="I13" i="45" s="1"/>
  <c r="AB13" i="45"/>
  <c r="Y13" i="45"/>
  <c r="X13" i="45"/>
  <c r="P13" i="45"/>
  <c r="Q13" i="45" s="1"/>
  <c r="O13" i="45"/>
  <c r="M13" i="45"/>
  <c r="H13" i="45"/>
  <c r="C13" i="45"/>
  <c r="AD12" i="45"/>
  <c r="J12" i="45" s="1"/>
  <c r="AB12" i="45"/>
  <c r="Y12" i="45"/>
  <c r="X12" i="45"/>
  <c r="Q12" i="45"/>
  <c r="P12" i="45"/>
  <c r="O12" i="45"/>
  <c r="M12" i="45"/>
  <c r="K12" i="45"/>
  <c r="I12" i="45"/>
  <c r="H12" i="45"/>
  <c r="C12" i="45"/>
  <c r="AB11" i="45"/>
  <c r="AD11" i="45" s="1"/>
  <c r="J11" i="45" s="1"/>
  <c r="Y11" i="45"/>
  <c r="X11" i="45"/>
  <c r="P11" i="45"/>
  <c r="O11" i="45"/>
  <c r="Q11" i="45" s="1"/>
  <c r="M11" i="45"/>
  <c r="H11" i="45"/>
  <c r="C11" i="45"/>
  <c r="AD10" i="45"/>
  <c r="AB10" i="45"/>
  <c r="Y10" i="45"/>
  <c r="X10" i="45"/>
  <c r="P10" i="45"/>
  <c r="O10" i="45"/>
  <c r="Q10" i="45" s="1"/>
  <c r="M10" i="45"/>
  <c r="K10" i="45"/>
  <c r="J10" i="45"/>
  <c r="I10" i="45" s="1"/>
  <c r="H10" i="45"/>
  <c r="C10" i="45"/>
  <c r="AB9" i="45"/>
  <c r="AD9" i="45" s="1"/>
  <c r="Y9" i="45"/>
  <c r="X9" i="45"/>
  <c r="Q9" i="45"/>
  <c r="P9" i="45"/>
  <c r="O9" i="45"/>
  <c r="M9" i="45"/>
  <c r="H9" i="45"/>
  <c r="C9" i="45"/>
  <c r="AD8" i="45"/>
  <c r="J8" i="45" s="1"/>
  <c r="AB8" i="45"/>
  <c r="Y8" i="45"/>
  <c r="X8" i="45"/>
  <c r="P8" i="45"/>
  <c r="O8" i="45"/>
  <c r="Q8" i="45" s="1"/>
  <c r="M8" i="45"/>
  <c r="H8" i="45"/>
  <c r="C8" i="45"/>
  <c r="AB7" i="45"/>
  <c r="AD7" i="45" s="1"/>
  <c r="Y7" i="45"/>
  <c r="X7" i="45"/>
  <c r="P7" i="45"/>
  <c r="O7" i="45"/>
  <c r="Q7" i="45" s="1"/>
  <c r="M7" i="45"/>
  <c r="J7" i="45"/>
  <c r="H7" i="45"/>
  <c r="C7" i="45"/>
  <c r="AB6" i="45"/>
  <c r="AD6" i="45" s="1"/>
  <c r="J6" i="45" s="1"/>
  <c r="Y6" i="45"/>
  <c r="X6" i="45"/>
  <c r="P6" i="45"/>
  <c r="Q6" i="45" s="1"/>
  <c r="O6" i="45"/>
  <c r="M6" i="45"/>
  <c r="H6" i="45"/>
  <c r="C6" i="45"/>
  <c r="AD5" i="45"/>
  <c r="J5" i="45" s="1"/>
  <c r="I5" i="45" s="1"/>
  <c r="AB5" i="45"/>
  <c r="Y5" i="45"/>
  <c r="X5" i="45"/>
  <c r="P5" i="45"/>
  <c r="Q5" i="45" s="1"/>
  <c r="O5" i="45"/>
  <c r="M5" i="45"/>
  <c r="K5" i="45"/>
  <c r="H5" i="45"/>
  <c r="C5" i="45"/>
  <c r="AD4" i="45"/>
  <c r="J4" i="45" s="1"/>
  <c r="I4" i="45" s="1"/>
  <c r="AB4" i="45"/>
  <c r="Y4" i="45"/>
  <c r="X4" i="45"/>
  <c r="Q4" i="45"/>
  <c r="P4" i="45"/>
  <c r="O4" i="45"/>
  <c r="M4" i="45"/>
  <c r="K4" i="45"/>
  <c r="H4" i="45"/>
  <c r="C4" i="45"/>
  <c r="AG3" i="45"/>
  <c r="AF3" i="45"/>
  <c r="X3" i="45"/>
  <c r="W3" i="45"/>
  <c r="V3" i="45"/>
  <c r="U3" i="45"/>
  <c r="T3" i="45"/>
  <c r="O3" i="45"/>
  <c r="G3" i="45"/>
  <c r="H3" i="45" s="1"/>
  <c r="F3" i="45"/>
  <c r="D3" i="45"/>
  <c r="C3" i="45"/>
  <c r="A2" i="45"/>
  <c r="A1" i="45"/>
  <c r="AD32" i="44"/>
  <c r="J32" i="44" s="1"/>
  <c r="AB32" i="44"/>
  <c r="Y32" i="44"/>
  <c r="X32" i="44"/>
  <c r="V32" i="44"/>
  <c r="U32" i="44"/>
  <c r="T32" i="44"/>
  <c r="P32" i="44"/>
  <c r="O32" i="44"/>
  <c r="Q32" i="44" s="1"/>
  <c r="M32" i="44"/>
  <c r="H32" i="44"/>
  <c r="C32" i="44"/>
  <c r="AG3" i="44"/>
  <c r="AF3" i="44"/>
  <c r="AD3" i="44"/>
  <c r="W3" i="44"/>
  <c r="V3" i="44"/>
  <c r="U3" i="44"/>
  <c r="T3" i="44"/>
  <c r="O3" i="44"/>
  <c r="G3" i="44"/>
  <c r="F3" i="44"/>
  <c r="H3" i="44" s="1"/>
  <c r="D3" i="44"/>
  <c r="C3" i="44"/>
  <c r="A2" i="44"/>
  <c r="A1" i="44"/>
  <c r="AB32" i="43"/>
  <c r="AD32" i="43" s="1"/>
  <c r="J32" i="43" s="1"/>
  <c r="J3" i="43" s="1"/>
  <c r="Y32" i="43"/>
  <c r="X32" i="43"/>
  <c r="V32" i="43"/>
  <c r="U32" i="43"/>
  <c r="T32" i="43"/>
  <c r="P32" i="43"/>
  <c r="O32" i="43"/>
  <c r="Q32" i="43" s="1"/>
  <c r="M32" i="43"/>
  <c r="K32" i="43"/>
  <c r="I32" i="43"/>
  <c r="H32" i="43"/>
  <c r="C32" i="43"/>
  <c r="AG3" i="43"/>
  <c r="AF3" i="43"/>
  <c r="AD3" i="43"/>
  <c r="X3" i="43"/>
  <c r="W3" i="43"/>
  <c r="V3" i="43"/>
  <c r="U3" i="43"/>
  <c r="T3" i="43"/>
  <c r="O3" i="43"/>
  <c r="G3" i="43"/>
  <c r="F3" i="43"/>
  <c r="D3" i="43"/>
  <c r="C3" i="43"/>
  <c r="A2" i="43"/>
  <c r="A1" i="43"/>
  <c r="AD32" i="42"/>
  <c r="J32" i="42" s="1"/>
  <c r="AB32" i="42"/>
  <c r="Y32" i="42"/>
  <c r="X32" i="42"/>
  <c r="V32" i="42"/>
  <c r="U32" i="42"/>
  <c r="T32" i="42"/>
  <c r="P32" i="42"/>
  <c r="O32" i="42"/>
  <c r="Q32" i="42" s="1"/>
  <c r="M32" i="42"/>
  <c r="H32" i="42"/>
  <c r="C32" i="42"/>
  <c r="AB31" i="42"/>
  <c r="AD31" i="42" s="1"/>
  <c r="Y31" i="42"/>
  <c r="X31" i="42"/>
  <c r="P31" i="42"/>
  <c r="O31" i="42"/>
  <c r="Q31" i="42" s="1"/>
  <c r="M31" i="42"/>
  <c r="J31" i="42"/>
  <c r="K31" i="42" s="1"/>
  <c r="H31" i="42"/>
  <c r="C31" i="42"/>
  <c r="AB30" i="42"/>
  <c r="AD30" i="42" s="1"/>
  <c r="J30" i="42" s="1"/>
  <c r="Y30" i="42"/>
  <c r="X30" i="42"/>
  <c r="P30" i="42"/>
  <c r="Q30" i="42" s="1"/>
  <c r="O30" i="42"/>
  <c r="M30" i="42"/>
  <c r="H30" i="42"/>
  <c r="C30" i="42"/>
  <c r="AD29" i="42"/>
  <c r="J29" i="42" s="1"/>
  <c r="I29" i="42" s="1"/>
  <c r="AB29" i="42"/>
  <c r="Y29" i="42"/>
  <c r="X29" i="42"/>
  <c r="P29" i="42"/>
  <c r="Q29" i="42" s="1"/>
  <c r="O29" i="42"/>
  <c r="M29" i="42"/>
  <c r="K29" i="42"/>
  <c r="H29" i="42"/>
  <c r="C29" i="42"/>
  <c r="AD28" i="42"/>
  <c r="J28" i="42" s="1"/>
  <c r="AB28" i="42"/>
  <c r="Y28" i="42"/>
  <c r="X28" i="42"/>
  <c r="P28" i="42"/>
  <c r="Q28" i="42" s="1"/>
  <c r="O28" i="42"/>
  <c r="M28" i="42"/>
  <c r="K28" i="42"/>
  <c r="I28" i="42"/>
  <c r="H28" i="42"/>
  <c r="C28" i="42"/>
  <c r="AD27" i="42"/>
  <c r="J27" i="42" s="1"/>
  <c r="K27" i="42" s="1"/>
  <c r="AB27" i="42"/>
  <c r="Y27" i="42"/>
  <c r="X27" i="42"/>
  <c r="P27" i="42"/>
  <c r="O27" i="42"/>
  <c r="M27" i="42"/>
  <c r="H27" i="42"/>
  <c r="C27" i="42"/>
  <c r="AD26" i="42"/>
  <c r="AB26" i="42"/>
  <c r="Y26" i="42"/>
  <c r="X26" i="42"/>
  <c r="P26" i="42"/>
  <c r="O26" i="42"/>
  <c r="Q26" i="42" s="1"/>
  <c r="M26" i="42"/>
  <c r="J26" i="42"/>
  <c r="I26" i="42" s="1"/>
  <c r="H26" i="42"/>
  <c r="C26" i="42"/>
  <c r="AD25" i="42"/>
  <c r="J25" i="42" s="1"/>
  <c r="AB25" i="42"/>
  <c r="Y25" i="42"/>
  <c r="X25" i="42"/>
  <c r="Q25" i="42"/>
  <c r="P25" i="42"/>
  <c r="O25" i="42"/>
  <c r="M25" i="42"/>
  <c r="H25" i="42"/>
  <c r="C25" i="42"/>
  <c r="AB24" i="42"/>
  <c r="AD24" i="42" s="1"/>
  <c r="J24" i="42" s="1"/>
  <c r="Y24" i="42"/>
  <c r="X24" i="42"/>
  <c r="Q24" i="42"/>
  <c r="P24" i="42"/>
  <c r="O24" i="42"/>
  <c r="M24" i="42"/>
  <c r="H24" i="42"/>
  <c r="C24" i="42"/>
  <c r="AB23" i="42"/>
  <c r="AD23" i="42" s="1"/>
  <c r="J23" i="42" s="1"/>
  <c r="K23" i="42" s="1"/>
  <c r="Y23" i="42"/>
  <c r="X23" i="42"/>
  <c r="P23" i="42"/>
  <c r="O23" i="42"/>
  <c r="Q23" i="42" s="1"/>
  <c r="M23" i="42"/>
  <c r="H23" i="42"/>
  <c r="C23" i="42"/>
  <c r="AB22" i="42"/>
  <c r="AD22" i="42" s="1"/>
  <c r="Y22" i="42"/>
  <c r="X22" i="42"/>
  <c r="P22" i="42"/>
  <c r="Q22" i="42" s="1"/>
  <c r="O22" i="42"/>
  <c r="M22" i="42"/>
  <c r="J22" i="42"/>
  <c r="K22" i="42" s="1"/>
  <c r="I22" i="42"/>
  <c r="H22" i="42"/>
  <c r="C22" i="42"/>
  <c r="AD21" i="42"/>
  <c r="J21" i="42" s="1"/>
  <c r="I21" i="42" s="1"/>
  <c r="AB21" i="42"/>
  <c r="Y21" i="42"/>
  <c r="X21" i="42"/>
  <c r="P21" i="42"/>
  <c r="Q21" i="42" s="1"/>
  <c r="O21" i="42"/>
  <c r="M21" i="42"/>
  <c r="K21" i="42"/>
  <c r="H21" i="42"/>
  <c r="C21" i="42"/>
  <c r="AD20" i="42"/>
  <c r="J20" i="42" s="1"/>
  <c r="K20" i="42" s="1"/>
  <c r="AB20" i="42"/>
  <c r="Y20" i="42"/>
  <c r="X20" i="42"/>
  <c r="P20" i="42"/>
  <c r="Q20" i="42" s="1"/>
  <c r="O20" i="42"/>
  <c r="M20" i="42"/>
  <c r="I20" i="42"/>
  <c r="H20" i="42"/>
  <c r="C20" i="42"/>
  <c r="AD19" i="42"/>
  <c r="J19" i="42" s="1"/>
  <c r="K19" i="42" s="1"/>
  <c r="AB19" i="42"/>
  <c r="Y19" i="42"/>
  <c r="X19" i="42"/>
  <c r="P19" i="42"/>
  <c r="O19" i="42"/>
  <c r="Q19" i="42" s="1"/>
  <c r="M19" i="42"/>
  <c r="I19" i="42"/>
  <c r="H19" i="42"/>
  <c r="C19" i="42"/>
  <c r="AB18" i="42"/>
  <c r="AD18" i="42" s="1"/>
  <c r="J18" i="42" s="1"/>
  <c r="Y18" i="42"/>
  <c r="X18" i="42"/>
  <c r="P18" i="42"/>
  <c r="O18" i="42"/>
  <c r="M18" i="42"/>
  <c r="H18" i="42"/>
  <c r="C18" i="42"/>
  <c r="AD17" i="42"/>
  <c r="J17" i="42" s="1"/>
  <c r="AB17" i="42"/>
  <c r="Y17" i="42"/>
  <c r="X17" i="42"/>
  <c r="Q17" i="42"/>
  <c r="P17" i="42"/>
  <c r="O17" i="42"/>
  <c r="M17" i="42"/>
  <c r="H17" i="42"/>
  <c r="C17" i="42"/>
  <c r="AB16" i="42"/>
  <c r="AD16" i="42" s="1"/>
  <c r="J16" i="42" s="1"/>
  <c r="Y16" i="42"/>
  <c r="X16" i="42"/>
  <c r="Q16" i="42"/>
  <c r="P16" i="42"/>
  <c r="O16" i="42"/>
  <c r="M16" i="42"/>
  <c r="H16" i="42"/>
  <c r="C16" i="42"/>
  <c r="AB15" i="42"/>
  <c r="AD15" i="42" s="1"/>
  <c r="Y15" i="42"/>
  <c r="X15" i="42"/>
  <c r="P15" i="42"/>
  <c r="O15" i="42"/>
  <c r="Q15" i="42" s="1"/>
  <c r="M15" i="42"/>
  <c r="J15" i="42"/>
  <c r="K15" i="42" s="1"/>
  <c r="H15" i="42"/>
  <c r="C15" i="42"/>
  <c r="AB14" i="42"/>
  <c r="AD14" i="42" s="1"/>
  <c r="J14" i="42" s="1"/>
  <c r="K14" i="42" s="1"/>
  <c r="Y14" i="42"/>
  <c r="X14" i="42"/>
  <c r="Q14" i="42"/>
  <c r="P14" i="42"/>
  <c r="O14" i="42"/>
  <c r="M14" i="42"/>
  <c r="I14" i="42"/>
  <c r="H14" i="42"/>
  <c r="C14" i="42"/>
  <c r="AD13" i="42"/>
  <c r="J13" i="42" s="1"/>
  <c r="I13" i="42" s="1"/>
  <c r="AB13" i="42"/>
  <c r="Y13" i="42"/>
  <c r="X13" i="42"/>
  <c r="P13" i="42"/>
  <c r="Q13" i="42" s="1"/>
  <c r="O13" i="42"/>
  <c r="M13" i="42"/>
  <c r="K13" i="42"/>
  <c r="H13" i="42"/>
  <c r="C13" i="42"/>
  <c r="AD12" i="42"/>
  <c r="J12" i="42" s="1"/>
  <c r="K12" i="42" s="1"/>
  <c r="AB12" i="42"/>
  <c r="Y12" i="42"/>
  <c r="X12" i="42"/>
  <c r="P12" i="42"/>
  <c r="Q12" i="42" s="1"/>
  <c r="O12" i="42"/>
  <c r="M12" i="42"/>
  <c r="I12" i="42"/>
  <c r="H12" i="42"/>
  <c r="C12" i="42"/>
  <c r="AD11" i="42"/>
  <c r="J11" i="42" s="1"/>
  <c r="AB11" i="42"/>
  <c r="Y11" i="42"/>
  <c r="X11" i="42"/>
  <c r="P11" i="42"/>
  <c r="O11" i="42"/>
  <c r="Q11" i="42" s="1"/>
  <c r="M11" i="42"/>
  <c r="H11" i="42"/>
  <c r="C11" i="42"/>
  <c r="AD10" i="42"/>
  <c r="AB10" i="42"/>
  <c r="Y10" i="42"/>
  <c r="X10" i="42"/>
  <c r="P10" i="42"/>
  <c r="O10" i="42"/>
  <c r="Q10" i="42" s="1"/>
  <c r="M10" i="42"/>
  <c r="K10" i="42"/>
  <c r="J10" i="42"/>
  <c r="I10" i="42" s="1"/>
  <c r="H10" i="42"/>
  <c r="C10" i="42"/>
  <c r="AB9" i="42"/>
  <c r="AD9" i="42" s="1"/>
  <c r="J9" i="42" s="1"/>
  <c r="Y9" i="42"/>
  <c r="X9" i="42"/>
  <c r="Q9" i="42"/>
  <c r="P9" i="42"/>
  <c r="O9" i="42"/>
  <c r="M9" i="42"/>
  <c r="H9" i="42"/>
  <c r="C9" i="42"/>
  <c r="AB8" i="42"/>
  <c r="AD8" i="42" s="1"/>
  <c r="J8" i="42" s="1"/>
  <c r="Y8" i="42"/>
  <c r="X8" i="42"/>
  <c r="P8" i="42"/>
  <c r="O8" i="42"/>
  <c r="Q8" i="42" s="1"/>
  <c r="M8" i="42"/>
  <c r="H8" i="42"/>
  <c r="C8" i="42"/>
  <c r="AB7" i="42"/>
  <c r="AD7" i="42" s="1"/>
  <c r="Y7" i="42"/>
  <c r="X7" i="42"/>
  <c r="P7" i="42"/>
  <c r="O7" i="42"/>
  <c r="Q7" i="42" s="1"/>
  <c r="M7" i="42"/>
  <c r="J7" i="42"/>
  <c r="K7" i="42" s="1"/>
  <c r="H7" i="42"/>
  <c r="C7" i="42"/>
  <c r="AB6" i="42"/>
  <c r="AD6" i="42" s="1"/>
  <c r="Y6" i="42"/>
  <c r="X6" i="42"/>
  <c r="Q6" i="42"/>
  <c r="P6" i="42"/>
  <c r="O6" i="42"/>
  <c r="M6" i="42"/>
  <c r="J6" i="42"/>
  <c r="K6" i="42" s="1"/>
  <c r="H6" i="42"/>
  <c r="C6" i="42"/>
  <c r="AD5" i="42"/>
  <c r="J5" i="42" s="1"/>
  <c r="I5" i="42" s="1"/>
  <c r="AB5" i="42"/>
  <c r="Y5" i="42"/>
  <c r="X5" i="42"/>
  <c r="Q5" i="42"/>
  <c r="P5" i="42"/>
  <c r="O5" i="42"/>
  <c r="M5" i="42"/>
  <c r="K5" i="42"/>
  <c r="H5" i="42"/>
  <c r="C5" i="42"/>
  <c r="AD4" i="42"/>
  <c r="J4" i="42" s="1"/>
  <c r="AB4" i="42"/>
  <c r="Y4" i="42"/>
  <c r="X4" i="42"/>
  <c r="P4" i="42"/>
  <c r="Q4" i="42" s="1"/>
  <c r="O4" i="42"/>
  <c r="M4" i="42"/>
  <c r="K4" i="42"/>
  <c r="I4" i="42"/>
  <c r="H4" i="42"/>
  <c r="C4" i="42"/>
  <c r="AG3" i="42"/>
  <c r="AF3" i="42"/>
  <c r="X3" i="42"/>
  <c r="W3" i="42"/>
  <c r="V3" i="42"/>
  <c r="U3" i="42"/>
  <c r="T3" i="42"/>
  <c r="O3" i="42"/>
  <c r="G3" i="42"/>
  <c r="F3" i="42"/>
  <c r="D3" i="42"/>
  <c r="C3" i="42"/>
  <c r="A2" i="42"/>
  <c r="A1" i="42"/>
  <c r="AD32" i="41"/>
  <c r="J32" i="41" s="1"/>
  <c r="AB32" i="41"/>
  <c r="Y32" i="41"/>
  <c r="X32" i="41"/>
  <c r="V32" i="41"/>
  <c r="U32" i="41"/>
  <c r="T32" i="41"/>
  <c r="P32" i="41"/>
  <c r="O32" i="41"/>
  <c r="Q32" i="41" s="1"/>
  <c r="M32" i="41"/>
  <c r="H32" i="41"/>
  <c r="C32" i="41"/>
  <c r="AB31" i="41"/>
  <c r="AD31" i="41" s="1"/>
  <c r="Y31" i="41"/>
  <c r="X31" i="41"/>
  <c r="P31" i="41"/>
  <c r="O31" i="41"/>
  <c r="Q31" i="41" s="1"/>
  <c r="M31" i="41"/>
  <c r="J31" i="41"/>
  <c r="H31" i="41"/>
  <c r="C31" i="41"/>
  <c r="AB30" i="41"/>
  <c r="AD30" i="41" s="1"/>
  <c r="J30" i="41" s="1"/>
  <c r="Y30" i="41"/>
  <c r="X30" i="41"/>
  <c r="Q30" i="41"/>
  <c r="P30" i="41"/>
  <c r="O30" i="41"/>
  <c r="M30" i="41"/>
  <c r="H30" i="41"/>
  <c r="C30" i="41"/>
  <c r="AD29" i="41"/>
  <c r="J29" i="41" s="1"/>
  <c r="AB29" i="41"/>
  <c r="Y29" i="41"/>
  <c r="X29" i="41"/>
  <c r="P29" i="41"/>
  <c r="Q29" i="41" s="1"/>
  <c r="O29" i="41"/>
  <c r="M29" i="41"/>
  <c r="H29" i="41"/>
  <c r="C29" i="41"/>
  <c r="AD28" i="41"/>
  <c r="J28" i="41" s="1"/>
  <c r="AB28" i="41"/>
  <c r="Y28" i="41"/>
  <c r="X28" i="41"/>
  <c r="P28" i="41"/>
  <c r="Q28" i="41" s="1"/>
  <c r="O28" i="41"/>
  <c r="M28" i="41"/>
  <c r="K28" i="41"/>
  <c r="I28" i="41"/>
  <c r="H28" i="41"/>
  <c r="C28" i="41"/>
  <c r="AD27" i="41"/>
  <c r="J27" i="41" s="1"/>
  <c r="AB27" i="41"/>
  <c r="Y27" i="41"/>
  <c r="X27" i="41"/>
  <c r="P27" i="41"/>
  <c r="O27" i="41"/>
  <c r="M27" i="41"/>
  <c r="H27" i="41"/>
  <c r="C27" i="41"/>
  <c r="AB26" i="41"/>
  <c r="AD26" i="41" s="1"/>
  <c r="J26" i="41" s="1"/>
  <c r="Y26" i="41"/>
  <c r="X26" i="41"/>
  <c r="P26" i="41"/>
  <c r="O26" i="41"/>
  <c r="Q26" i="41" s="1"/>
  <c r="M26" i="41"/>
  <c r="H26" i="41"/>
  <c r="C26" i="41"/>
  <c r="AB25" i="41"/>
  <c r="AD25" i="41" s="1"/>
  <c r="J25" i="41" s="1"/>
  <c r="Y25" i="41"/>
  <c r="X25" i="41"/>
  <c r="Q25" i="41"/>
  <c r="P25" i="41"/>
  <c r="O25" i="41"/>
  <c r="M25" i="41"/>
  <c r="H25" i="41"/>
  <c r="C25" i="41"/>
  <c r="AB24" i="41"/>
  <c r="AD24" i="41" s="1"/>
  <c r="J24" i="41" s="1"/>
  <c r="Y24" i="41"/>
  <c r="X24" i="41"/>
  <c r="Q24" i="41"/>
  <c r="P24" i="41"/>
  <c r="O24" i="41"/>
  <c r="M24" i="41"/>
  <c r="H24" i="41"/>
  <c r="C24" i="41"/>
  <c r="AB23" i="41"/>
  <c r="AD23" i="41" s="1"/>
  <c r="Y23" i="41"/>
  <c r="X23" i="41"/>
  <c r="P23" i="41"/>
  <c r="O23" i="41"/>
  <c r="Q23" i="41" s="1"/>
  <c r="M23" i="41"/>
  <c r="J23" i="41"/>
  <c r="K23" i="41" s="1"/>
  <c r="H23" i="41"/>
  <c r="C23" i="41"/>
  <c r="AB22" i="41"/>
  <c r="AD22" i="41" s="1"/>
  <c r="Y22" i="41"/>
  <c r="X22" i="41"/>
  <c r="P22" i="41"/>
  <c r="Q22" i="41" s="1"/>
  <c r="O22" i="41"/>
  <c r="M22" i="41"/>
  <c r="J22" i="41"/>
  <c r="H22" i="41"/>
  <c r="C22" i="41"/>
  <c r="AD21" i="41"/>
  <c r="J21" i="41" s="1"/>
  <c r="I21" i="41" s="1"/>
  <c r="AB21" i="41"/>
  <c r="Y21" i="41"/>
  <c r="X21" i="41"/>
  <c r="Q21" i="41"/>
  <c r="P21" i="41"/>
  <c r="O21" i="41"/>
  <c r="M21" i="41"/>
  <c r="K21" i="41"/>
  <c r="H21" i="41"/>
  <c r="C21" i="41"/>
  <c r="AD20" i="41"/>
  <c r="J20" i="41" s="1"/>
  <c r="AB20" i="41"/>
  <c r="Y20" i="41"/>
  <c r="X20" i="41"/>
  <c r="P20" i="41"/>
  <c r="Q20" i="41" s="1"/>
  <c r="O20" i="41"/>
  <c r="M20" i="41"/>
  <c r="K20" i="41"/>
  <c r="I20" i="41"/>
  <c r="H20" i="41"/>
  <c r="C20" i="41"/>
  <c r="AD19" i="41"/>
  <c r="J19" i="41" s="1"/>
  <c r="K19" i="41" s="1"/>
  <c r="AB19" i="41"/>
  <c r="Y19" i="41"/>
  <c r="X19" i="41"/>
  <c r="P19" i="41"/>
  <c r="O19" i="41"/>
  <c r="M19" i="41"/>
  <c r="I19" i="41"/>
  <c r="H19" i="41"/>
  <c r="C19" i="41"/>
  <c r="AB18" i="41"/>
  <c r="AD18" i="41" s="1"/>
  <c r="J18" i="41" s="1"/>
  <c r="Y18" i="41"/>
  <c r="X18" i="41"/>
  <c r="P18" i="41"/>
  <c r="O18" i="41"/>
  <c r="M18" i="41"/>
  <c r="H18" i="41"/>
  <c r="C18" i="41"/>
  <c r="AD17" i="41"/>
  <c r="J17" i="41" s="1"/>
  <c r="AB17" i="41"/>
  <c r="Y17" i="41"/>
  <c r="X17" i="41"/>
  <c r="Q17" i="41"/>
  <c r="P17" i="41"/>
  <c r="O17" i="41"/>
  <c r="M17" i="41"/>
  <c r="H17" i="41"/>
  <c r="C17" i="41"/>
  <c r="AB16" i="41"/>
  <c r="AD16" i="41" s="1"/>
  <c r="J16" i="41" s="1"/>
  <c r="Y16" i="41"/>
  <c r="X16" i="41"/>
  <c r="Q16" i="41"/>
  <c r="P16" i="41"/>
  <c r="O16" i="41"/>
  <c r="M16" i="41"/>
  <c r="H16" i="41"/>
  <c r="C16" i="41"/>
  <c r="AB15" i="41"/>
  <c r="AD15" i="41" s="1"/>
  <c r="J15" i="41" s="1"/>
  <c r="Y15" i="41"/>
  <c r="X15" i="41"/>
  <c r="P15" i="41"/>
  <c r="O15" i="41"/>
  <c r="Q15" i="41" s="1"/>
  <c r="M15" i="41"/>
  <c r="H15" i="41"/>
  <c r="C15" i="41"/>
  <c r="AB14" i="41"/>
  <c r="AD14" i="41" s="1"/>
  <c r="Y14" i="41"/>
  <c r="X14" i="41"/>
  <c r="Q14" i="41"/>
  <c r="P14" i="41"/>
  <c r="O14" i="41"/>
  <c r="M14" i="41"/>
  <c r="J14" i="41"/>
  <c r="H14" i="41"/>
  <c r="C14" i="41"/>
  <c r="AD13" i="41"/>
  <c r="J13" i="41" s="1"/>
  <c r="I13" i="41" s="1"/>
  <c r="AB13" i="41"/>
  <c r="Y13" i="41"/>
  <c r="X13" i="41"/>
  <c r="Q13" i="41"/>
  <c r="P13" i="41"/>
  <c r="O13" i="41"/>
  <c r="M13" i="41"/>
  <c r="K13" i="41"/>
  <c r="H13" i="41"/>
  <c r="C13" i="41"/>
  <c r="AD12" i="41"/>
  <c r="J12" i="41" s="1"/>
  <c r="K12" i="41" s="1"/>
  <c r="AB12" i="41"/>
  <c r="Y12" i="41"/>
  <c r="X12" i="41"/>
  <c r="P12" i="41"/>
  <c r="Q12" i="41" s="1"/>
  <c r="O12" i="41"/>
  <c r="M12" i="41"/>
  <c r="I12" i="41"/>
  <c r="H12" i="41"/>
  <c r="C12" i="41"/>
  <c r="AD11" i="41"/>
  <c r="J11" i="41" s="1"/>
  <c r="K11" i="41" s="1"/>
  <c r="AB11" i="41"/>
  <c r="Y11" i="41"/>
  <c r="X11" i="41"/>
  <c r="P11" i="41"/>
  <c r="O11" i="41"/>
  <c r="Q11" i="41" s="1"/>
  <c r="M11" i="41"/>
  <c r="I11" i="41"/>
  <c r="H11" i="41"/>
  <c r="C11" i="41"/>
  <c r="AB10" i="41"/>
  <c r="AD10" i="41" s="1"/>
  <c r="J10" i="41" s="1"/>
  <c r="Y10" i="41"/>
  <c r="X10" i="41"/>
  <c r="P10" i="41"/>
  <c r="O10" i="41"/>
  <c r="Q10" i="41" s="1"/>
  <c r="M10" i="41"/>
  <c r="H10" i="41"/>
  <c r="C10" i="41"/>
  <c r="AD9" i="41"/>
  <c r="J9" i="41" s="1"/>
  <c r="AB9" i="41"/>
  <c r="Y9" i="41"/>
  <c r="X9" i="41"/>
  <c r="Q9" i="41"/>
  <c r="P9" i="41"/>
  <c r="O9" i="41"/>
  <c r="M9" i="41"/>
  <c r="H9" i="41"/>
  <c r="C9" i="41"/>
  <c r="AB8" i="41"/>
  <c r="AD8" i="41" s="1"/>
  <c r="Y8" i="41"/>
  <c r="X8" i="41"/>
  <c r="Q8" i="41"/>
  <c r="P8" i="41"/>
  <c r="O8" i="41"/>
  <c r="M8" i="41"/>
  <c r="J8" i="41"/>
  <c r="H8" i="41"/>
  <c r="C8" i="41"/>
  <c r="AB7" i="41"/>
  <c r="AD7" i="41" s="1"/>
  <c r="J7" i="41" s="1"/>
  <c r="Y7" i="41"/>
  <c r="X7" i="41"/>
  <c r="Q7" i="41"/>
  <c r="P7" i="41"/>
  <c r="O7" i="41"/>
  <c r="M7" i="41"/>
  <c r="H7" i="41"/>
  <c r="C7" i="41"/>
  <c r="AB6" i="41"/>
  <c r="AD6" i="41" s="1"/>
  <c r="Y6" i="41"/>
  <c r="X6" i="41"/>
  <c r="P6" i="41"/>
  <c r="Q6" i="41" s="1"/>
  <c r="O6" i="41"/>
  <c r="M6" i="41"/>
  <c r="J6" i="41"/>
  <c r="H6" i="41"/>
  <c r="C6" i="41"/>
  <c r="AB5" i="41"/>
  <c r="AD5" i="41" s="1"/>
  <c r="Y5" i="41"/>
  <c r="X5" i="41"/>
  <c r="Q5" i="41"/>
  <c r="P5" i="41"/>
  <c r="O5" i="41"/>
  <c r="M5" i="41"/>
  <c r="H5" i="41"/>
  <c r="C5" i="41"/>
  <c r="AD4" i="41"/>
  <c r="J4" i="41" s="1"/>
  <c r="AB4" i="41"/>
  <c r="Y4" i="41"/>
  <c r="X4" i="41"/>
  <c r="P4" i="41"/>
  <c r="Q4" i="41" s="1"/>
  <c r="O4" i="41"/>
  <c r="M4" i="41"/>
  <c r="H4" i="41"/>
  <c r="C4" i="41"/>
  <c r="AG3" i="41"/>
  <c r="AF3" i="41"/>
  <c r="W3" i="41"/>
  <c r="V3" i="41"/>
  <c r="U3" i="41"/>
  <c r="T3" i="41"/>
  <c r="O3" i="41"/>
  <c r="H3" i="41"/>
  <c r="G3" i="41"/>
  <c r="F3" i="41"/>
  <c r="D3" i="41"/>
  <c r="X3" i="41" s="1"/>
  <c r="C3" i="41"/>
  <c r="A2" i="41"/>
  <c r="A1" i="41"/>
  <c r="AD32" i="40"/>
  <c r="AB32" i="40"/>
  <c r="Y32" i="40"/>
  <c r="X32" i="40"/>
  <c r="V32" i="40"/>
  <c r="U32" i="40"/>
  <c r="T32" i="40"/>
  <c r="Q32" i="40"/>
  <c r="P32" i="40"/>
  <c r="O32" i="40"/>
  <c r="M32" i="40"/>
  <c r="J32" i="40"/>
  <c r="H32" i="40"/>
  <c r="C32" i="40"/>
  <c r="AD31" i="40"/>
  <c r="J31" i="40" s="1"/>
  <c r="I31" i="40" s="1"/>
  <c r="AB31" i="40"/>
  <c r="Y31" i="40"/>
  <c r="X31" i="40"/>
  <c r="P31" i="40"/>
  <c r="O31" i="40"/>
  <c r="Q31" i="40" s="1"/>
  <c r="M31" i="40"/>
  <c r="H31" i="40"/>
  <c r="C31" i="40"/>
  <c r="AB30" i="40"/>
  <c r="AD30" i="40" s="1"/>
  <c r="J30" i="40" s="1"/>
  <c r="K30" i="40" s="1"/>
  <c r="Y30" i="40"/>
  <c r="X30" i="40"/>
  <c r="Q30" i="40"/>
  <c r="P30" i="40"/>
  <c r="O30" i="40"/>
  <c r="M30" i="40"/>
  <c r="H30" i="40"/>
  <c r="C30" i="40"/>
  <c r="AD29" i="40"/>
  <c r="J29" i="40" s="1"/>
  <c r="I29" i="40" s="1"/>
  <c r="AB29" i="40"/>
  <c r="Y29" i="40"/>
  <c r="X29" i="40"/>
  <c r="P29" i="40"/>
  <c r="O29" i="40"/>
  <c r="M29" i="40"/>
  <c r="H29" i="40"/>
  <c r="C29" i="40"/>
  <c r="AB28" i="40"/>
  <c r="AD28" i="40" s="1"/>
  <c r="J28" i="40" s="1"/>
  <c r="Y28" i="40"/>
  <c r="X28" i="40"/>
  <c r="Q28" i="40"/>
  <c r="P28" i="40"/>
  <c r="O28" i="40"/>
  <c r="M28" i="40"/>
  <c r="H28" i="40"/>
  <c r="C28" i="40"/>
  <c r="AD27" i="40"/>
  <c r="AB27" i="40"/>
  <c r="Y27" i="40"/>
  <c r="X27" i="40"/>
  <c r="P27" i="40"/>
  <c r="Q27" i="40" s="1"/>
  <c r="O27" i="40"/>
  <c r="M27" i="40"/>
  <c r="J27" i="40"/>
  <c r="K27" i="40" s="1"/>
  <c r="I27" i="40"/>
  <c r="H27" i="40"/>
  <c r="C27" i="40"/>
  <c r="AB26" i="40"/>
  <c r="AD26" i="40" s="1"/>
  <c r="J26" i="40" s="1"/>
  <c r="Y26" i="40"/>
  <c r="X26" i="40"/>
  <c r="P26" i="40"/>
  <c r="O26" i="40"/>
  <c r="Q26" i="40" s="1"/>
  <c r="M26" i="40"/>
  <c r="H26" i="40"/>
  <c r="C26" i="40"/>
  <c r="AB25" i="40"/>
  <c r="AD25" i="40" s="1"/>
  <c r="J25" i="40" s="1"/>
  <c r="Y25" i="40"/>
  <c r="X25" i="40"/>
  <c r="Q25" i="40"/>
  <c r="P25" i="40"/>
  <c r="O25" i="40"/>
  <c r="M25" i="40"/>
  <c r="H25" i="40"/>
  <c r="C25" i="40"/>
  <c r="AD24" i="40"/>
  <c r="J24" i="40" s="1"/>
  <c r="AB24" i="40"/>
  <c r="Y24" i="40"/>
  <c r="X24" i="40"/>
  <c r="P24" i="40"/>
  <c r="O24" i="40"/>
  <c r="Q24" i="40" s="1"/>
  <c r="M24" i="40"/>
  <c r="H24" i="40"/>
  <c r="C24" i="40"/>
  <c r="AB23" i="40"/>
  <c r="AD23" i="40" s="1"/>
  <c r="J23" i="40" s="1"/>
  <c r="Y23" i="40"/>
  <c r="X23" i="40"/>
  <c r="P23" i="40"/>
  <c r="O23" i="40"/>
  <c r="Q23" i="40" s="1"/>
  <c r="M23" i="40"/>
  <c r="H23" i="40"/>
  <c r="C23" i="40"/>
  <c r="AB22" i="40"/>
  <c r="AD22" i="40" s="1"/>
  <c r="J22" i="40" s="1"/>
  <c r="Y22" i="40"/>
  <c r="X22" i="40"/>
  <c r="P22" i="40"/>
  <c r="Q22" i="40" s="1"/>
  <c r="O22" i="40"/>
  <c r="M22" i="40"/>
  <c r="H22" i="40"/>
  <c r="C22" i="40"/>
  <c r="AD21" i="40"/>
  <c r="J21" i="40" s="1"/>
  <c r="I21" i="40" s="1"/>
  <c r="AB21" i="40"/>
  <c r="Y21" i="40"/>
  <c r="X21" i="40"/>
  <c r="P21" i="40"/>
  <c r="O21" i="40"/>
  <c r="Q21" i="40" s="1"/>
  <c r="M21" i="40"/>
  <c r="H21" i="40"/>
  <c r="C21" i="40"/>
  <c r="AB20" i="40"/>
  <c r="AD20" i="40" s="1"/>
  <c r="J20" i="40" s="1"/>
  <c r="Y20" i="40"/>
  <c r="X20" i="40"/>
  <c r="Q20" i="40"/>
  <c r="P20" i="40"/>
  <c r="O20" i="40"/>
  <c r="M20" i="40"/>
  <c r="H20" i="40"/>
  <c r="C20" i="40"/>
  <c r="AB19" i="40"/>
  <c r="AD19" i="40" s="1"/>
  <c r="J19" i="40" s="1"/>
  <c r="Y19" i="40"/>
  <c r="X19" i="40"/>
  <c r="P19" i="40"/>
  <c r="Q19" i="40" s="1"/>
  <c r="O19" i="40"/>
  <c r="M19" i="40"/>
  <c r="H19" i="40"/>
  <c r="C19" i="40"/>
  <c r="AD18" i="40"/>
  <c r="AB18" i="40"/>
  <c r="Y18" i="40"/>
  <c r="X18" i="40"/>
  <c r="P18" i="40"/>
  <c r="O18" i="40"/>
  <c r="Q18" i="40" s="1"/>
  <c r="M18" i="40"/>
  <c r="J18" i="40"/>
  <c r="I18" i="40" s="1"/>
  <c r="H18" i="40"/>
  <c r="C18" i="40"/>
  <c r="AB17" i="40"/>
  <c r="AD17" i="40" s="1"/>
  <c r="J17" i="40" s="1"/>
  <c r="Y17" i="40"/>
  <c r="X17" i="40"/>
  <c r="Q17" i="40"/>
  <c r="P17" i="40"/>
  <c r="O17" i="40"/>
  <c r="M17" i="40"/>
  <c r="H17" i="40"/>
  <c r="C17" i="40"/>
  <c r="AD16" i="40"/>
  <c r="J16" i="40" s="1"/>
  <c r="AB16" i="40"/>
  <c r="Y16" i="40"/>
  <c r="X16" i="40"/>
  <c r="P16" i="40"/>
  <c r="Q16" i="40" s="1"/>
  <c r="O16" i="40"/>
  <c r="M16" i="40"/>
  <c r="H16" i="40"/>
  <c r="C16" i="40"/>
  <c r="AD15" i="40"/>
  <c r="AB15" i="40"/>
  <c r="Y15" i="40"/>
  <c r="X15" i="40"/>
  <c r="P15" i="40"/>
  <c r="O15" i="40"/>
  <c r="Q15" i="40" s="1"/>
  <c r="M15" i="40"/>
  <c r="J15" i="40"/>
  <c r="I15" i="40" s="1"/>
  <c r="H15" i="40"/>
  <c r="C15" i="40"/>
  <c r="AB14" i="40"/>
  <c r="AD14" i="40" s="1"/>
  <c r="J14" i="40" s="1"/>
  <c r="K14" i="40" s="1"/>
  <c r="Y14" i="40"/>
  <c r="X14" i="40"/>
  <c r="Q14" i="40"/>
  <c r="P14" i="40"/>
  <c r="O14" i="40"/>
  <c r="M14" i="40"/>
  <c r="I14" i="40"/>
  <c r="H14" i="40"/>
  <c r="C14" i="40"/>
  <c r="AD13" i="40"/>
  <c r="J13" i="40" s="1"/>
  <c r="AB13" i="40"/>
  <c r="Y13" i="40"/>
  <c r="X13" i="40"/>
  <c r="P13" i="40"/>
  <c r="O13" i="40"/>
  <c r="Q13" i="40" s="1"/>
  <c r="M13" i="40"/>
  <c r="H13" i="40"/>
  <c r="C13" i="40"/>
  <c r="AD12" i="40"/>
  <c r="J12" i="40" s="1"/>
  <c r="I12" i="40" s="1"/>
  <c r="AB12" i="40"/>
  <c r="Y12" i="40"/>
  <c r="X12" i="40"/>
  <c r="Q12" i="40"/>
  <c r="P12" i="40"/>
  <c r="O12" i="40"/>
  <c r="M12" i="40"/>
  <c r="K12" i="40"/>
  <c r="H12" i="40"/>
  <c r="C12" i="40"/>
  <c r="AB11" i="40"/>
  <c r="AD11" i="40" s="1"/>
  <c r="J11" i="40" s="1"/>
  <c r="Y11" i="40"/>
  <c r="X11" i="40"/>
  <c r="Q11" i="40"/>
  <c r="P11" i="40"/>
  <c r="O11" i="40"/>
  <c r="M11" i="40"/>
  <c r="H11" i="40"/>
  <c r="C11" i="40"/>
  <c r="AB10" i="40"/>
  <c r="AD10" i="40" s="1"/>
  <c r="J10" i="40" s="1"/>
  <c r="Y10" i="40"/>
  <c r="X10" i="40"/>
  <c r="P10" i="40"/>
  <c r="O10" i="40"/>
  <c r="Q10" i="40" s="1"/>
  <c r="M10" i="40"/>
  <c r="H10" i="40"/>
  <c r="C10" i="40"/>
  <c r="AB9" i="40"/>
  <c r="AD9" i="40" s="1"/>
  <c r="Y9" i="40"/>
  <c r="X9" i="40"/>
  <c r="Q9" i="40"/>
  <c r="P9" i="40"/>
  <c r="O9" i="40"/>
  <c r="M9" i="40"/>
  <c r="J9" i="40"/>
  <c r="H9" i="40"/>
  <c r="C9" i="40"/>
  <c r="AD8" i="40"/>
  <c r="J8" i="40" s="1"/>
  <c r="AB8" i="40"/>
  <c r="Y8" i="40"/>
  <c r="X8" i="40"/>
  <c r="Q8" i="40"/>
  <c r="P8" i="40"/>
  <c r="O8" i="40"/>
  <c r="M8" i="40"/>
  <c r="H8" i="40"/>
  <c r="C8" i="40"/>
  <c r="AB7" i="40"/>
  <c r="AD7" i="40" s="1"/>
  <c r="J7" i="40" s="1"/>
  <c r="Y7" i="40"/>
  <c r="X7" i="40"/>
  <c r="P7" i="40"/>
  <c r="O7" i="40"/>
  <c r="Q7" i="40" s="1"/>
  <c r="M7" i="40"/>
  <c r="H7" i="40"/>
  <c r="C7" i="40"/>
  <c r="AB6" i="40"/>
  <c r="AD6" i="40" s="1"/>
  <c r="J6" i="40" s="1"/>
  <c r="K6" i="40" s="1"/>
  <c r="Y6" i="40"/>
  <c r="X6" i="40"/>
  <c r="P6" i="40"/>
  <c r="Q6" i="40" s="1"/>
  <c r="O6" i="40"/>
  <c r="M6" i="40"/>
  <c r="H6" i="40"/>
  <c r="C6" i="40"/>
  <c r="AD5" i="40"/>
  <c r="J5" i="40" s="1"/>
  <c r="I5" i="40" s="1"/>
  <c r="AB5" i="40"/>
  <c r="Y5" i="40"/>
  <c r="X5" i="40"/>
  <c r="P5" i="40"/>
  <c r="O5" i="40"/>
  <c r="M5" i="40"/>
  <c r="K5" i="40"/>
  <c r="H5" i="40"/>
  <c r="C5" i="40"/>
  <c r="AB4" i="40"/>
  <c r="AD4" i="40" s="1"/>
  <c r="Y4" i="40"/>
  <c r="X4" i="40"/>
  <c r="Q4" i="40"/>
  <c r="P4" i="40"/>
  <c r="O4" i="40"/>
  <c r="M4" i="40"/>
  <c r="H4" i="40"/>
  <c r="C4" i="40"/>
  <c r="AG3" i="40"/>
  <c r="AF3" i="40"/>
  <c r="W3" i="40"/>
  <c r="X3" i="40" s="1"/>
  <c r="V3" i="40"/>
  <c r="U3" i="40"/>
  <c r="T3" i="40"/>
  <c r="O3" i="40"/>
  <c r="G3" i="40"/>
  <c r="H3" i="40" s="1"/>
  <c r="F3" i="40"/>
  <c r="D3" i="40"/>
  <c r="C3" i="40"/>
  <c r="A2" i="40"/>
  <c r="A1" i="40"/>
  <c r="AD32" i="39"/>
  <c r="J32" i="39" s="1"/>
  <c r="AB32" i="39"/>
  <c r="Y32" i="39"/>
  <c r="X32" i="39"/>
  <c r="V32" i="39"/>
  <c r="U32" i="39"/>
  <c r="T32" i="39"/>
  <c r="Q32" i="39"/>
  <c r="P32" i="39"/>
  <c r="O32" i="39"/>
  <c r="M32" i="39"/>
  <c r="H32" i="39"/>
  <c r="C32" i="39"/>
  <c r="AB31" i="39"/>
  <c r="AD31" i="39" s="1"/>
  <c r="J31" i="39" s="1"/>
  <c r="Y31" i="39"/>
  <c r="X31" i="39"/>
  <c r="P31" i="39"/>
  <c r="O31" i="39"/>
  <c r="Q31" i="39" s="1"/>
  <c r="M31" i="39"/>
  <c r="H31" i="39"/>
  <c r="C31" i="39"/>
  <c r="AB30" i="39"/>
  <c r="AD30" i="39" s="1"/>
  <c r="J30" i="39" s="1"/>
  <c r="K30" i="39" s="1"/>
  <c r="Y30" i="39"/>
  <c r="X30" i="39"/>
  <c r="Q30" i="39"/>
  <c r="P30" i="39"/>
  <c r="O30" i="39"/>
  <c r="M30" i="39"/>
  <c r="H30" i="39"/>
  <c r="C30" i="39"/>
  <c r="AD29" i="39"/>
  <c r="J29" i="39" s="1"/>
  <c r="I29" i="39" s="1"/>
  <c r="AB29" i="39"/>
  <c r="Y29" i="39"/>
  <c r="X29" i="39"/>
  <c r="P29" i="39"/>
  <c r="O29" i="39"/>
  <c r="M29" i="39"/>
  <c r="K29" i="39"/>
  <c r="H29" i="39"/>
  <c r="C29" i="39"/>
  <c r="AB28" i="39"/>
  <c r="AD28" i="39" s="1"/>
  <c r="J28" i="39" s="1"/>
  <c r="Y28" i="39"/>
  <c r="X28" i="39"/>
  <c r="Q28" i="39"/>
  <c r="P28" i="39"/>
  <c r="O28" i="39"/>
  <c r="M28" i="39"/>
  <c r="H28" i="39"/>
  <c r="C28" i="39"/>
  <c r="AB27" i="39"/>
  <c r="AD27" i="39" s="1"/>
  <c r="J27" i="39" s="1"/>
  <c r="Y27" i="39"/>
  <c r="X27" i="39"/>
  <c r="P27" i="39"/>
  <c r="O27" i="39"/>
  <c r="Q27" i="39" s="1"/>
  <c r="M27" i="39"/>
  <c r="H27" i="39"/>
  <c r="C27" i="39"/>
  <c r="AB26" i="39"/>
  <c r="AD26" i="39" s="1"/>
  <c r="J26" i="39" s="1"/>
  <c r="Y26" i="39"/>
  <c r="X26" i="39"/>
  <c r="P26" i="39"/>
  <c r="O26" i="39"/>
  <c r="Q26" i="39" s="1"/>
  <c r="M26" i="39"/>
  <c r="H26" i="39"/>
  <c r="C26" i="39"/>
  <c r="AB25" i="39"/>
  <c r="AD25" i="39" s="1"/>
  <c r="J25" i="39" s="1"/>
  <c r="Y25" i="39"/>
  <c r="X25" i="39"/>
  <c r="Q25" i="39"/>
  <c r="P25" i="39"/>
  <c r="O25" i="39"/>
  <c r="M25" i="39"/>
  <c r="H25" i="39"/>
  <c r="C25" i="39"/>
  <c r="AD24" i="39"/>
  <c r="J24" i="39" s="1"/>
  <c r="AB24" i="39"/>
  <c r="Y24" i="39"/>
  <c r="X24" i="39"/>
  <c r="P24" i="39"/>
  <c r="O24" i="39"/>
  <c r="Q24" i="39" s="1"/>
  <c r="M24" i="39"/>
  <c r="H24" i="39"/>
  <c r="C24" i="39"/>
  <c r="AD23" i="39"/>
  <c r="AB23" i="39"/>
  <c r="Y23" i="39"/>
  <c r="X23" i="39"/>
  <c r="P23" i="39"/>
  <c r="O23" i="39"/>
  <c r="Q23" i="39" s="1"/>
  <c r="M23" i="39"/>
  <c r="K23" i="39"/>
  <c r="J23" i="39"/>
  <c r="I23" i="39" s="1"/>
  <c r="H23" i="39"/>
  <c r="C23" i="39"/>
  <c r="AB22" i="39"/>
  <c r="AD22" i="39" s="1"/>
  <c r="J22" i="39" s="1"/>
  <c r="K22" i="39" s="1"/>
  <c r="Y22" i="39"/>
  <c r="X22" i="39"/>
  <c r="Q22" i="39"/>
  <c r="P22" i="39"/>
  <c r="O22" i="39"/>
  <c r="M22" i="39"/>
  <c r="H22" i="39"/>
  <c r="C22" i="39"/>
  <c r="AD21" i="39"/>
  <c r="J21" i="39" s="1"/>
  <c r="I21" i="39" s="1"/>
  <c r="AB21" i="39"/>
  <c r="Y21" i="39"/>
  <c r="X21" i="39"/>
  <c r="P21" i="39"/>
  <c r="O21" i="39"/>
  <c r="Q21" i="39" s="1"/>
  <c r="M21" i="39"/>
  <c r="H21" i="39"/>
  <c r="C21" i="39"/>
  <c r="AD20" i="39"/>
  <c r="J20" i="39" s="1"/>
  <c r="I20" i="39" s="1"/>
  <c r="AB20" i="39"/>
  <c r="Y20" i="39"/>
  <c r="X20" i="39"/>
  <c r="Q20" i="39"/>
  <c r="P20" i="39"/>
  <c r="O20" i="39"/>
  <c r="M20" i="39"/>
  <c r="K20" i="39"/>
  <c r="H20" i="39"/>
  <c r="C20" i="39"/>
  <c r="AB19" i="39"/>
  <c r="AD19" i="39" s="1"/>
  <c r="J19" i="39" s="1"/>
  <c r="Y19" i="39"/>
  <c r="X19" i="39"/>
  <c r="P19" i="39"/>
  <c r="Q19" i="39" s="1"/>
  <c r="O19" i="39"/>
  <c r="M19" i="39"/>
  <c r="H19" i="39"/>
  <c r="C19" i="39"/>
  <c r="AB18" i="39"/>
  <c r="AD18" i="39" s="1"/>
  <c r="J18" i="39" s="1"/>
  <c r="Y18" i="39"/>
  <c r="X18" i="39"/>
  <c r="P18" i="39"/>
  <c r="O18" i="39"/>
  <c r="Q18" i="39" s="1"/>
  <c r="M18" i="39"/>
  <c r="H18" i="39"/>
  <c r="C18" i="39"/>
  <c r="AB17" i="39"/>
  <c r="AD17" i="39" s="1"/>
  <c r="Y17" i="39"/>
  <c r="X17" i="39"/>
  <c r="Q17" i="39"/>
  <c r="P17" i="39"/>
  <c r="O17" i="39"/>
  <c r="M17" i="39"/>
  <c r="J17" i="39"/>
  <c r="K17" i="39" s="1"/>
  <c r="H17" i="39"/>
  <c r="C17" i="39"/>
  <c r="AD16" i="39"/>
  <c r="J16" i="39" s="1"/>
  <c r="AB16" i="39"/>
  <c r="Y16" i="39"/>
  <c r="X16" i="39"/>
  <c r="Q16" i="39"/>
  <c r="P16" i="39"/>
  <c r="O16" i="39"/>
  <c r="M16" i="39"/>
  <c r="H16" i="39"/>
  <c r="C16" i="39"/>
  <c r="AB15" i="39"/>
  <c r="AD15" i="39" s="1"/>
  <c r="J15" i="39" s="1"/>
  <c r="K15" i="39" s="1"/>
  <c r="Y15" i="39"/>
  <c r="X15" i="39"/>
  <c r="P15" i="39"/>
  <c r="O15" i="39"/>
  <c r="Q15" i="39" s="1"/>
  <c r="M15" i="39"/>
  <c r="I15" i="39"/>
  <c r="H15" i="39"/>
  <c r="C15" i="39"/>
  <c r="AB14" i="39"/>
  <c r="AD14" i="39" s="1"/>
  <c r="J14" i="39" s="1"/>
  <c r="K14" i="39" s="1"/>
  <c r="Y14" i="39"/>
  <c r="X14" i="39"/>
  <c r="P14" i="39"/>
  <c r="Q14" i="39" s="1"/>
  <c r="O14" i="39"/>
  <c r="M14" i="39"/>
  <c r="I14" i="39"/>
  <c r="H14" i="39"/>
  <c r="C14" i="39"/>
  <c r="AD13" i="39"/>
  <c r="J13" i="39" s="1"/>
  <c r="I13" i="39" s="1"/>
  <c r="AB13" i="39"/>
  <c r="Y13" i="39"/>
  <c r="X13" i="39"/>
  <c r="P13" i="39"/>
  <c r="O13" i="39"/>
  <c r="Q13" i="39" s="1"/>
  <c r="M13" i="39"/>
  <c r="H13" i="39"/>
  <c r="C13" i="39"/>
  <c r="AB12" i="39"/>
  <c r="AD12" i="39" s="1"/>
  <c r="Y12" i="39"/>
  <c r="X12" i="39"/>
  <c r="Q12" i="39"/>
  <c r="P12" i="39"/>
  <c r="O12" i="39"/>
  <c r="M12" i="39"/>
  <c r="J12" i="39"/>
  <c r="K12" i="39" s="1"/>
  <c r="H12" i="39"/>
  <c r="C12" i="39"/>
  <c r="AB11" i="39"/>
  <c r="AD11" i="39" s="1"/>
  <c r="J11" i="39" s="1"/>
  <c r="Y11" i="39"/>
  <c r="X11" i="39"/>
  <c r="P11" i="39"/>
  <c r="O11" i="39"/>
  <c r="Q11" i="39" s="1"/>
  <c r="M11" i="39"/>
  <c r="H11" i="39"/>
  <c r="C11" i="39"/>
  <c r="AD10" i="39"/>
  <c r="AB10" i="39"/>
  <c r="Y10" i="39"/>
  <c r="X10" i="39"/>
  <c r="P10" i="39"/>
  <c r="O10" i="39"/>
  <c r="Q10" i="39" s="1"/>
  <c r="M10" i="39"/>
  <c r="J10" i="39"/>
  <c r="I10" i="39" s="1"/>
  <c r="H10" i="39"/>
  <c r="C10" i="39"/>
  <c r="AB9" i="39"/>
  <c r="AD9" i="39" s="1"/>
  <c r="J9" i="39" s="1"/>
  <c r="K9" i="39" s="1"/>
  <c r="Y9" i="39"/>
  <c r="X9" i="39"/>
  <c r="Q9" i="39"/>
  <c r="P9" i="39"/>
  <c r="O9" i="39"/>
  <c r="M9" i="39"/>
  <c r="I9" i="39"/>
  <c r="H9" i="39"/>
  <c r="C9" i="39"/>
  <c r="AD8" i="39"/>
  <c r="J8" i="39" s="1"/>
  <c r="AB8" i="39"/>
  <c r="Y8" i="39"/>
  <c r="X8" i="39"/>
  <c r="P8" i="39"/>
  <c r="O8" i="39"/>
  <c r="Q8" i="39" s="1"/>
  <c r="M8" i="39"/>
  <c r="H8" i="39"/>
  <c r="C8" i="39"/>
  <c r="AD7" i="39"/>
  <c r="AB7" i="39"/>
  <c r="Y7" i="39"/>
  <c r="X7" i="39"/>
  <c r="P7" i="39"/>
  <c r="O7" i="39"/>
  <c r="Q7" i="39" s="1"/>
  <c r="M7" i="39"/>
  <c r="J7" i="39"/>
  <c r="K7" i="39" s="1"/>
  <c r="H7" i="39"/>
  <c r="C7" i="39"/>
  <c r="AB6" i="39"/>
  <c r="AD6" i="39" s="1"/>
  <c r="J6" i="39" s="1"/>
  <c r="K6" i="39" s="1"/>
  <c r="Y6" i="39"/>
  <c r="X6" i="39"/>
  <c r="P6" i="39"/>
  <c r="Q6" i="39" s="1"/>
  <c r="O6" i="39"/>
  <c r="M6" i="39"/>
  <c r="H6" i="39"/>
  <c r="C6" i="39"/>
  <c r="AD5" i="39"/>
  <c r="J5" i="39" s="1"/>
  <c r="I5" i="39" s="1"/>
  <c r="AB5" i="39"/>
  <c r="Y5" i="39"/>
  <c r="X5" i="39"/>
  <c r="P5" i="39"/>
  <c r="O5" i="39"/>
  <c r="Q5" i="39" s="1"/>
  <c r="M5" i="39"/>
  <c r="K5" i="39"/>
  <c r="H5" i="39"/>
  <c r="C5" i="39"/>
  <c r="AD4" i="39"/>
  <c r="J4" i="39" s="1"/>
  <c r="AB4" i="39"/>
  <c r="Y4" i="39"/>
  <c r="X4" i="39"/>
  <c r="Q4" i="39"/>
  <c r="P4" i="39"/>
  <c r="O4" i="39"/>
  <c r="M4" i="39"/>
  <c r="H4" i="39"/>
  <c r="C4" i="39"/>
  <c r="AG3" i="39"/>
  <c r="AF3" i="39"/>
  <c r="W3" i="39"/>
  <c r="X3" i="39" s="1"/>
  <c r="V3" i="39"/>
  <c r="U3" i="39"/>
  <c r="T3" i="39"/>
  <c r="O3" i="39"/>
  <c r="G3" i="39"/>
  <c r="H3" i="39" s="1"/>
  <c r="F3" i="39"/>
  <c r="D3" i="39"/>
  <c r="C3" i="39"/>
  <c r="A2" i="39"/>
  <c r="A1" i="39"/>
  <c r="AD32" i="38"/>
  <c r="J32" i="38" s="1"/>
  <c r="AB32" i="38"/>
  <c r="Y32" i="38"/>
  <c r="X32" i="38"/>
  <c r="V32" i="38"/>
  <c r="U32" i="38"/>
  <c r="T32" i="38"/>
  <c r="Q32" i="38"/>
  <c r="P32" i="38"/>
  <c r="O32" i="38"/>
  <c r="M32" i="38"/>
  <c r="H32" i="38"/>
  <c r="C32" i="38"/>
  <c r="AD31" i="38"/>
  <c r="J31" i="38" s="1"/>
  <c r="AB31" i="38"/>
  <c r="Y31" i="38"/>
  <c r="X31" i="38"/>
  <c r="P31" i="38"/>
  <c r="O31" i="38"/>
  <c r="Q31" i="38" s="1"/>
  <c r="M31" i="38"/>
  <c r="H31" i="38"/>
  <c r="C31" i="38"/>
  <c r="AB30" i="38"/>
  <c r="AD30" i="38" s="1"/>
  <c r="J30" i="38" s="1"/>
  <c r="K30" i="38" s="1"/>
  <c r="Y30" i="38"/>
  <c r="X30" i="38"/>
  <c r="P30" i="38"/>
  <c r="Q30" i="38" s="1"/>
  <c r="O30" i="38"/>
  <c r="M30" i="38"/>
  <c r="H30" i="38"/>
  <c r="C30" i="38"/>
  <c r="AD29" i="38"/>
  <c r="J29" i="38" s="1"/>
  <c r="I29" i="38" s="1"/>
  <c r="AB29" i="38"/>
  <c r="Y29" i="38"/>
  <c r="X29" i="38"/>
  <c r="P29" i="38"/>
  <c r="O29" i="38"/>
  <c r="M29" i="38"/>
  <c r="K29" i="38"/>
  <c r="H29" i="38"/>
  <c r="C29" i="38"/>
  <c r="AB28" i="38"/>
  <c r="AD28" i="38" s="1"/>
  <c r="J28" i="38" s="1"/>
  <c r="Y28" i="38"/>
  <c r="X28" i="38"/>
  <c r="Q28" i="38"/>
  <c r="P28" i="38"/>
  <c r="O28" i="38"/>
  <c r="M28" i="38"/>
  <c r="H28" i="38"/>
  <c r="C28" i="38"/>
  <c r="AB27" i="38"/>
  <c r="AD27" i="38" s="1"/>
  <c r="J27" i="38" s="1"/>
  <c r="Y27" i="38"/>
  <c r="X27" i="38"/>
  <c r="P27" i="38"/>
  <c r="O27" i="38"/>
  <c r="Q27" i="38" s="1"/>
  <c r="M27" i="38"/>
  <c r="H27" i="38"/>
  <c r="C27" i="38"/>
  <c r="AB26" i="38"/>
  <c r="AD26" i="38" s="1"/>
  <c r="J26" i="38" s="1"/>
  <c r="Y26" i="38"/>
  <c r="X26" i="38"/>
  <c r="P26" i="38"/>
  <c r="O26" i="38"/>
  <c r="Q26" i="38" s="1"/>
  <c r="M26" i="38"/>
  <c r="H26" i="38"/>
  <c r="C26" i="38"/>
  <c r="AB25" i="38"/>
  <c r="AD25" i="38" s="1"/>
  <c r="Y25" i="38"/>
  <c r="X25" i="38"/>
  <c r="Q25" i="38"/>
  <c r="P25" i="38"/>
  <c r="O25" i="38"/>
  <c r="M25" i="38"/>
  <c r="J25" i="38"/>
  <c r="K25" i="38" s="1"/>
  <c r="H25" i="38"/>
  <c r="C25" i="38"/>
  <c r="AD24" i="38"/>
  <c r="J24" i="38" s="1"/>
  <c r="AB24" i="38"/>
  <c r="Y24" i="38"/>
  <c r="X24" i="38"/>
  <c r="P24" i="38"/>
  <c r="O24" i="38"/>
  <c r="Q24" i="38" s="1"/>
  <c r="M24" i="38"/>
  <c r="H24" i="38"/>
  <c r="C24" i="38"/>
  <c r="AB23" i="38"/>
  <c r="AD23" i="38" s="1"/>
  <c r="J23" i="38" s="1"/>
  <c r="Y23" i="38"/>
  <c r="X23" i="38"/>
  <c r="P23" i="38"/>
  <c r="O23" i="38"/>
  <c r="Q23" i="38" s="1"/>
  <c r="M23" i="38"/>
  <c r="H23" i="38"/>
  <c r="C23" i="38"/>
  <c r="AB22" i="38"/>
  <c r="AD22" i="38" s="1"/>
  <c r="J22" i="38" s="1"/>
  <c r="Y22" i="38"/>
  <c r="X22" i="38"/>
  <c r="Q22" i="38"/>
  <c r="P22" i="38"/>
  <c r="O22" i="38"/>
  <c r="M22" i="38"/>
  <c r="H22" i="38"/>
  <c r="C22" i="38"/>
  <c r="AD21" i="38"/>
  <c r="J21" i="38" s="1"/>
  <c r="I21" i="38" s="1"/>
  <c r="AB21" i="38"/>
  <c r="Y21" i="38"/>
  <c r="X21" i="38"/>
  <c r="P21" i="38"/>
  <c r="O21" i="38"/>
  <c r="Q21" i="38" s="1"/>
  <c r="M21" i="38"/>
  <c r="H21" i="38"/>
  <c r="C21" i="38"/>
  <c r="AB20" i="38"/>
  <c r="AD20" i="38" s="1"/>
  <c r="J20" i="38" s="1"/>
  <c r="K20" i="38" s="1"/>
  <c r="Y20" i="38"/>
  <c r="X20" i="38"/>
  <c r="Q20" i="38"/>
  <c r="P20" i="38"/>
  <c r="O20" i="38"/>
  <c r="M20" i="38"/>
  <c r="I20" i="38"/>
  <c r="H20" i="38"/>
  <c r="C20" i="38"/>
  <c r="AB19" i="38"/>
  <c r="AD19" i="38" s="1"/>
  <c r="J19" i="38" s="1"/>
  <c r="Y19" i="38"/>
  <c r="X19" i="38"/>
  <c r="P19" i="38"/>
  <c r="O19" i="38"/>
  <c r="Q19" i="38" s="1"/>
  <c r="M19" i="38"/>
  <c r="H19" i="38"/>
  <c r="C19" i="38"/>
  <c r="AB18" i="38"/>
  <c r="AD18" i="38" s="1"/>
  <c r="J18" i="38" s="1"/>
  <c r="Y18" i="38"/>
  <c r="X18" i="38"/>
  <c r="P18" i="38"/>
  <c r="O18" i="38"/>
  <c r="Q18" i="38" s="1"/>
  <c r="M18" i="38"/>
  <c r="H18" i="38"/>
  <c r="C18" i="38"/>
  <c r="AB17" i="38"/>
  <c r="AD17" i="38" s="1"/>
  <c r="J17" i="38" s="1"/>
  <c r="Y17" i="38"/>
  <c r="X17" i="38"/>
  <c r="Q17" i="38"/>
  <c r="P17" i="38"/>
  <c r="O17" i="38"/>
  <c r="M17" i="38"/>
  <c r="H17" i="38"/>
  <c r="C17" i="38"/>
  <c r="AD16" i="38"/>
  <c r="J16" i="38" s="1"/>
  <c r="AB16" i="38"/>
  <c r="Y16" i="38"/>
  <c r="X16" i="38"/>
  <c r="P16" i="38"/>
  <c r="O16" i="38"/>
  <c r="Q16" i="38" s="1"/>
  <c r="M16" i="38"/>
  <c r="H16" i="38"/>
  <c r="C16" i="38"/>
  <c r="AB15" i="38"/>
  <c r="AD15" i="38" s="1"/>
  <c r="J15" i="38" s="1"/>
  <c r="Y15" i="38"/>
  <c r="X15" i="38"/>
  <c r="P15" i="38"/>
  <c r="O15" i="38"/>
  <c r="Q15" i="38" s="1"/>
  <c r="M15" i="38"/>
  <c r="H15" i="38"/>
  <c r="C15" i="38"/>
  <c r="AB14" i="38"/>
  <c r="AD14" i="38" s="1"/>
  <c r="J14" i="38" s="1"/>
  <c r="Y14" i="38"/>
  <c r="X14" i="38"/>
  <c r="P14" i="38"/>
  <c r="Q14" i="38" s="1"/>
  <c r="O14" i="38"/>
  <c r="M14" i="38"/>
  <c r="H14" i="38"/>
  <c r="C14" i="38"/>
  <c r="AD13" i="38"/>
  <c r="J13" i="38" s="1"/>
  <c r="I13" i="38" s="1"/>
  <c r="AB13" i="38"/>
  <c r="Y13" i="38"/>
  <c r="X13" i="38"/>
  <c r="P13" i="38"/>
  <c r="O13" i="38"/>
  <c r="Q13" i="38" s="1"/>
  <c r="M13" i="38"/>
  <c r="H13" i="38"/>
  <c r="C13" i="38"/>
  <c r="AB12" i="38"/>
  <c r="AD12" i="38" s="1"/>
  <c r="J12" i="38" s="1"/>
  <c r="Y12" i="38"/>
  <c r="X12" i="38"/>
  <c r="Q12" i="38"/>
  <c r="P12" i="38"/>
  <c r="O12" i="38"/>
  <c r="M12" i="38"/>
  <c r="H12" i="38"/>
  <c r="C12" i="38"/>
  <c r="AB11" i="38"/>
  <c r="AD11" i="38" s="1"/>
  <c r="J11" i="38" s="1"/>
  <c r="Y11" i="38"/>
  <c r="X11" i="38"/>
  <c r="P11" i="38"/>
  <c r="Q11" i="38" s="1"/>
  <c r="O11" i="38"/>
  <c r="M11" i="38"/>
  <c r="H11" i="38"/>
  <c r="C11" i="38"/>
  <c r="AD10" i="38"/>
  <c r="AB10" i="38"/>
  <c r="Y10" i="38"/>
  <c r="X10" i="38"/>
  <c r="P10" i="38"/>
  <c r="O10" i="38"/>
  <c r="Q10" i="38" s="1"/>
  <c r="M10" i="38"/>
  <c r="K10" i="38"/>
  <c r="J10" i="38"/>
  <c r="I10" i="38" s="1"/>
  <c r="H10" i="38"/>
  <c r="C10" i="38"/>
  <c r="AB9" i="38"/>
  <c r="AD9" i="38" s="1"/>
  <c r="J9" i="38" s="1"/>
  <c r="Y9" i="38"/>
  <c r="X9" i="38"/>
  <c r="Q9" i="38"/>
  <c r="P9" i="38"/>
  <c r="O9" i="38"/>
  <c r="M9" i="38"/>
  <c r="H9" i="38"/>
  <c r="C9" i="38"/>
  <c r="AD8" i="38"/>
  <c r="J8" i="38" s="1"/>
  <c r="AB8" i="38"/>
  <c r="Y8" i="38"/>
  <c r="X8" i="38"/>
  <c r="P8" i="38"/>
  <c r="Q8" i="38" s="1"/>
  <c r="O8" i="38"/>
  <c r="M8" i="38"/>
  <c r="H8" i="38"/>
  <c r="C8" i="38"/>
  <c r="AD7" i="38"/>
  <c r="AB7" i="38"/>
  <c r="Y7" i="38"/>
  <c r="X7" i="38"/>
  <c r="P7" i="38"/>
  <c r="O7" i="38"/>
  <c r="Q7" i="38" s="1"/>
  <c r="M7" i="38"/>
  <c r="J7" i="38"/>
  <c r="I7" i="38" s="1"/>
  <c r="H7" i="38"/>
  <c r="C7" i="38"/>
  <c r="AB6" i="38"/>
  <c r="AD6" i="38" s="1"/>
  <c r="J6" i="38" s="1"/>
  <c r="K6" i="38" s="1"/>
  <c r="Y6" i="38"/>
  <c r="X6" i="38"/>
  <c r="P6" i="38"/>
  <c r="Q6" i="38" s="1"/>
  <c r="O6" i="38"/>
  <c r="M6" i="38"/>
  <c r="I6" i="38"/>
  <c r="H6" i="38"/>
  <c r="C6" i="38"/>
  <c r="AD5" i="38"/>
  <c r="J5" i="38" s="1"/>
  <c r="AB5" i="38"/>
  <c r="Y5" i="38"/>
  <c r="X5" i="38"/>
  <c r="P5" i="38"/>
  <c r="O5" i="38"/>
  <c r="Q5" i="38" s="1"/>
  <c r="M5" i="38"/>
  <c r="H5" i="38"/>
  <c r="C5" i="38"/>
  <c r="AD4" i="38"/>
  <c r="AB4" i="38"/>
  <c r="Y4" i="38"/>
  <c r="X4" i="38"/>
  <c r="Q4" i="38"/>
  <c r="P4" i="38"/>
  <c r="O4" i="38"/>
  <c r="M4" i="38"/>
  <c r="H4" i="38"/>
  <c r="C4" i="38"/>
  <c r="AG3" i="38"/>
  <c r="AF3" i="38"/>
  <c r="X3" i="38"/>
  <c r="W3" i="38"/>
  <c r="V3" i="38"/>
  <c r="U3" i="38"/>
  <c r="T3" i="38"/>
  <c r="O3" i="38"/>
  <c r="G3" i="38"/>
  <c r="H3" i="38" s="1"/>
  <c r="F3" i="38"/>
  <c r="D3" i="38"/>
  <c r="C3" i="38"/>
  <c r="A2" i="38"/>
  <c r="A1" i="38"/>
  <c r="AB32" i="37"/>
  <c r="AD32" i="37" s="1"/>
  <c r="J32" i="37" s="1"/>
  <c r="Y32" i="37"/>
  <c r="X32" i="37"/>
  <c r="V32" i="37"/>
  <c r="U32" i="37"/>
  <c r="T32" i="37"/>
  <c r="P32" i="37"/>
  <c r="O32" i="37"/>
  <c r="Q32" i="37" s="1"/>
  <c r="M32" i="37"/>
  <c r="H32" i="37"/>
  <c r="C32" i="37"/>
  <c r="AD31" i="37"/>
  <c r="AB31" i="37"/>
  <c r="Y31" i="37"/>
  <c r="X31" i="37"/>
  <c r="P31" i="37"/>
  <c r="O31" i="37"/>
  <c r="Q31" i="37" s="1"/>
  <c r="M31" i="37"/>
  <c r="J31" i="37"/>
  <c r="K31" i="37" s="1"/>
  <c r="H31" i="37"/>
  <c r="C31" i="37"/>
  <c r="AB30" i="37"/>
  <c r="AD30" i="37" s="1"/>
  <c r="J30" i="37" s="1"/>
  <c r="K30" i="37" s="1"/>
  <c r="Y30" i="37"/>
  <c r="X30" i="37"/>
  <c r="P30" i="37"/>
  <c r="Q30" i="37" s="1"/>
  <c r="O30" i="37"/>
  <c r="M30" i="37"/>
  <c r="H30" i="37"/>
  <c r="C30" i="37"/>
  <c r="AD29" i="37"/>
  <c r="J29" i="37" s="1"/>
  <c r="I29" i="37" s="1"/>
  <c r="AB29" i="37"/>
  <c r="Y29" i="37"/>
  <c r="X29" i="37"/>
  <c r="P29" i="37"/>
  <c r="O29" i="37"/>
  <c r="Q29" i="37" s="1"/>
  <c r="M29" i="37"/>
  <c r="K29" i="37"/>
  <c r="H29" i="37"/>
  <c r="C29" i="37"/>
  <c r="AD28" i="37"/>
  <c r="J28" i="37" s="1"/>
  <c r="AB28" i="37"/>
  <c r="Y28" i="37"/>
  <c r="X28" i="37"/>
  <c r="Q28" i="37"/>
  <c r="P28" i="37"/>
  <c r="O28" i="37"/>
  <c r="M28" i="37"/>
  <c r="H28" i="37"/>
  <c r="C28" i="37"/>
  <c r="AB27" i="37"/>
  <c r="AD27" i="37" s="1"/>
  <c r="J27" i="37" s="1"/>
  <c r="Y27" i="37"/>
  <c r="X27" i="37"/>
  <c r="Q27" i="37"/>
  <c r="P27" i="37"/>
  <c r="O27" i="37"/>
  <c r="M27" i="37"/>
  <c r="H27" i="37"/>
  <c r="C27" i="37"/>
  <c r="AB26" i="37"/>
  <c r="AD26" i="37" s="1"/>
  <c r="J26" i="37" s="1"/>
  <c r="I26" i="37" s="1"/>
  <c r="Y26" i="37"/>
  <c r="X26" i="37"/>
  <c r="P26" i="37"/>
  <c r="O26" i="37"/>
  <c r="Q26" i="37" s="1"/>
  <c r="M26" i="37"/>
  <c r="K26" i="37"/>
  <c r="H26" i="37"/>
  <c r="C26" i="37"/>
  <c r="AB25" i="37"/>
  <c r="AD25" i="37" s="1"/>
  <c r="Y25" i="37"/>
  <c r="X25" i="37"/>
  <c r="Q25" i="37"/>
  <c r="P25" i="37"/>
  <c r="O25" i="37"/>
  <c r="M25" i="37"/>
  <c r="J25" i="37"/>
  <c r="K25" i="37" s="1"/>
  <c r="H25" i="37"/>
  <c r="C25" i="37"/>
  <c r="AD24" i="37"/>
  <c r="J24" i="37" s="1"/>
  <c r="AB24" i="37"/>
  <c r="Y24" i="37"/>
  <c r="X24" i="37"/>
  <c r="Q24" i="37"/>
  <c r="P24" i="37"/>
  <c r="O24" i="37"/>
  <c r="M24" i="37"/>
  <c r="H24" i="37"/>
  <c r="C24" i="37"/>
  <c r="AB23" i="37"/>
  <c r="AD23" i="37" s="1"/>
  <c r="J23" i="37" s="1"/>
  <c r="Y23" i="37"/>
  <c r="X23" i="37"/>
  <c r="P23" i="37"/>
  <c r="O23" i="37"/>
  <c r="Q23" i="37" s="1"/>
  <c r="M23" i="37"/>
  <c r="H23" i="37"/>
  <c r="C23" i="37"/>
  <c r="AB22" i="37"/>
  <c r="AD22" i="37" s="1"/>
  <c r="J22" i="37" s="1"/>
  <c r="K22" i="37" s="1"/>
  <c r="Y22" i="37"/>
  <c r="X22" i="37"/>
  <c r="Q22" i="37"/>
  <c r="P22" i="37"/>
  <c r="O22" i="37"/>
  <c r="M22" i="37"/>
  <c r="H22" i="37"/>
  <c r="C22" i="37"/>
  <c r="AD21" i="37"/>
  <c r="J21" i="37" s="1"/>
  <c r="I21" i="37" s="1"/>
  <c r="AB21" i="37"/>
  <c r="Y21" i="37"/>
  <c r="X21" i="37"/>
  <c r="P21" i="37"/>
  <c r="O21" i="37"/>
  <c r="M21" i="37"/>
  <c r="K21" i="37"/>
  <c r="H21" i="37"/>
  <c r="C21" i="37"/>
  <c r="AB20" i="37"/>
  <c r="AD20" i="37" s="1"/>
  <c r="J20" i="37" s="1"/>
  <c r="Y20" i="37"/>
  <c r="X20" i="37"/>
  <c r="Q20" i="37"/>
  <c r="P20" i="37"/>
  <c r="O20" i="37"/>
  <c r="M20" i="37"/>
  <c r="H20" i="37"/>
  <c r="C20" i="37"/>
  <c r="AB19" i="37"/>
  <c r="AD19" i="37" s="1"/>
  <c r="J19" i="37" s="1"/>
  <c r="Y19" i="37"/>
  <c r="X19" i="37"/>
  <c r="P19" i="37"/>
  <c r="O19" i="37"/>
  <c r="Q19" i="37" s="1"/>
  <c r="M19" i="37"/>
  <c r="H19" i="37"/>
  <c r="C19" i="37"/>
  <c r="AB18" i="37"/>
  <c r="AD18" i="37" s="1"/>
  <c r="J18" i="37" s="1"/>
  <c r="Y18" i="37"/>
  <c r="X18" i="37"/>
  <c r="P18" i="37"/>
  <c r="O18" i="37"/>
  <c r="Q18" i="37" s="1"/>
  <c r="M18" i="37"/>
  <c r="H18" i="37"/>
  <c r="C18" i="37"/>
  <c r="AB17" i="37"/>
  <c r="AD17" i="37" s="1"/>
  <c r="J17" i="37" s="1"/>
  <c r="Y17" i="37"/>
  <c r="X17" i="37"/>
  <c r="Q17" i="37"/>
  <c r="P17" i="37"/>
  <c r="O17" i="37"/>
  <c r="M17" i="37"/>
  <c r="H17" i="37"/>
  <c r="C17" i="37"/>
  <c r="AD16" i="37"/>
  <c r="J16" i="37" s="1"/>
  <c r="AB16" i="37"/>
  <c r="Y16" i="37"/>
  <c r="X16" i="37"/>
  <c r="P16" i="37"/>
  <c r="O16" i="37"/>
  <c r="Q16" i="37" s="1"/>
  <c r="M16" i="37"/>
  <c r="H16" i="37"/>
  <c r="C16" i="37"/>
  <c r="AD15" i="37"/>
  <c r="AB15" i="37"/>
  <c r="Y15" i="37"/>
  <c r="X15" i="37"/>
  <c r="P15" i="37"/>
  <c r="O15" i="37"/>
  <c r="Q15" i="37" s="1"/>
  <c r="M15" i="37"/>
  <c r="K15" i="37"/>
  <c r="J15" i="37"/>
  <c r="I15" i="37" s="1"/>
  <c r="H15" i="37"/>
  <c r="C15" i="37"/>
  <c r="AB14" i="37"/>
  <c r="AD14" i="37" s="1"/>
  <c r="J14" i="37" s="1"/>
  <c r="K14" i="37" s="1"/>
  <c r="Y14" i="37"/>
  <c r="X14" i="37"/>
  <c r="Q14" i="37"/>
  <c r="P14" i="37"/>
  <c r="O14" i="37"/>
  <c r="M14" i="37"/>
  <c r="H14" i="37"/>
  <c r="C14" i="37"/>
  <c r="AD13" i="37"/>
  <c r="J13" i="37" s="1"/>
  <c r="I13" i="37" s="1"/>
  <c r="AB13" i="37"/>
  <c r="Y13" i="37"/>
  <c r="X13" i="37"/>
  <c r="P13" i="37"/>
  <c r="O13" i="37"/>
  <c r="Q13" i="37" s="1"/>
  <c r="M13" i="37"/>
  <c r="H13" i="37"/>
  <c r="C13" i="37"/>
  <c r="AD12" i="37"/>
  <c r="AB12" i="37"/>
  <c r="Y12" i="37"/>
  <c r="X12" i="37"/>
  <c r="Q12" i="37"/>
  <c r="P12" i="37"/>
  <c r="O12" i="37"/>
  <c r="M12" i="37"/>
  <c r="H12" i="37"/>
  <c r="C12" i="37"/>
  <c r="AB11" i="37"/>
  <c r="AD11" i="37" s="1"/>
  <c r="J11" i="37" s="1"/>
  <c r="Y11" i="37"/>
  <c r="X11" i="37"/>
  <c r="P11" i="37"/>
  <c r="Q11" i="37" s="1"/>
  <c r="O11" i="37"/>
  <c r="M11" i="37"/>
  <c r="H11" i="37"/>
  <c r="C11" i="37"/>
  <c r="AB10" i="37"/>
  <c r="AD10" i="37" s="1"/>
  <c r="J10" i="37" s="1"/>
  <c r="Y10" i="37"/>
  <c r="X10" i="37"/>
  <c r="P10" i="37"/>
  <c r="O10" i="37"/>
  <c r="Q10" i="37" s="1"/>
  <c r="M10" i="37"/>
  <c r="H10" i="37"/>
  <c r="C10" i="37"/>
  <c r="AB9" i="37"/>
  <c r="AD9" i="37" s="1"/>
  <c r="Y9" i="37"/>
  <c r="X9" i="37"/>
  <c r="Q9" i="37"/>
  <c r="P9" i="37"/>
  <c r="O9" i="37"/>
  <c r="M9" i="37"/>
  <c r="J9" i="37"/>
  <c r="K9" i="37" s="1"/>
  <c r="H9" i="37"/>
  <c r="C9" i="37"/>
  <c r="AD8" i="37"/>
  <c r="J8" i="37" s="1"/>
  <c r="AB8" i="37"/>
  <c r="Y8" i="37"/>
  <c r="X8" i="37"/>
  <c r="Q8" i="37"/>
  <c r="P8" i="37"/>
  <c r="O8" i="37"/>
  <c r="M8" i="37"/>
  <c r="H8" i="37"/>
  <c r="C8" i="37"/>
  <c r="AB7" i="37"/>
  <c r="AD7" i="37" s="1"/>
  <c r="J7" i="37" s="1"/>
  <c r="K7" i="37" s="1"/>
  <c r="Y7" i="37"/>
  <c r="X7" i="37"/>
  <c r="P7" i="37"/>
  <c r="O7" i="37"/>
  <c r="Q7" i="37" s="1"/>
  <c r="M7" i="37"/>
  <c r="I7" i="37"/>
  <c r="H7" i="37"/>
  <c r="C7" i="37"/>
  <c r="AB6" i="37"/>
  <c r="AD6" i="37" s="1"/>
  <c r="J6" i="37" s="1"/>
  <c r="K6" i="37" s="1"/>
  <c r="Y6" i="37"/>
  <c r="X6" i="37"/>
  <c r="P6" i="37"/>
  <c r="Q6" i="37" s="1"/>
  <c r="O6" i="37"/>
  <c r="M6" i="37"/>
  <c r="I6" i="37"/>
  <c r="H6" i="37"/>
  <c r="C6" i="37"/>
  <c r="AD5" i="37"/>
  <c r="J5" i="37" s="1"/>
  <c r="I5" i="37" s="1"/>
  <c r="AB5" i="37"/>
  <c r="Y5" i="37"/>
  <c r="X5" i="37"/>
  <c r="P5" i="37"/>
  <c r="O5" i="37"/>
  <c r="Q5" i="37" s="1"/>
  <c r="M5" i="37"/>
  <c r="H5" i="37"/>
  <c r="C5" i="37"/>
  <c r="AG3" i="37"/>
  <c r="AF3" i="37"/>
  <c r="X3" i="37"/>
  <c r="W3" i="37"/>
  <c r="V3" i="37"/>
  <c r="U3" i="37"/>
  <c r="T3" i="37"/>
  <c r="O3" i="37"/>
  <c r="H3" i="37"/>
  <c r="G3" i="37"/>
  <c r="F3" i="37"/>
  <c r="D3" i="37"/>
  <c r="C3" i="37"/>
  <c r="A2" i="37"/>
  <c r="A1" i="37"/>
  <c r="AD32" i="36"/>
  <c r="J32" i="36" s="1"/>
  <c r="AB32" i="36"/>
  <c r="Y32" i="36"/>
  <c r="X32" i="36"/>
  <c r="V32" i="36"/>
  <c r="U32" i="36"/>
  <c r="T32" i="36"/>
  <c r="Q32" i="36"/>
  <c r="P32" i="36"/>
  <c r="O32" i="36"/>
  <c r="M32" i="36"/>
  <c r="H32" i="36"/>
  <c r="C32" i="36"/>
  <c r="AD31" i="36"/>
  <c r="J31" i="36" s="1"/>
  <c r="AB31" i="36"/>
  <c r="Y31" i="36"/>
  <c r="X31" i="36"/>
  <c r="P31" i="36"/>
  <c r="O31" i="36"/>
  <c r="Q31" i="36" s="1"/>
  <c r="M31" i="36"/>
  <c r="H31" i="36"/>
  <c r="C31" i="36"/>
  <c r="AB30" i="36"/>
  <c r="AD30" i="36" s="1"/>
  <c r="J30" i="36" s="1"/>
  <c r="Y30" i="36"/>
  <c r="X30" i="36"/>
  <c r="P30" i="36"/>
  <c r="O30" i="36"/>
  <c r="Q30" i="36" s="1"/>
  <c r="M30" i="36"/>
  <c r="H30" i="36"/>
  <c r="C30" i="36"/>
  <c r="AB29" i="36"/>
  <c r="AD29" i="36" s="1"/>
  <c r="J29" i="36" s="1"/>
  <c r="Y29" i="36"/>
  <c r="X29" i="36"/>
  <c r="P29" i="36"/>
  <c r="Q29" i="36" s="1"/>
  <c r="O29" i="36"/>
  <c r="M29" i="36"/>
  <c r="H29" i="36"/>
  <c r="C29" i="36"/>
  <c r="AD28" i="36"/>
  <c r="J28" i="36" s="1"/>
  <c r="I28" i="36" s="1"/>
  <c r="AB28" i="36"/>
  <c r="Y28" i="36"/>
  <c r="X28" i="36"/>
  <c r="P28" i="36"/>
  <c r="O28" i="36"/>
  <c r="Q28" i="36" s="1"/>
  <c r="M28" i="36"/>
  <c r="H28" i="36"/>
  <c r="C28" i="36"/>
  <c r="AB27" i="36"/>
  <c r="AD27" i="36" s="1"/>
  <c r="J27" i="36" s="1"/>
  <c r="Y27" i="36"/>
  <c r="X27" i="36"/>
  <c r="Q27" i="36"/>
  <c r="P27" i="36"/>
  <c r="O27" i="36"/>
  <c r="M27" i="36"/>
  <c r="H27" i="36"/>
  <c r="C27" i="36"/>
  <c r="AB26" i="36"/>
  <c r="AD26" i="36" s="1"/>
  <c r="J26" i="36" s="1"/>
  <c r="Y26" i="36"/>
  <c r="X26" i="36"/>
  <c r="P26" i="36"/>
  <c r="Q26" i="36" s="1"/>
  <c r="O26" i="36"/>
  <c r="M26" i="36"/>
  <c r="H26" i="36"/>
  <c r="C26" i="36"/>
  <c r="AD25" i="36"/>
  <c r="AB25" i="36"/>
  <c r="Y25" i="36"/>
  <c r="X25" i="36"/>
  <c r="P25" i="36"/>
  <c r="O25" i="36"/>
  <c r="Q25" i="36" s="1"/>
  <c r="M25" i="36"/>
  <c r="K25" i="36"/>
  <c r="J25" i="36"/>
  <c r="I25" i="36" s="1"/>
  <c r="H25" i="36"/>
  <c r="C25" i="36"/>
  <c r="AB24" i="36"/>
  <c r="AD24" i="36" s="1"/>
  <c r="J24" i="36" s="1"/>
  <c r="Y24" i="36"/>
  <c r="X24" i="36"/>
  <c r="Q24" i="36"/>
  <c r="P24" i="36"/>
  <c r="O24" i="36"/>
  <c r="M24" i="36"/>
  <c r="H24" i="36"/>
  <c r="C24" i="36"/>
  <c r="AD23" i="36"/>
  <c r="J23" i="36" s="1"/>
  <c r="AB23" i="36"/>
  <c r="Y23" i="36"/>
  <c r="X23" i="36"/>
  <c r="P23" i="36"/>
  <c r="Q23" i="36" s="1"/>
  <c r="O23" i="36"/>
  <c r="M23" i="36"/>
  <c r="H23" i="36"/>
  <c r="C23" i="36"/>
  <c r="AD22" i="36"/>
  <c r="AB22" i="36"/>
  <c r="Y22" i="36"/>
  <c r="X22" i="36"/>
  <c r="P22" i="36"/>
  <c r="O22" i="36"/>
  <c r="Q22" i="36" s="1"/>
  <c r="M22" i="36"/>
  <c r="J22" i="36"/>
  <c r="I22" i="36" s="1"/>
  <c r="H22" i="36"/>
  <c r="C22" i="36"/>
  <c r="AB21" i="36"/>
  <c r="AD21" i="36" s="1"/>
  <c r="J21" i="36" s="1"/>
  <c r="K21" i="36" s="1"/>
  <c r="Y21" i="36"/>
  <c r="X21" i="36"/>
  <c r="P21" i="36"/>
  <c r="Q21" i="36" s="1"/>
  <c r="O21" i="36"/>
  <c r="M21" i="36"/>
  <c r="I21" i="36"/>
  <c r="H21" i="36"/>
  <c r="C21" i="36"/>
  <c r="AD20" i="36"/>
  <c r="J20" i="36" s="1"/>
  <c r="AB20" i="36"/>
  <c r="Y20" i="36"/>
  <c r="X20" i="36"/>
  <c r="P20" i="36"/>
  <c r="O20" i="36"/>
  <c r="Q20" i="36" s="1"/>
  <c r="M20" i="36"/>
  <c r="H20" i="36"/>
  <c r="C20" i="36"/>
  <c r="AD19" i="36"/>
  <c r="J19" i="36" s="1"/>
  <c r="I19" i="36" s="1"/>
  <c r="AB19" i="36"/>
  <c r="Y19" i="36"/>
  <c r="X19" i="36"/>
  <c r="Q19" i="36"/>
  <c r="P19" i="36"/>
  <c r="O19" i="36"/>
  <c r="M19" i="36"/>
  <c r="K19" i="36"/>
  <c r="H19" i="36"/>
  <c r="C19" i="36"/>
  <c r="AB18" i="36"/>
  <c r="AD18" i="36" s="1"/>
  <c r="J18" i="36" s="1"/>
  <c r="Y18" i="36"/>
  <c r="X18" i="36"/>
  <c r="Q18" i="36"/>
  <c r="P18" i="36"/>
  <c r="O18" i="36"/>
  <c r="M18" i="36"/>
  <c r="H18" i="36"/>
  <c r="C18" i="36"/>
  <c r="AD17" i="36"/>
  <c r="AB17" i="36"/>
  <c r="Y17" i="36"/>
  <c r="X17" i="36"/>
  <c r="P17" i="36"/>
  <c r="O17" i="36"/>
  <c r="Q17" i="36" s="1"/>
  <c r="M17" i="36"/>
  <c r="J17" i="36"/>
  <c r="H17" i="36"/>
  <c r="C17" i="36"/>
  <c r="AB16" i="36"/>
  <c r="AD16" i="36" s="1"/>
  <c r="Y16" i="36"/>
  <c r="X16" i="36"/>
  <c r="Q16" i="36"/>
  <c r="P16" i="36"/>
  <c r="O16" i="36"/>
  <c r="M16" i="36"/>
  <c r="J16" i="36"/>
  <c r="H16" i="36"/>
  <c r="C16" i="36"/>
  <c r="AD15" i="36"/>
  <c r="J15" i="36" s="1"/>
  <c r="AB15" i="36"/>
  <c r="Y15" i="36"/>
  <c r="X15" i="36"/>
  <c r="Q15" i="36"/>
  <c r="P15" i="36"/>
  <c r="O15" i="36"/>
  <c r="M15" i="36"/>
  <c r="H15" i="36"/>
  <c r="C15" i="36"/>
  <c r="AB14" i="36"/>
  <c r="AD14" i="36" s="1"/>
  <c r="J14" i="36" s="1"/>
  <c r="Y14" i="36"/>
  <c r="X14" i="36"/>
  <c r="P14" i="36"/>
  <c r="O14" i="36"/>
  <c r="Q14" i="36" s="1"/>
  <c r="M14" i="36"/>
  <c r="H14" i="36"/>
  <c r="C14" i="36"/>
  <c r="AB13" i="36"/>
  <c r="AD13" i="36" s="1"/>
  <c r="J13" i="36" s="1"/>
  <c r="K13" i="36" s="1"/>
  <c r="Y13" i="36"/>
  <c r="X13" i="36"/>
  <c r="P13" i="36"/>
  <c r="Q13" i="36" s="1"/>
  <c r="O13" i="36"/>
  <c r="M13" i="36"/>
  <c r="H13" i="36"/>
  <c r="C13" i="36"/>
  <c r="AD12" i="36"/>
  <c r="J12" i="36" s="1"/>
  <c r="I12" i="36" s="1"/>
  <c r="AB12" i="36"/>
  <c r="Y12" i="36"/>
  <c r="X12" i="36"/>
  <c r="P12" i="36"/>
  <c r="O12" i="36"/>
  <c r="M12" i="36"/>
  <c r="K12" i="36"/>
  <c r="H12" i="36"/>
  <c r="C12" i="36"/>
  <c r="AD11" i="36"/>
  <c r="J11" i="36" s="1"/>
  <c r="AB11" i="36"/>
  <c r="Y11" i="36"/>
  <c r="X11" i="36"/>
  <c r="Q11" i="36"/>
  <c r="P11" i="36"/>
  <c r="O11" i="36"/>
  <c r="M11" i="36"/>
  <c r="H11" i="36"/>
  <c r="C11" i="36"/>
  <c r="AB10" i="36"/>
  <c r="AD10" i="36" s="1"/>
  <c r="J10" i="36" s="1"/>
  <c r="Y10" i="36"/>
  <c r="X10" i="36"/>
  <c r="Q10" i="36"/>
  <c r="P10" i="36"/>
  <c r="O10" i="36"/>
  <c r="M10" i="36"/>
  <c r="H10" i="36"/>
  <c r="C10" i="36"/>
  <c r="AB9" i="36"/>
  <c r="AD9" i="36" s="1"/>
  <c r="J9" i="36" s="1"/>
  <c r="Y9" i="36"/>
  <c r="X9" i="36"/>
  <c r="P9" i="36"/>
  <c r="O9" i="36"/>
  <c r="Q9" i="36" s="1"/>
  <c r="M9" i="36"/>
  <c r="H9" i="36"/>
  <c r="C9" i="36"/>
  <c r="AB8" i="36"/>
  <c r="AD8" i="36" s="1"/>
  <c r="Y8" i="36"/>
  <c r="X8" i="36"/>
  <c r="Q8" i="36"/>
  <c r="P8" i="36"/>
  <c r="O8" i="36"/>
  <c r="M8" i="36"/>
  <c r="J8" i="36"/>
  <c r="H8" i="36"/>
  <c r="C8" i="36"/>
  <c r="AD7" i="36"/>
  <c r="J7" i="36" s="1"/>
  <c r="AB7" i="36"/>
  <c r="Y7" i="36"/>
  <c r="X7" i="36"/>
  <c r="Q7" i="36"/>
  <c r="P7" i="36"/>
  <c r="O7" i="36"/>
  <c r="M7" i="36"/>
  <c r="H7" i="36"/>
  <c r="C7" i="36"/>
  <c r="AB6" i="36"/>
  <c r="AD6" i="36" s="1"/>
  <c r="J6" i="36" s="1"/>
  <c r="Y6" i="36"/>
  <c r="X6" i="36"/>
  <c r="P6" i="36"/>
  <c r="O6" i="36"/>
  <c r="Q6" i="36" s="1"/>
  <c r="M6" i="36"/>
  <c r="H6" i="36"/>
  <c r="C6" i="36"/>
  <c r="AB5" i="36"/>
  <c r="AD5" i="36" s="1"/>
  <c r="J5" i="36" s="1"/>
  <c r="K5" i="36" s="1"/>
  <c r="Y5" i="36"/>
  <c r="X5" i="36"/>
  <c r="Q5" i="36"/>
  <c r="P5" i="36"/>
  <c r="O5" i="36"/>
  <c r="M5" i="36"/>
  <c r="H5" i="36"/>
  <c r="C5" i="36"/>
  <c r="AD4" i="36"/>
  <c r="J4" i="36" s="1"/>
  <c r="I4" i="36" s="1"/>
  <c r="AB4" i="36"/>
  <c r="Y4" i="36"/>
  <c r="X4" i="36"/>
  <c r="P4" i="36"/>
  <c r="O4" i="36"/>
  <c r="Q4" i="36" s="1"/>
  <c r="M4" i="36"/>
  <c r="H4" i="36"/>
  <c r="C4" i="36"/>
  <c r="AG3" i="36"/>
  <c r="AF3" i="36"/>
  <c r="X3" i="36"/>
  <c r="W3" i="36"/>
  <c r="V3" i="36"/>
  <c r="U3" i="36"/>
  <c r="T3" i="36"/>
  <c r="O3" i="36"/>
  <c r="H3" i="36"/>
  <c r="G3" i="36"/>
  <c r="F3" i="36"/>
  <c r="D3" i="36"/>
  <c r="C3" i="36"/>
  <c r="A2" i="36"/>
  <c r="A1" i="36"/>
  <c r="AD32" i="35"/>
  <c r="J32" i="35" s="1"/>
  <c r="AB32" i="35"/>
  <c r="Y32" i="35"/>
  <c r="X32" i="35"/>
  <c r="V32" i="35"/>
  <c r="U32" i="35"/>
  <c r="T32" i="35"/>
  <c r="Q32" i="35"/>
  <c r="P32" i="35"/>
  <c r="O32" i="35"/>
  <c r="M32" i="35"/>
  <c r="H32" i="35"/>
  <c r="C32" i="35"/>
  <c r="AD31" i="35"/>
  <c r="J31" i="35" s="1"/>
  <c r="AB31" i="35"/>
  <c r="Y31" i="35"/>
  <c r="X31" i="35"/>
  <c r="Q31" i="35"/>
  <c r="P31" i="35"/>
  <c r="O31" i="35"/>
  <c r="M31" i="35"/>
  <c r="H31" i="35"/>
  <c r="C31" i="35"/>
  <c r="AB30" i="35"/>
  <c r="AD30" i="35" s="1"/>
  <c r="J30" i="35" s="1"/>
  <c r="I30" i="35" s="1"/>
  <c r="Y30" i="35"/>
  <c r="X30" i="35"/>
  <c r="P30" i="35"/>
  <c r="O30" i="35"/>
  <c r="Q30" i="35" s="1"/>
  <c r="M30" i="35"/>
  <c r="H30" i="35"/>
  <c r="C30" i="35"/>
  <c r="AB29" i="35"/>
  <c r="AD29" i="35" s="1"/>
  <c r="J29" i="35" s="1"/>
  <c r="K29" i="35" s="1"/>
  <c r="Y29" i="35"/>
  <c r="X29" i="35"/>
  <c r="Q29" i="35"/>
  <c r="P29" i="35"/>
  <c r="O29" i="35"/>
  <c r="M29" i="35"/>
  <c r="H29" i="35"/>
  <c r="C29" i="35"/>
  <c r="AD28" i="35"/>
  <c r="J28" i="35" s="1"/>
  <c r="I28" i="35" s="1"/>
  <c r="AB28" i="35"/>
  <c r="Y28" i="35"/>
  <c r="X28" i="35"/>
  <c r="P28" i="35"/>
  <c r="O28" i="35"/>
  <c r="M28" i="35"/>
  <c r="H28" i="35"/>
  <c r="C28" i="35"/>
  <c r="AB27" i="35"/>
  <c r="AD27" i="35" s="1"/>
  <c r="J27" i="35" s="1"/>
  <c r="Y27" i="35"/>
  <c r="X27" i="35"/>
  <c r="Q27" i="35"/>
  <c r="P27" i="35"/>
  <c r="O27" i="35"/>
  <c r="M27" i="35"/>
  <c r="H27" i="35"/>
  <c r="C27" i="35"/>
  <c r="AB26" i="35"/>
  <c r="AD26" i="35" s="1"/>
  <c r="J26" i="35" s="1"/>
  <c r="Y26" i="35"/>
  <c r="X26" i="35"/>
  <c r="P26" i="35"/>
  <c r="O26" i="35"/>
  <c r="Q26" i="35" s="1"/>
  <c r="M26" i="35"/>
  <c r="H26" i="35"/>
  <c r="C26" i="35"/>
  <c r="AD25" i="35"/>
  <c r="AB25" i="35"/>
  <c r="Y25" i="35"/>
  <c r="X25" i="35"/>
  <c r="P25" i="35"/>
  <c r="O25" i="35"/>
  <c r="Q25" i="35" s="1"/>
  <c r="M25" i="35"/>
  <c r="K25" i="35"/>
  <c r="J25" i="35"/>
  <c r="I25" i="35" s="1"/>
  <c r="H25" i="35"/>
  <c r="C25" i="35"/>
  <c r="AB24" i="35"/>
  <c r="AD24" i="35" s="1"/>
  <c r="J24" i="35" s="1"/>
  <c r="Y24" i="35"/>
  <c r="X24" i="35"/>
  <c r="Q24" i="35"/>
  <c r="P24" i="35"/>
  <c r="O24" i="35"/>
  <c r="M24" i="35"/>
  <c r="H24" i="35"/>
  <c r="C24" i="35"/>
  <c r="AD23" i="35"/>
  <c r="J23" i="35" s="1"/>
  <c r="AB23" i="35"/>
  <c r="Y23" i="35"/>
  <c r="X23" i="35"/>
  <c r="P23" i="35"/>
  <c r="O23" i="35"/>
  <c r="Q23" i="35" s="1"/>
  <c r="M23" i="35"/>
  <c r="H23" i="35"/>
  <c r="C23" i="35"/>
  <c r="AB22" i="35"/>
  <c r="AD22" i="35" s="1"/>
  <c r="J22" i="35" s="1"/>
  <c r="Y22" i="35"/>
  <c r="X22" i="35"/>
  <c r="P22" i="35"/>
  <c r="O22" i="35"/>
  <c r="Q22" i="35" s="1"/>
  <c r="M22" i="35"/>
  <c r="H22" i="35"/>
  <c r="C22" i="35"/>
  <c r="AB21" i="35"/>
  <c r="AD21" i="35" s="1"/>
  <c r="J21" i="35" s="1"/>
  <c r="K21" i="35" s="1"/>
  <c r="Y21" i="35"/>
  <c r="X21" i="35"/>
  <c r="P21" i="35"/>
  <c r="Q21" i="35" s="1"/>
  <c r="O21" i="35"/>
  <c r="M21" i="35"/>
  <c r="H21" i="35"/>
  <c r="C21" i="35"/>
  <c r="AD20" i="35"/>
  <c r="J20" i="35" s="1"/>
  <c r="I20" i="35" s="1"/>
  <c r="AB20" i="35"/>
  <c r="Y20" i="35"/>
  <c r="X20" i="35"/>
  <c r="P20" i="35"/>
  <c r="O20" i="35"/>
  <c r="Q20" i="35" s="1"/>
  <c r="M20" i="35"/>
  <c r="K20" i="35"/>
  <c r="H20" i="35"/>
  <c r="C20" i="35"/>
  <c r="AB19" i="35"/>
  <c r="AD19" i="35" s="1"/>
  <c r="J19" i="35" s="1"/>
  <c r="Y19" i="35"/>
  <c r="X19" i="35"/>
  <c r="Q19" i="35"/>
  <c r="P19" i="35"/>
  <c r="O19" i="35"/>
  <c r="M19" i="35"/>
  <c r="H19" i="35"/>
  <c r="C19" i="35"/>
  <c r="AB18" i="35"/>
  <c r="AD18" i="35" s="1"/>
  <c r="J18" i="35" s="1"/>
  <c r="Y18" i="35"/>
  <c r="X18" i="35"/>
  <c r="Q18" i="35"/>
  <c r="P18" i="35"/>
  <c r="O18" i="35"/>
  <c r="M18" i="35"/>
  <c r="H18" i="35"/>
  <c r="C18" i="35"/>
  <c r="AB17" i="35"/>
  <c r="AD17" i="35" s="1"/>
  <c r="J17" i="35" s="1"/>
  <c r="Y17" i="35"/>
  <c r="X17" i="35"/>
  <c r="P17" i="35"/>
  <c r="O17" i="35"/>
  <c r="Q17" i="35" s="1"/>
  <c r="M17" i="35"/>
  <c r="H17" i="35"/>
  <c r="C17" i="35"/>
  <c r="AB16" i="35"/>
  <c r="AD16" i="35" s="1"/>
  <c r="Y16" i="35"/>
  <c r="X16" i="35"/>
  <c r="Q16" i="35"/>
  <c r="P16" i="35"/>
  <c r="O16" i="35"/>
  <c r="M16" i="35"/>
  <c r="J16" i="35"/>
  <c r="H16" i="35"/>
  <c r="C16" i="35"/>
  <c r="AD15" i="35"/>
  <c r="J15" i="35" s="1"/>
  <c r="AB15" i="35"/>
  <c r="Y15" i="35"/>
  <c r="X15" i="35"/>
  <c r="Q15" i="35"/>
  <c r="P15" i="35"/>
  <c r="O15" i="35"/>
  <c r="M15" i="35"/>
  <c r="H15" i="35"/>
  <c r="C15" i="35"/>
  <c r="AB14" i="35"/>
  <c r="AD14" i="35" s="1"/>
  <c r="J14" i="35" s="1"/>
  <c r="K14" i="35" s="1"/>
  <c r="Y14" i="35"/>
  <c r="X14" i="35"/>
  <c r="P14" i="35"/>
  <c r="O14" i="35"/>
  <c r="Q14" i="35" s="1"/>
  <c r="M14" i="35"/>
  <c r="H14" i="35"/>
  <c r="C14" i="35"/>
  <c r="AB13" i="35"/>
  <c r="AD13" i="35" s="1"/>
  <c r="J13" i="35" s="1"/>
  <c r="K13" i="35" s="1"/>
  <c r="Y13" i="35"/>
  <c r="X13" i="35"/>
  <c r="Q13" i="35"/>
  <c r="P13" i="35"/>
  <c r="O13" i="35"/>
  <c r="M13" i="35"/>
  <c r="I13" i="35"/>
  <c r="H13" i="35"/>
  <c r="C13" i="35"/>
  <c r="AD12" i="35"/>
  <c r="J12" i="35" s="1"/>
  <c r="I12" i="35" s="1"/>
  <c r="AB12" i="35"/>
  <c r="Y12" i="35"/>
  <c r="X12" i="35"/>
  <c r="P12" i="35"/>
  <c r="O12" i="35"/>
  <c r="Q12" i="35" s="1"/>
  <c r="M12" i="35"/>
  <c r="H12" i="35"/>
  <c r="C12" i="35"/>
  <c r="AB11" i="35"/>
  <c r="AD11" i="35" s="1"/>
  <c r="Y11" i="35"/>
  <c r="X11" i="35"/>
  <c r="Q11" i="35"/>
  <c r="P11" i="35"/>
  <c r="O11" i="35"/>
  <c r="M11" i="35"/>
  <c r="J11" i="35"/>
  <c r="K11" i="35" s="1"/>
  <c r="H11" i="35"/>
  <c r="C11" i="35"/>
  <c r="AB10" i="35"/>
  <c r="AD10" i="35" s="1"/>
  <c r="J10" i="35" s="1"/>
  <c r="Y10" i="35"/>
  <c r="X10" i="35"/>
  <c r="P10" i="35"/>
  <c r="O10" i="35"/>
  <c r="M10" i="35"/>
  <c r="H10" i="35"/>
  <c r="C10" i="35"/>
  <c r="AD9" i="35"/>
  <c r="AB9" i="35"/>
  <c r="Y9" i="35"/>
  <c r="X9" i="35"/>
  <c r="P9" i="35"/>
  <c r="O9" i="35"/>
  <c r="Q9" i="35" s="1"/>
  <c r="M9" i="35"/>
  <c r="J9" i="35"/>
  <c r="K9" i="35" s="1"/>
  <c r="H9" i="35"/>
  <c r="C9" i="35"/>
  <c r="AB8" i="35"/>
  <c r="AD8" i="35" s="1"/>
  <c r="J8" i="35" s="1"/>
  <c r="Y8" i="35"/>
  <c r="X8" i="35"/>
  <c r="P8" i="35"/>
  <c r="Q8" i="35" s="1"/>
  <c r="O8" i="35"/>
  <c r="M8" i="35"/>
  <c r="H8" i="35"/>
  <c r="C8" i="35"/>
  <c r="AD7" i="35"/>
  <c r="J7" i="35" s="1"/>
  <c r="I7" i="35" s="1"/>
  <c r="AB7" i="35"/>
  <c r="Y7" i="35"/>
  <c r="X7" i="35"/>
  <c r="P7" i="35"/>
  <c r="O7" i="35"/>
  <c r="Q7" i="35" s="1"/>
  <c r="M7" i="35"/>
  <c r="K7" i="35"/>
  <c r="H7" i="35"/>
  <c r="C7" i="35"/>
  <c r="AB6" i="35"/>
  <c r="AD6" i="35" s="1"/>
  <c r="J6" i="35" s="1"/>
  <c r="K6" i="35" s="1"/>
  <c r="Y6" i="35"/>
  <c r="X6" i="35"/>
  <c r="P6" i="35"/>
  <c r="O6" i="35"/>
  <c r="Q6" i="35" s="1"/>
  <c r="M6" i="35"/>
  <c r="H6" i="35"/>
  <c r="C6" i="35"/>
  <c r="AB5" i="35"/>
  <c r="AD5" i="35" s="1"/>
  <c r="Y5" i="35"/>
  <c r="X5" i="35"/>
  <c r="P5" i="35"/>
  <c r="O5" i="35"/>
  <c r="Q5" i="35" s="1"/>
  <c r="M5" i="35"/>
  <c r="H5" i="35"/>
  <c r="C5" i="35"/>
  <c r="AG3" i="35"/>
  <c r="AF3" i="35"/>
  <c r="W3" i="35"/>
  <c r="V3" i="35"/>
  <c r="U3" i="35"/>
  <c r="T3" i="35"/>
  <c r="O3" i="35"/>
  <c r="G3" i="35"/>
  <c r="H3" i="35" s="1"/>
  <c r="F3" i="35"/>
  <c r="D3" i="35"/>
  <c r="C3" i="35"/>
  <c r="A2" i="35"/>
  <c r="A1" i="35"/>
  <c r="AB32" i="34"/>
  <c r="AD32" i="34" s="1"/>
  <c r="Y32" i="34"/>
  <c r="X32" i="34"/>
  <c r="V32" i="34"/>
  <c r="U32" i="34"/>
  <c r="T32" i="34"/>
  <c r="P32" i="34"/>
  <c r="O32" i="34"/>
  <c r="Q32" i="34" s="1"/>
  <c r="M32" i="34"/>
  <c r="K32" i="34"/>
  <c r="J32" i="34"/>
  <c r="I32" i="34" s="1"/>
  <c r="H32" i="34"/>
  <c r="C32" i="34"/>
  <c r="AB31" i="34"/>
  <c r="AD31" i="34" s="1"/>
  <c r="Y31" i="34"/>
  <c r="X31" i="34"/>
  <c r="Q31" i="34"/>
  <c r="P31" i="34"/>
  <c r="O31" i="34"/>
  <c r="M31" i="34"/>
  <c r="J31" i="34"/>
  <c r="H31" i="34"/>
  <c r="C31" i="34"/>
  <c r="AD30" i="34"/>
  <c r="J30" i="34" s="1"/>
  <c r="I30" i="34" s="1"/>
  <c r="AB30" i="34"/>
  <c r="Y30" i="34"/>
  <c r="X30" i="34"/>
  <c r="Q30" i="34"/>
  <c r="P30" i="34"/>
  <c r="O30" i="34"/>
  <c r="M30" i="34"/>
  <c r="K30" i="34"/>
  <c r="H30" i="34"/>
  <c r="C30" i="34"/>
  <c r="AB29" i="34"/>
  <c r="AD29" i="34" s="1"/>
  <c r="J29" i="34" s="1"/>
  <c r="Y29" i="34"/>
  <c r="X29" i="34"/>
  <c r="P29" i="34"/>
  <c r="O29" i="34"/>
  <c r="Q29" i="34" s="1"/>
  <c r="M29" i="34"/>
  <c r="H29" i="34"/>
  <c r="C29" i="34"/>
  <c r="AB28" i="34"/>
  <c r="AD28" i="34" s="1"/>
  <c r="J28" i="34" s="1"/>
  <c r="K28" i="34" s="1"/>
  <c r="Y28" i="34"/>
  <c r="X28" i="34"/>
  <c r="P28" i="34"/>
  <c r="O28" i="34"/>
  <c r="Q28" i="34" s="1"/>
  <c r="M28" i="34"/>
  <c r="H28" i="34"/>
  <c r="C28" i="34"/>
  <c r="AD27" i="34"/>
  <c r="AB27" i="34"/>
  <c r="Y27" i="34"/>
  <c r="X27" i="34"/>
  <c r="P27" i="34"/>
  <c r="O27" i="34"/>
  <c r="M27" i="34"/>
  <c r="K27" i="34"/>
  <c r="J27" i="34"/>
  <c r="I27" i="34" s="1"/>
  <c r="H27" i="34"/>
  <c r="C27" i="34"/>
  <c r="AB26" i="34"/>
  <c r="AD26" i="34" s="1"/>
  <c r="J26" i="34" s="1"/>
  <c r="Y26" i="34"/>
  <c r="X26" i="34"/>
  <c r="Q26" i="34"/>
  <c r="P26" i="34"/>
  <c r="O26" i="34"/>
  <c r="M26" i="34"/>
  <c r="H26" i="34"/>
  <c r="C26" i="34"/>
  <c r="AD25" i="34"/>
  <c r="AB25" i="34"/>
  <c r="Y25" i="34"/>
  <c r="X25" i="34"/>
  <c r="Q25" i="34"/>
  <c r="P25" i="34"/>
  <c r="O25" i="34"/>
  <c r="M25" i="34"/>
  <c r="J25" i="34"/>
  <c r="K25" i="34" s="1"/>
  <c r="I25" i="34"/>
  <c r="H25" i="34"/>
  <c r="C25" i="34"/>
  <c r="AD24" i="34"/>
  <c r="AB24" i="34"/>
  <c r="Y24" i="34"/>
  <c r="X24" i="34"/>
  <c r="P24" i="34"/>
  <c r="O24" i="34"/>
  <c r="Q24" i="34" s="1"/>
  <c r="M24" i="34"/>
  <c r="J24" i="34"/>
  <c r="I24" i="34" s="1"/>
  <c r="H24" i="34"/>
  <c r="C24" i="34"/>
  <c r="AB23" i="34"/>
  <c r="AD23" i="34" s="1"/>
  <c r="Y23" i="34"/>
  <c r="X23" i="34"/>
  <c r="Q23" i="34"/>
  <c r="P23" i="34"/>
  <c r="O23" i="34"/>
  <c r="M23" i="34"/>
  <c r="J23" i="34"/>
  <c r="K23" i="34" s="1"/>
  <c r="H23" i="34"/>
  <c r="C23" i="34"/>
  <c r="AD22" i="34"/>
  <c r="J22" i="34" s="1"/>
  <c r="I22" i="34" s="1"/>
  <c r="AB22" i="34"/>
  <c r="Y22" i="34"/>
  <c r="X22" i="34"/>
  <c r="Q22" i="34"/>
  <c r="P22" i="34"/>
  <c r="O22" i="34"/>
  <c r="M22" i="34"/>
  <c r="K22" i="34"/>
  <c r="H22" i="34"/>
  <c r="C22" i="34"/>
  <c r="AB21" i="34"/>
  <c r="AD21" i="34" s="1"/>
  <c r="J21" i="34" s="1"/>
  <c r="Y21" i="34"/>
  <c r="X21" i="34"/>
  <c r="P21" i="34"/>
  <c r="O21" i="34"/>
  <c r="Q21" i="34" s="1"/>
  <c r="M21" i="34"/>
  <c r="H21" i="34"/>
  <c r="C21" i="34"/>
  <c r="AB20" i="34"/>
  <c r="AD20" i="34" s="1"/>
  <c r="J20" i="34" s="1"/>
  <c r="Y20" i="34"/>
  <c r="X20" i="34"/>
  <c r="P20" i="34"/>
  <c r="O20" i="34"/>
  <c r="Q20" i="34" s="1"/>
  <c r="M20" i="34"/>
  <c r="H20" i="34"/>
  <c r="C20" i="34"/>
  <c r="AD19" i="34"/>
  <c r="AB19" i="34"/>
  <c r="Y19" i="34"/>
  <c r="X19" i="34"/>
  <c r="P19" i="34"/>
  <c r="O19" i="34"/>
  <c r="M19" i="34"/>
  <c r="J19" i="34"/>
  <c r="I19" i="34" s="1"/>
  <c r="H19" i="34"/>
  <c r="C19" i="34"/>
  <c r="AD18" i="34"/>
  <c r="J18" i="34" s="1"/>
  <c r="AB18" i="34"/>
  <c r="Y18" i="34"/>
  <c r="X18" i="34"/>
  <c r="Q18" i="34"/>
  <c r="P18" i="34"/>
  <c r="O18" i="34"/>
  <c r="M18" i="34"/>
  <c r="H18" i="34"/>
  <c r="C18" i="34"/>
  <c r="AB17" i="34"/>
  <c r="AD17" i="34" s="1"/>
  <c r="J17" i="34" s="1"/>
  <c r="Y17" i="34"/>
  <c r="X17" i="34"/>
  <c r="Q17" i="34"/>
  <c r="P17" i="34"/>
  <c r="O17" i="34"/>
  <c r="M17" i="34"/>
  <c r="H17" i="34"/>
  <c r="C17" i="34"/>
  <c r="AB16" i="34"/>
  <c r="AD16" i="34" s="1"/>
  <c r="J16" i="34" s="1"/>
  <c r="I16" i="34" s="1"/>
  <c r="Y16" i="34"/>
  <c r="X16" i="34"/>
  <c r="P16" i="34"/>
  <c r="O16" i="34"/>
  <c r="Q16" i="34" s="1"/>
  <c r="M16" i="34"/>
  <c r="H16" i="34"/>
  <c r="C16" i="34"/>
  <c r="AB15" i="34"/>
  <c r="AD15" i="34" s="1"/>
  <c r="Y15" i="34"/>
  <c r="X15" i="34"/>
  <c r="Q15" i="34"/>
  <c r="P15" i="34"/>
  <c r="O15" i="34"/>
  <c r="M15" i="34"/>
  <c r="J15" i="34"/>
  <c r="K15" i="34" s="1"/>
  <c r="H15" i="34"/>
  <c r="C15" i="34"/>
  <c r="AD14" i="34"/>
  <c r="J14" i="34" s="1"/>
  <c r="I14" i="34" s="1"/>
  <c r="AB14" i="34"/>
  <c r="Y14" i="34"/>
  <c r="X14" i="34"/>
  <c r="P14" i="34"/>
  <c r="O14" i="34"/>
  <c r="Q14" i="34" s="1"/>
  <c r="M14" i="34"/>
  <c r="H14" i="34"/>
  <c r="C14" i="34"/>
  <c r="AD13" i="34"/>
  <c r="AB13" i="34"/>
  <c r="Y13" i="34"/>
  <c r="X13" i="34"/>
  <c r="P13" i="34"/>
  <c r="O13" i="34"/>
  <c r="Q13" i="34" s="1"/>
  <c r="M13" i="34"/>
  <c r="J13" i="34"/>
  <c r="K13" i="34" s="1"/>
  <c r="H13" i="34"/>
  <c r="C13" i="34"/>
  <c r="AB12" i="34"/>
  <c r="AD12" i="34" s="1"/>
  <c r="J12" i="34" s="1"/>
  <c r="K12" i="34" s="1"/>
  <c r="Y12" i="34"/>
  <c r="X12" i="34"/>
  <c r="P12" i="34"/>
  <c r="O12" i="34"/>
  <c r="Q12" i="34" s="1"/>
  <c r="M12" i="34"/>
  <c r="I12" i="34"/>
  <c r="H12" i="34"/>
  <c r="C12" i="34"/>
  <c r="AB11" i="34"/>
  <c r="AD11" i="34" s="1"/>
  <c r="J11" i="34" s="1"/>
  <c r="I11" i="34" s="1"/>
  <c r="Y11" i="34"/>
  <c r="X11" i="34"/>
  <c r="P11" i="34"/>
  <c r="O11" i="34"/>
  <c r="Q11" i="34" s="1"/>
  <c r="M11" i="34"/>
  <c r="H11" i="34"/>
  <c r="C11" i="34"/>
  <c r="AD10" i="34"/>
  <c r="J10" i="34" s="1"/>
  <c r="K10" i="34" s="1"/>
  <c r="AB10" i="34"/>
  <c r="Y10" i="34"/>
  <c r="X10" i="34"/>
  <c r="Q10" i="34"/>
  <c r="P10" i="34"/>
  <c r="O10" i="34"/>
  <c r="M10" i="34"/>
  <c r="I10" i="34"/>
  <c r="H10" i="34"/>
  <c r="C10" i="34"/>
  <c r="AB9" i="34"/>
  <c r="AD9" i="34" s="1"/>
  <c r="J9" i="34" s="1"/>
  <c r="Y9" i="34"/>
  <c r="X9" i="34"/>
  <c r="P9" i="34"/>
  <c r="O9" i="34"/>
  <c r="Q9" i="34" s="1"/>
  <c r="M9" i="34"/>
  <c r="H9" i="34"/>
  <c r="C9" i="34"/>
  <c r="AB8" i="34"/>
  <c r="AD8" i="34" s="1"/>
  <c r="J8" i="34" s="1"/>
  <c r="Y8" i="34"/>
  <c r="X8" i="34"/>
  <c r="P8" i="34"/>
  <c r="O8" i="34"/>
  <c r="Q8" i="34" s="1"/>
  <c r="M8" i="34"/>
  <c r="H8" i="34"/>
  <c r="C8" i="34"/>
  <c r="AB7" i="34"/>
  <c r="AD7" i="34" s="1"/>
  <c r="J7" i="34" s="1"/>
  <c r="Y7" i="34"/>
  <c r="X7" i="34"/>
  <c r="P7" i="34"/>
  <c r="Q7" i="34" s="1"/>
  <c r="O7" i="34"/>
  <c r="M7" i="34"/>
  <c r="H7" i="34"/>
  <c r="C7" i="34"/>
  <c r="AD6" i="34"/>
  <c r="J6" i="34" s="1"/>
  <c r="I6" i="34" s="1"/>
  <c r="AB6" i="34"/>
  <c r="Y6" i="34"/>
  <c r="X6" i="34"/>
  <c r="P6" i="34"/>
  <c r="O6" i="34"/>
  <c r="Q6" i="34" s="1"/>
  <c r="M6" i="34"/>
  <c r="K6" i="34"/>
  <c r="H6" i="34"/>
  <c r="C6" i="34"/>
  <c r="AD5" i="34"/>
  <c r="AB5" i="34"/>
  <c r="Y5" i="34"/>
  <c r="X5" i="34"/>
  <c r="P5" i="34"/>
  <c r="O5" i="34"/>
  <c r="Q5" i="34" s="1"/>
  <c r="M5" i="34"/>
  <c r="K5" i="34"/>
  <c r="J5" i="34"/>
  <c r="I5" i="34" s="1"/>
  <c r="H5" i="34"/>
  <c r="C5" i="34"/>
  <c r="AB4" i="34"/>
  <c r="AD4" i="34" s="1"/>
  <c r="Y4" i="34"/>
  <c r="X4" i="34"/>
  <c r="Q4" i="34"/>
  <c r="P4" i="34"/>
  <c r="O4" i="34"/>
  <c r="M4" i="34"/>
  <c r="H4" i="34"/>
  <c r="C4" i="34"/>
  <c r="AG3" i="34"/>
  <c r="AF3" i="34"/>
  <c r="W3" i="34"/>
  <c r="V3" i="34"/>
  <c r="U3" i="34"/>
  <c r="T3" i="34"/>
  <c r="O3" i="34"/>
  <c r="G3" i="34"/>
  <c r="F3" i="34"/>
  <c r="D3" i="34"/>
  <c r="C3" i="34"/>
  <c r="A2" i="34"/>
  <c r="A1" i="34"/>
  <c r="AB32" i="33"/>
  <c r="AD32" i="33" s="1"/>
  <c r="J32" i="33" s="1"/>
  <c r="Y32" i="33"/>
  <c r="X32" i="33"/>
  <c r="V32" i="33"/>
  <c r="U32" i="33"/>
  <c r="T32" i="33"/>
  <c r="P32" i="33"/>
  <c r="O32" i="33"/>
  <c r="Q32" i="33" s="1"/>
  <c r="M32" i="33"/>
  <c r="H32" i="33"/>
  <c r="C32" i="33"/>
  <c r="AB31" i="33"/>
  <c r="AD31" i="33" s="1"/>
  <c r="J31" i="33" s="1"/>
  <c r="Y31" i="33"/>
  <c r="X31" i="33"/>
  <c r="P31" i="33"/>
  <c r="Q31" i="33" s="1"/>
  <c r="O31" i="33"/>
  <c r="M31" i="33"/>
  <c r="H31" i="33"/>
  <c r="C31" i="33"/>
  <c r="AD30" i="33"/>
  <c r="J30" i="33" s="1"/>
  <c r="I30" i="33" s="1"/>
  <c r="AB30" i="33"/>
  <c r="Y30" i="33"/>
  <c r="X30" i="33"/>
  <c r="P30" i="33"/>
  <c r="O30" i="33"/>
  <c r="Q30" i="33" s="1"/>
  <c r="M30" i="33"/>
  <c r="K30" i="33"/>
  <c r="H30" i="33"/>
  <c r="C30" i="33"/>
  <c r="AB29" i="33"/>
  <c r="AD29" i="33" s="1"/>
  <c r="J29" i="33" s="1"/>
  <c r="K29" i="33" s="1"/>
  <c r="Y29" i="33"/>
  <c r="X29" i="33"/>
  <c r="P29" i="33"/>
  <c r="O29" i="33"/>
  <c r="Q29" i="33" s="1"/>
  <c r="M29" i="33"/>
  <c r="I29" i="33"/>
  <c r="H29" i="33"/>
  <c r="C29" i="33"/>
  <c r="AB28" i="33"/>
  <c r="AD28" i="33" s="1"/>
  <c r="Y28" i="33"/>
  <c r="X28" i="33"/>
  <c r="P28" i="33"/>
  <c r="O28" i="33"/>
  <c r="Q28" i="33" s="1"/>
  <c r="M28" i="33"/>
  <c r="J28" i="33"/>
  <c r="H28" i="33"/>
  <c r="C28" i="33"/>
  <c r="AD27" i="33"/>
  <c r="J27" i="33" s="1"/>
  <c r="AB27" i="33"/>
  <c r="Y27" i="33"/>
  <c r="X27" i="33"/>
  <c r="Q27" i="33"/>
  <c r="P27" i="33"/>
  <c r="O27" i="33"/>
  <c r="M27" i="33"/>
  <c r="H27" i="33"/>
  <c r="C27" i="33"/>
  <c r="AD26" i="33"/>
  <c r="J26" i="33" s="1"/>
  <c r="I26" i="33" s="1"/>
  <c r="AB26" i="33"/>
  <c r="Y26" i="33"/>
  <c r="X26" i="33"/>
  <c r="Q26" i="33"/>
  <c r="P26" i="33"/>
  <c r="O26" i="33"/>
  <c r="M26" i="33"/>
  <c r="K26" i="33"/>
  <c r="H26" i="33"/>
  <c r="C26" i="33"/>
  <c r="AB25" i="33"/>
  <c r="AD25" i="33" s="1"/>
  <c r="J25" i="33" s="1"/>
  <c r="K25" i="33" s="1"/>
  <c r="Y25" i="33"/>
  <c r="X25" i="33"/>
  <c r="Q25" i="33"/>
  <c r="P25" i="33"/>
  <c r="O25" i="33"/>
  <c r="M25" i="33"/>
  <c r="I25" i="33"/>
  <c r="H25" i="33"/>
  <c r="C25" i="33"/>
  <c r="AB24" i="33"/>
  <c r="AD24" i="33" s="1"/>
  <c r="J24" i="33" s="1"/>
  <c r="K24" i="33" s="1"/>
  <c r="Y24" i="33"/>
  <c r="X24" i="33"/>
  <c r="P24" i="33"/>
  <c r="O24" i="33"/>
  <c r="M24" i="33"/>
  <c r="I24" i="33"/>
  <c r="H24" i="33"/>
  <c r="C24" i="33"/>
  <c r="AD23" i="33"/>
  <c r="J23" i="33" s="1"/>
  <c r="AB23" i="33"/>
  <c r="Y23" i="33"/>
  <c r="X23" i="33"/>
  <c r="P23" i="33"/>
  <c r="Q23" i="33" s="1"/>
  <c r="O23" i="33"/>
  <c r="M23" i="33"/>
  <c r="H23" i="33"/>
  <c r="C23" i="33"/>
  <c r="AD22" i="33"/>
  <c r="J22" i="33" s="1"/>
  <c r="I22" i="33" s="1"/>
  <c r="AB22" i="33"/>
  <c r="Y22" i="33"/>
  <c r="X22" i="33"/>
  <c r="P22" i="33"/>
  <c r="O22" i="33"/>
  <c r="Q22" i="33" s="1"/>
  <c r="M22" i="33"/>
  <c r="K22" i="33"/>
  <c r="H22" i="33"/>
  <c r="C22" i="33"/>
  <c r="AD21" i="33"/>
  <c r="AB21" i="33"/>
  <c r="Y21" i="33"/>
  <c r="X21" i="33"/>
  <c r="P21" i="33"/>
  <c r="O21" i="33"/>
  <c r="Q21" i="33" s="1"/>
  <c r="M21" i="33"/>
  <c r="J21" i="33"/>
  <c r="K21" i="33" s="1"/>
  <c r="H21" i="33"/>
  <c r="C21" i="33"/>
  <c r="AB20" i="33"/>
  <c r="AD20" i="33" s="1"/>
  <c r="Y20" i="33"/>
  <c r="X20" i="33"/>
  <c r="P20" i="33"/>
  <c r="O20" i="33"/>
  <c r="Q20" i="33" s="1"/>
  <c r="M20" i="33"/>
  <c r="J20" i="33"/>
  <c r="H20" i="33"/>
  <c r="C20" i="33"/>
  <c r="AD19" i="33"/>
  <c r="J19" i="33" s="1"/>
  <c r="I19" i="33" s="1"/>
  <c r="AB19" i="33"/>
  <c r="Y19" i="33"/>
  <c r="X19" i="33"/>
  <c r="Q19" i="33"/>
  <c r="P19" i="33"/>
  <c r="O19" i="33"/>
  <c r="M19" i="33"/>
  <c r="K19" i="33"/>
  <c r="H19" i="33"/>
  <c r="C19" i="33"/>
  <c r="AD18" i="33"/>
  <c r="J18" i="33" s="1"/>
  <c r="I18" i="33" s="1"/>
  <c r="AB18" i="33"/>
  <c r="Y18" i="33"/>
  <c r="X18" i="33"/>
  <c r="P18" i="33"/>
  <c r="O18" i="33"/>
  <c r="Q18" i="33" s="1"/>
  <c r="M18" i="33"/>
  <c r="H18" i="33"/>
  <c r="C18" i="33"/>
  <c r="AB17" i="33"/>
  <c r="AD17" i="33" s="1"/>
  <c r="J17" i="33" s="1"/>
  <c r="Y17" i="33"/>
  <c r="X17" i="33"/>
  <c r="P17" i="33"/>
  <c r="O17" i="33"/>
  <c r="Q17" i="33" s="1"/>
  <c r="M17" i="33"/>
  <c r="H17" i="33"/>
  <c r="C17" i="33"/>
  <c r="AB16" i="33"/>
  <c r="AD16" i="33" s="1"/>
  <c r="J16" i="33" s="1"/>
  <c r="Y16" i="33"/>
  <c r="X16" i="33"/>
  <c r="P16" i="33"/>
  <c r="O16" i="33"/>
  <c r="Q16" i="33" s="1"/>
  <c r="M16" i="33"/>
  <c r="H16" i="33"/>
  <c r="C16" i="33"/>
  <c r="AB15" i="33"/>
  <c r="AD15" i="33" s="1"/>
  <c r="J15" i="33" s="1"/>
  <c r="Y15" i="33"/>
  <c r="X15" i="33"/>
  <c r="Q15" i="33"/>
  <c r="P15" i="33"/>
  <c r="O15" i="33"/>
  <c r="M15" i="33"/>
  <c r="H15" i="33"/>
  <c r="C15" i="33"/>
  <c r="AD14" i="33"/>
  <c r="J14" i="33" s="1"/>
  <c r="K14" i="33" s="1"/>
  <c r="AB14" i="33"/>
  <c r="Y14" i="33"/>
  <c r="X14" i="33"/>
  <c r="Q14" i="33"/>
  <c r="P14" i="33"/>
  <c r="O14" i="33"/>
  <c r="M14" i="33"/>
  <c r="I14" i="33"/>
  <c r="H14" i="33"/>
  <c r="C14" i="33"/>
  <c r="AB13" i="33"/>
  <c r="AD13" i="33" s="1"/>
  <c r="J13" i="33" s="1"/>
  <c r="K13" i="33" s="1"/>
  <c r="Y13" i="33"/>
  <c r="X13" i="33"/>
  <c r="P13" i="33"/>
  <c r="O13" i="33"/>
  <c r="Q13" i="33" s="1"/>
  <c r="M13" i="33"/>
  <c r="H13" i="33"/>
  <c r="C13" i="33"/>
  <c r="AB12" i="33"/>
  <c r="AD12" i="33" s="1"/>
  <c r="J12" i="33" s="1"/>
  <c r="Y12" i="33"/>
  <c r="X12" i="33"/>
  <c r="P12" i="33"/>
  <c r="O12" i="33"/>
  <c r="M12" i="33"/>
  <c r="H12" i="33"/>
  <c r="C12" i="33"/>
  <c r="AD11" i="33"/>
  <c r="J11" i="33" s="1"/>
  <c r="I11" i="33" s="1"/>
  <c r="AB11" i="33"/>
  <c r="Y11" i="33"/>
  <c r="X11" i="33"/>
  <c r="P11" i="33"/>
  <c r="Q11" i="33" s="1"/>
  <c r="O11" i="33"/>
  <c r="M11" i="33"/>
  <c r="H11" i="33"/>
  <c r="C11" i="33"/>
  <c r="AD10" i="33"/>
  <c r="J10" i="33" s="1"/>
  <c r="I10" i="33" s="1"/>
  <c r="AB10" i="33"/>
  <c r="Y10" i="33"/>
  <c r="X10" i="33"/>
  <c r="P10" i="33"/>
  <c r="O10" i="33"/>
  <c r="Q10" i="33" s="1"/>
  <c r="M10" i="33"/>
  <c r="H10" i="33"/>
  <c r="C10" i="33"/>
  <c r="AB9" i="33"/>
  <c r="AD9" i="33" s="1"/>
  <c r="Y9" i="33"/>
  <c r="X9" i="33"/>
  <c r="P9" i="33"/>
  <c r="O9" i="33"/>
  <c r="Q9" i="33" s="1"/>
  <c r="M9" i="33"/>
  <c r="J9" i="33"/>
  <c r="K9" i="33" s="1"/>
  <c r="H9" i="33"/>
  <c r="C9" i="33"/>
  <c r="AB8" i="33"/>
  <c r="AD8" i="33" s="1"/>
  <c r="J8" i="33" s="1"/>
  <c r="Y8" i="33"/>
  <c r="X8" i="33"/>
  <c r="P8" i="33"/>
  <c r="O8" i="33"/>
  <c r="Q8" i="33" s="1"/>
  <c r="M8" i="33"/>
  <c r="H8" i="33"/>
  <c r="C8" i="33"/>
  <c r="AD7" i="33"/>
  <c r="J7" i="33" s="1"/>
  <c r="AB7" i="33"/>
  <c r="Y7" i="33"/>
  <c r="X7" i="33"/>
  <c r="Q7" i="33"/>
  <c r="P7" i="33"/>
  <c r="O7" i="33"/>
  <c r="M7" i="33"/>
  <c r="H7" i="33"/>
  <c r="C7" i="33"/>
  <c r="AD6" i="33"/>
  <c r="J6" i="33" s="1"/>
  <c r="K6" i="33" s="1"/>
  <c r="AB6" i="33"/>
  <c r="Y6" i="33"/>
  <c r="X6" i="33"/>
  <c r="Q6" i="33"/>
  <c r="P6" i="33"/>
  <c r="O6" i="33"/>
  <c r="M6" i="33"/>
  <c r="I6" i="33"/>
  <c r="H6" i="33"/>
  <c r="C6" i="33"/>
  <c r="AB5" i="33"/>
  <c r="AD5" i="33" s="1"/>
  <c r="J5" i="33" s="1"/>
  <c r="Y5" i="33"/>
  <c r="X5" i="33"/>
  <c r="P5" i="33"/>
  <c r="O5" i="33"/>
  <c r="M5" i="33"/>
  <c r="H5" i="33"/>
  <c r="C5" i="33"/>
  <c r="AD4" i="33"/>
  <c r="AB4" i="33"/>
  <c r="Y4" i="33"/>
  <c r="X4" i="33"/>
  <c r="P4" i="33"/>
  <c r="Q4" i="33" s="1"/>
  <c r="O4" i="33"/>
  <c r="M4" i="33"/>
  <c r="K4" i="33"/>
  <c r="J4" i="33"/>
  <c r="I4" i="33" s="1"/>
  <c r="H4" i="33"/>
  <c r="C4" i="33"/>
  <c r="AG3" i="33"/>
  <c r="AF3" i="33"/>
  <c r="X3" i="33"/>
  <c r="W3" i="33"/>
  <c r="V3" i="33"/>
  <c r="U3" i="33"/>
  <c r="T3" i="33"/>
  <c r="O3" i="33"/>
  <c r="G3" i="33"/>
  <c r="H3" i="33" s="1"/>
  <c r="F3" i="33"/>
  <c r="D3" i="33"/>
  <c r="C3" i="33"/>
  <c r="A2" i="33"/>
  <c r="A1" i="33"/>
  <c r="AB32" i="32"/>
  <c r="AD32" i="32" s="1"/>
  <c r="J32" i="32" s="1"/>
  <c r="Y32" i="32"/>
  <c r="X32" i="32"/>
  <c r="V32" i="32"/>
  <c r="U32" i="32"/>
  <c r="T32" i="32"/>
  <c r="P32" i="32"/>
  <c r="O32" i="32"/>
  <c r="Q32" i="32" s="1"/>
  <c r="M32" i="32"/>
  <c r="H32" i="32"/>
  <c r="C32" i="32"/>
  <c r="AB31" i="32"/>
  <c r="AD31" i="32" s="1"/>
  <c r="J31" i="32" s="1"/>
  <c r="Y31" i="32"/>
  <c r="X31" i="32"/>
  <c r="Q31" i="32"/>
  <c r="P31" i="32"/>
  <c r="O31" i="32"/>
  <c r="M31" i="32"/>
  <c r="H31" i="32"/>
  <c r="C31" i="32"/>
  <c r="AD30" i="32"/>
  <c r="J30" i="32" s="1"/>
  <c r="K30" i="32" s="1"/>
  <c r="AB30" i="32"/>
  <c r="Y30" i="32"/>
  <c r="X30" i="32"/>
  <c r="P30" i="32"/>
  <c r="O30" i="32"/>
  <c r="Q30" i="32" s="1"/>
  <c r="M30" i="32"/>
  <c r="I30" i="32"/>
  <c r="H30" i="32"/>
  <c r="C30" i="32"/>
  <c r="AB29" i="32"/>
  <c r="AD29" i="32" s="1"/>
  <c r="J29" i="32" s="1"/>
  <c r="Y29" i="32"/>
  <c r="X29" i="32"/>
  <c r="P29" i="32"/>
  <c r="O29" i="32"/>
  <c r="M29" i="32"/>
  <c r="H29" i="32"/>
  <c r="C29" i="32"/>
  <c r="AB28" i="32"/>
  <c r="AD28" i="32" s="1"/>
  <c r="J28" i="32" s="1"/>
  <c r="Y28" i="32"/>
  <c r="X28" i="32"/>
  <c r="P28" i="32"/>
  <c r="Q28" i="32" s="1"/>
  <c r="O28" i="32"/>
  <c r="M28" i="32"/>
  <c r="H28" i="32"/>
  <c r="C28" i="32"/>
  <c r="AD27" i="32"/>
  <c r="J27" i="32" s="1"/>
  <c r="I27" i="32" s="1"/>
  <c r="AB27" i="32"/>
  <c r="Y27" i="32"/>
  <c r="X27" i="32"/>
  <c r="P27" i="32"/>
  <c r="Q27" i="32" s="1"/>
  <c r="O27" i="32"/>
  <c r="M27" i="32"/>
  <c r="K27" i="32"/>
  <c r="H27" i="32"/>
  <c r="C27" i="32"/>
  <c r="AD26" i="32"/>
  <c r="J26" i="32" s="1"/>
  <c r="K26" i="32" s="1"/>
  <c r="AB26" i="32"/>
  <c r="Y26" i="32"/>
  <c r="X26" i="32"/>
  <c r="P26" i="32"/>
  <c r="O26" i="32"/>
  <c r="Q26" i="32" s="1"/>
  <c r="M26" i="32"/>
  <c r="I26" i="32"/>
  <c r="H26" i="32"/>
  <c r="C26" i="32"/>
  <c r="AB25" i="32"/>
  <c r="AD25" i="32" s="1"/>
  <c r="Y25" i="32"/>
  <c r="X25" i="32"/>
  <c r="P25" i="32"/>
  <c r="O25" i="32"/>
  <c r="Q25" i="32" s="1"/>
  <c r="M25" i="32"/>
  <c r="J25" i="32"/>
  <c r="H25" i="32"/>
  <c r="C25" i="32"/>
  <c r="AD24" i="32"/>
  <c r="J24" i="32" s="1"/>
  <c r="AB24" i="32"/>
  <c r="Y24" i="32"/>
  <c r="X24" i="32"/>
  <c r="Q24" i="32"/>
  <c r="P24" i="32"/>
  <c r="O24" i="32"/>
  <c r="M24" i="32"/>
  <c r="H24" i="32"/>
  <c r="C24" i="32"/>
  <c r="AD23" i="32"/>
  <c r="J23" i="32" s="1"/>
  <c r="AB23" i="32"/>
  <c r="Y23" i="32"/>
  <c r="X23" i="32"/>
  <c r="Q23" i="32"/>
  <c r="P23" i="32"/>
  <c r="O23" i="32"/>
  <c r="M23" i="32"/>
  <c r="H23" i="32"/>
  <c r="C23" i="32"/>
  <c r="AD22" i="32"/>
  <c r="J22" i="32" s="1"/>
  <c r="K22" i="32" s="1"/>
  <c r="AB22" i="32"/>
  <c r="Y22" i="32"/>
  <c r="X22" i="32"/>
  <c r="Q22" i="32"/>
  <c r="P22" i="32"/>
  <c r="O22" i="32"/>
  <c r="M22" i="32"/>
  <c r="I22" i="32"/>
  <c r="H22" i="32"/>
  <c r="C22" i="32"/>
  <c r="AB21" i="32"/>
  <c r="AD21" i="32" s="1"/>
  <c r="J21" i="32" s="1"/>
  <c r="Y21" i="32"/>
  <c r="X21" i="32"/>
  <c r="P21" i="32"/>
  <c r="O21" i="32"/>
  <c r="M21" i="32"/>
  <c r="H21" i="32"/>
  <c r="C21" i="32"/>
  <c r="AD20" i="32"/>
  <c r="J20" i="32" s="1"/>
  <c r="AB20" i="32"/>
  <c r="Y20" i="32"/>
  <c r="X20" i="32"/>
  <c r="P20" i="32"/>
  <c r="Q20" i="32" s="1"/>
  <c r="O20" i="32"/>
  <c r="M20" i="32"/>
  <c r="H20" i="32"/>
  <c r="C20" i="32"/>
  <c r="AD19" i="32"/>
  <c r="J19" i="32" s="1"/>
  <c r="I19" i="32" s="1"/>
  <c r="AB19" i="32"/>
  <c r="Y19" i="32"/>
  <c r="X19" i="32"/>
  <c r="Q19" i="32"/>
  <c r="P19" i="32"/>
  <c r="O19" i="32"/>
  <c r="M19" i="32"/>
  <c r="K19" i="32"/>
  <c r="H19" i="32"/>
  <c r="C19" i="32"/>
  <c r="AD18" i="32"/>
  <c r="J18" i="32" s="1"/>
  <c r="AB18" i="32"/>
  <c r="Y18" i="32"/>
  <c r="X18" i="32"/>
  <c r="P18" i="32"/>
  <c r="O18" i="32"/>
  <c r="Q18" i="32" s="1"/>
  <c r="M18" i="32"/>
  <c r="K18" i="32"/>
  <c r="I18" i="32"/>
  <c r="H18" i="32"/>
  <c r="C18" i="32"/>
  <c r="AB17" i="32"/>
  <c r="AD17" i="32" s="1"/>
  <c r="J17" i="32" s="1"/>
  <c r="Y17" i="32"/>
  <c r="X17" i="32"/>
  <c r="P17" i="32"/>
  <c r="O17" i="32"/>
  <c r="Q17" i="32" s="1"/>
  <c r="M17" i="32"/>
  <c r="H17" i="32"/>
  <c r="C17" i="32"/>
  <c r="AB16" i="32"/>
  <c r="AD16" i="32" s="1"/>
  <c r="J16" i="32" s="1"/>
  <c r="Y16" i="32"/>
  <c r="X16" i="32"/>
  <c r="P16" i="32"/>
  <c r="O16" i="32"/>
  <c r="Q16" i="32" s="1"/>
  <c r="M16" i="32"/>
  <c r="H16" i="32"/>
  <c r="C16" i="32"/>
  <c r="AD15" i="32"/>
  <c r="J15" i="32" s="1"/>
  <c r="AB15" i="32"/>
  <c r="Y15" i="32"/>
  <c r="X15" i="32"/>
  <c r="Q15" i="32"/>
  <c r="P15" i="32"/>
  <c r="O15" i="32"/>
  <c r="M15" i="32"/>
  <c r="H15" i="32"/>
  <c r="C15" i="32"/>
  <c r="AD14" i="32"/>
  <c r="J14" i="32" s="1"/>
  <c r="K14" i="32" s="1"/>
  <c r="AB14" i="32"/>
  <c r="Y14" i="32"/>
  <c r="X14" i="32"/>
  <c r="P14" i="32"/>
  <c r="O14" i="32"/>
  <c r="Q14" i="32" s="1"/>
  <c r="M14" i="32"/>
  <c r="I14" i="32"/>
  <c r="H14" i="32"/>
  <c r="C14" i="32"/>
  <c r="AB13" i="32"/>
  <c r="AD13" i="32" s="1"/>
  <c r="J13" i="32" s="1"/>
  <c r="K13" i="32" s="1"/>
  <c r="Y13" i="32"/>
  <c r="X13" i="32"/>
  <c r="P13" i="32"/>
  <c r="O13" i="32"/>
  <c r="M13" i="32"/>
  <c r="I13" i="32"/>
  <c r="H13" i="32"/>
  <c r="C13" i="32"/>
  <c r="AB12" i="32"/>
  <c r="AD12" i="32" s="1"/>
  <c r="J12" i="32" s="1"/>
  <c r="Y12" i="32"/>
  <c r="X12" i="32"/>
  <c r="P12" i="32"/>
  <c r="Q12" i="32" s="1"/>
  <c r="O12" i="32"/>
  <c r="M12" i="32"/>
  <c r="H12" i="32"/>
  <c r="C12" i="32"/>
  <c r="AD11" i="32"/>
  <c r="J11" i="32" s="1"/>
  <c r="I11" i="32" s="1"/>
  <c r="AB11" i="32"/>
  <c r="Y11" i="32"/>
  <c r="X11" i="32"/>
  <c r="Q11" i="32"/>
  <c r="P11" i="32"/>
  <c r="O11" i="32"/>
  <c r="M11" i="32"/>
  <c r="K11" i="32"/>
  <c r="H11" i="32"/>
  <c r="C11" i="32"/>
  <c r="AD10" i="32"/>
  <c r="J10" i="32" s="1"/>
  <c r="AB10" i="32"/>
  <c r="Y10" i="32"/>
  <c r="X10" i="32"/>
  <c r="P10" i="32"/>
  <c r="O10" i="32"/>
  <c r="Q10" i="32" s="1"/>
  <c r="M10" i="32"/>
  <c r="K10" i="32"/>
  <c r="I10" i="32"/>
  <c r="H10" i="32"/>
  <c r="C10" i="32"/>
  <c r="AB9" i="32"/>
  <c r="AD9" i="32" s="1"/>
  <c r="Y9" i="32"/>
  <c r="X9" i="32"/>
  <c r="P9" i="32"/>
  <c r="O9" i="32"/>
  <c r="M9" i="32"/>
  <c r="J9" i="32"/>
  <c r="K9" i="32" s="1"/>
  <c r="H9" i="32"/>
  <c r="C9" i="32"/>
  <c r="AB8" i="32"/>
  <c r="AD8" i="32" s="1"/>
  <c r="J8" i="32" s="1"/>
  <c r="Y8" i="32"/>
  <c r="X8" i="32"/>
  <c r="Q8" i="32"/>
  <c r="P8" i="32"/>
  <c r="O8" i="32"/>
  <c r="M8" i="32"/>
  <c r="H8" i="32"/>
  <c r="C8" i="32"/>
  <c r="AD7" i="32"/>
  <c r="J7" i="32" s="1"/>
  <c r="AB7" i="32"/>
  <c r="Y7" i="32"/>
  <c r="X7" i="32"/>
  <c r="P7" i="32"/>
  <c r="Q7" i="32" s="1"/>
  <c r="O7" i="32"/>
  <c r="M7" i="32"/>
  <c r="H7" i="32"/>
  <c r="C7" i="32"/>
  <c r="AD6" i="32"/>
  <c r="J6" i="32" s="1"/>
  <c r="AB6" i="32"/>
  <c r="Y6" i="32"/>
  <c r="X6" i="32"/>
  <c r="Q6" i="32"/>
  <c r="P6" i="32"/>
  <c r="O6" i="32"/>
  <c r="M6" i="32"/>
  <c r="K6" i="32"/>
  <c r="I6" i="32"/>
  <c r="H6" i="32"/>
  <c r="C6" i="32"/>
  <c r="AB5" i="32"/>
  <c r="AD5" i="32" s="1"/>
  <c r="J5" i="32" s="1"/>
  <c r="Y5" i="32"/>
  <c r="X5" i="32"/>
  <c r="P5" i="32"/>
  <c r="O5" i="32"/>
  <c r="Q5" i="32" s="1"/>
  <c r="M5" i="32"/>
  <c r="H5" i="32"/>
  <c r="C5" i="32"/>
  <c r="AB4" i="32"/>
  <c r="AD4" i="32" s="1"/>
  <c r="Y4" i="32"/>
  <c r="X4" i="32"/>
  <c r="P4" i="32"/>
  <c r="O4" i="32"/>
  <c r="Q4" i="32" s="1"/>
  <c r="M4" i="32"/>
  <c r="H4" i="32"/>
  <c r="C4" i="32"/>
  <c r="AG3" i="32"/>
  <c r="AF3" i="32"/>
  <c r="W3" i="32"/>
  <c r="V3" i="32"/>
  <c r="U3" i="32"/>
  <c r="T3" i="32"/>
  <c r="O3" i="32"/>
  <c r="G3" i="32"/>
  <c r="H3" i="32" s="1"/>
  <c r="F3" i="32"/>
  <c r="D3" i="32"/>
  <c r="C3" i="32"/>
  <c r="A2" i="32"/>
  <c r="A1" i="32"/>
  <c r="AD32" i="31"/>
  <c r="AD3" i="31" s="1"/>
  <c r="AB32" i="31"/>
  <c r="Y32" i="31"/>
  <c r="X32" i="31"/>
  <c r="V32" i="31"/>
  <c r="U32" i="31"/>
  <c r="T32" i="31"/>
  <c r="Q32" i="31"/>
  <c r="P32" i="31"/>
  <c r="O32" i="31"/>
  <c r="M32" i="31"/>
  <c r="K32" i="31"/>
  <c r="J32" i="31"/>
  <c r="H32" i="31"/>
  <c r="C32" i="31"/>
  <c r="AG3" i="31"/>
  <c r="AF3" i="31"/>
  <c r="W3" i="31"/>
  <c r="X3" i="31" s="1"/>
  <c r="V3" i="31"/>
  <c r="U3" i="31"/>
  <c r="T3" i="31"/>
  <c r="O3" i="31"/>
  <c r="G3" i="31"/>
  <c r="H3" i="31" s="1"/>
  <c r="F3" i="31"/>
  <c r="D3" i="31"/>
  <c r="C3" i="31"/>
  <c r="A2" i="31"/>
  <c r="A1" i="31"/>
  <c r="AB32" i="30"/>
  <c r="AD32" i="30" s="1"/>
  <c r="J32" i="30" s="1"/>
  <c r="Y32" i="30"/>
  <c r="X32" i="30"/>
  <c r="V32" i="30"/>
  <c r="U32" i="30"/>
  <c r="T32" i="30"/>
  <c r="P32" i="30"/>
  <c r="O32" i="30"/>
  <c r="Q32" i="30" s="1"/>
  <c r="M32" i="30"/>
  <c r="H32" i="30"/>
  <c r="C32" i="30"/>
  <c r="AB31" i="30"/>
  <c r="AD31" i="30" s="1"/>
  <c r="Y31" i="30"/>
  <c r="X31" i="30"/>
  <c r="P31" i="30"/>
  <c r="Q31" i="30" s="1"/>
  <c r="O31" i="30"/>
  <c r="M31" i="30"/>
  <c r="J31" i="30"/>
  <c r="H31" i="30"/>
  <c r="C31" i="30"/>
  <c r="AD30" i="30"/>
  <c r="J30" i="30" s="1"/>
  <c r="AB30" i="30"/>
  <c r="Y30" i="30"/>
  <c r="X30" i="30"/>
  <c r="P30" i="30"/>
  <c r="O30" i="30"/>
  <c r="Q30" i="30" s="1"/>
  <c r="M30" i="30"/>
  <c r="K30" i="30"/>
  <c r="I30" i="30"/>
  <c r="H30" i="30"/>
  <c r="C30" i="30"/>
  <c r="AB29" i="30"/>
  <c r="AD29" i="30" s="1"/>
  <c r="AD3" i="30" s="1"/>
  <c r="Y29" i="30"/>
  <c r="X29" i="30"/>
  <c r="P29" i="30"/>
  <c r="O29" i="30"/>
  <c r="M29" i="30"/>
  <c r="H29" i="30"/>
  <c r="C29" i="30"/>
  <c r="AG3" i="30"/>
  <c r="AF3" i="30"/>
  <c r="W3" i="30"/>
  <c r="X3" i="30" s="1"/>
  <c r="V3" i="30"/>
  <c r="U3" i="30"/>
  <c r="T3" i="30"/>
  <c r="O3" i="30"/>
  <c r="G3" i="30"/>
  <c r="H3" i="30" s="1"/>
  <c r="F3" i="30"/>
  <c r="D3" i="30"/>
  <c r="C3" i="30"/>
  <c r="A2" i="30"/>
  <c r="AD32" i="29"/>
  <c r="J32" i="29" s="1"/>
  <c r="AB32" i="29"/>
  <c r="Y32" i="29"/>
  <c r="X32" i="29"/>
  <c r="V32" i="29"/>
  <c r="U32" i="29"/>
  <c r="T32" i="29"/>
  <c r="Q32" i="29"/>
  <c r="P32" i="29"/>
  <c r="O32" i="29"/>
  <c r="M32" i="29"/>
  <c r="H32" i="29"/>
  <c r="C32" i="29"/>
  <c r="AB31" i="29"/>
  <c r="AD31" i="29" s="1"/>
  <c r="J31" i="29" s="1"/>
  <c r="K31" i="29" s="1"/>
  <c r="Y31" i="29"/>
  <c r="X31" i="29"/>
  <c r="P31" i="29"/>
  <c r="O31" i="29"/>
  <c r="M31" i="29"/>
  <c r="I31" i="29"/>
  <c r="H31" i="29"/>
  <c r="C31" i="29"/>
  <c r="AB30" i="29"/>
  <c r="AD30" i="29" s="1"/>
  <c r="J30" i="29" s="1"/>
  <c r="Y30" i="29"/>
  <c r="X30" i="29"/>
  <c r="P30" i="29"/>
  <c r="O30" i="29"/>
  <c r="M30" i="29"/>
  <c r="H30" i="29"/>
  <c r="C30" i="29"/>
  <c r="AB29" i="29"/>
  <c r="AD29" i="29" s="1"/>
  <c r="J29" i="29" s="1"/>
  <c r="Y29" i="29"/>
  <c r="X29" i="29"/>
  <c r="Q29" i="29"/>
  <c r="P29" i="29"/>
  <c r="O29" i="29"/>
  <c r="M29" i="29"/>
  <c r="H29" i="29"/>
  <c r="C29" i="29"/>
  <c r="AD28" i="29"/>
  <c r="J28" i="29" s="1"/>
  <c r="I28" i="29" s="1"/>
  <c r="AB28" i="29"/>
  <c r="Y28" i="29"/>
  <c r="X28" i="29"/>
  <c r="Q28" i="29"/>
  <c r="P28" i="29"/>
  <c r="O28" i="29"/>
  <c r="M28" i="29"/>
  <c r="K28" i="29"/>
  <c r="H28" i="29"/>
  <c r="C28" i="29"/>
  <c r="AB27" i="29"/>
  <c r="AD27" i="29" s="1"/>
  <c r="J27" i="29" s="1"/>
  <c r="Y27" i="29"/>
  <c r="X27" i="29"/>
  <c r="P27" i="29"/>
  <c r="O27" i="29"/>
  <c r="Q27" i="29" s="1"/>
  <c r="M27" i="29"/>
  <c r="H27" i="29"/>
  <c r="C27" i="29"/>
  <c r="AD26" i="29"/>
  <c r="J26" i="29" s="1"/>
  <c r="AB26" i="29"/>
  <c r="Y26" i="29"/>
  <c r="X26" i="29"/>
  <c r="P26" i="29"/>
  <c r="O26" i="29"/>
  <c r="Q26" i="29" s="1"/>
  <c r="M26" i="29"/>
  <c r="H26" i="29"/>
  <c r="C26" i="29"/>
  <c r="AB25" i="29"/>
  <c r="AD25" i="29" s="1"/>
  <c r="Y25" i="29"/>
  <c r="X25" i="29"/>
  <c r="P25" i="29"/>
  <c r="Q25" i="29" s="1"/>
  <c r="O25" i="29"/>
  <c r="M25" i="29"/>
  <c r="J25" i="29"/>
  <c r="H25" i="29"/>
  <c r="C25" i="29"/>
  <c r="AD24" i="29"/>
  <c r="J24" i="29" s="1"/>
  <c r="AB24" i="29"/>
  <c r="Y24" i="29"/>
  <c r="X24" i="29"/>
  <c r="P24" i="29"/>
  <c r="O24" i="29"/>
  <c r="Q24" i="29" s="1"/>
  <c r="M24" i="29"/>
  <c r="K24" i="29"/>
  <c r="I24" i="29"/>
  <c r="H24" i="29"/>
  <c r="C24" i="29"/>
  <c r="AB23" i="29"/>
  <c r="AD23" i="29" s="1"/>
  <c r="J23" i="29" s="1"/>
  <c r="Y23" i="29"/>
  <c r="X23" i="29"/>
  <c r="P23" i="29"/>
  <c r="O23" i="29"/>
  <c r="M23" i="29"/>
  <c r="H23" i="29"/>
  <c r="C23" i="29"/>
  <c r="AD22" i="29"/>
  <c r="J22" i="29" s="1"/>
  <c r="I22" i="29" s="1"/>
  <c r="AB22" i="29"/>
  <c r="Y22" i="29"/>
  <c r="X22" i="29"/>
  <c r="P22" i="29"/>
  <c r="O22" i="29"/>
  <c r="Q22" i="29" s="1"/>
  <c r="M22" i="29"/>
  <c r="K22" i="29"/>
  <c r="H22" i="29"/>
  <c r="C22" i="29"/>
  <c r="AB21" i="29"/>
  <c r="AD21" i="29" s="1"/>
  <c r="J21" i="29" s="1"/>
  <c r="Y21" i="29"/>
  <c r="X21" i="29"/>
  <c r="Q21" i="29"/>
  <c r="P21" i="29"/>
  <c r="O21" i="29"/>
  <c r="M21" i="29"/>
  <c r="H21" i="29"/>
  <c r="C21" i="29"/>
  <c r="AD20" i="29"/>
  <c r="J20" i="29" s="1"/>
  <c r="I20" i="29" s="1"/>
  <c r="AB20" i="29"/>
  <c r="Y20" i="29"/>
  <c r="X20" i="29"/>
  <c r="P20" i="29"/>
  <c r="O20" i="29"/>
  <c r="Q20" i="29" s="1"/>
  <c r="M20" i="29"/>
  <c r="K20" i="29"/>
  <c r="H20" i="29"/>
  <c r="C20" i="29"/>
  <c r="AB19" i="29"/>
  <c r="AD19" i="29" s="1"/>
  <c r="Y19" i="29"/>
  <c r="X19" i="29"/>
  <c r="P19" i="29"/>
  <c r="O19" i="29"/>
  <c r="M19" i="29"/>
  <c r="J19" i="29"/>
  <c r="K19" i="29" s="1"/>
  <c r="H19" i="29"/>
  <c r="C19" i="29"/>
  <c r="AB18" i="29"/>
  <c r="AD18" i="29" s="1"/>
  <c r="J18" i="29" s="1"/>
  <c r="Y18" i="29"/>
  <c r="X18" i="29"/>
  <c r="Q18" i="29"/>
  <c r="P18" i="29"/>
  <c r="O18" i="29"/>
  <c r="M18" i="29"/>
  <c r="H18" i="29"/>
  <c r="C18" i="29"/>
  <c r="AB17" i="29"/>
  <c r="AD17" i="29" s="1"/>
  <c r="J17" i="29" s="1"/>
  <c r="Y17" i="29"/>
  <c r="X17" i="29"/>
  <c r="Q17" i="29"/>
  <c r="P17" i="29"/>
  <c r="O17" i="29"/>
  <c r="M17" i="29"/>
  <c r="H17" i="29"/>
  <c r="C17" i="29"/>
  <c r="AD16" i="29"/>
  <c r="J16" i="29" s="1"/>
  <c r="I16" i="29" s="1"/>
  <c r="AB16" i="29"/>
  <c r="Y16" i="29"/>
  <c r="X16" i="29"/>
  <c r="P16" i="29"/>
  <c r="O16" i="29"/>
  <c r="Q16" i="29" s="1"/>
  <c r="M16" i="29"/>
  <c r="K16" i="29"/>
  <c r="H16" i="29"/>
  <c r="C16" i="29"/>
  <c r="AB15" i="29"/>
  <c r="AD15" i="29" s="1"/>
  <c r="J15" i="29" s="1"/>
  <c r="Y15" i="29"/>
  <c r="X15" i="29"/>
  <c r="P15" i="29"/>
  <c r="O15" i="29"/>
  <c r="M15" i="29"/>
  <c r="H15" i="29"/>
  <c r="C15" i="29"/>
  <c r="AB14" i="29"/>
  <c r="AD14" i="29" s="1"/>
  <c r="J14" i="29" s="1"/>
  <c r="Y14" i="29"/>
  <c r="X14" i="29"/>
  <c r="P14" i="29"/>
  <c r="O14" i="29"/>
  <c r="Q14" i="29" s="1"/>
  <c r="M14" i="29"/>
  <c r="H14" i="29"/>
  <c r="C14" i="29"/>
  <c r="AD13" i="29"/>
  <c r="J13" i="29" s="1"/>
  <c r="AB13" i="29"/>
  <c r="Y13" i="29"/>
  <c r="X13" i="29"/>
  <c r="Q13" i="29"/>
  <c r="P13" i="29"/>
  <c r="O13" i="29"/>
  <c r="M13" i="29"/>
  <c r="H13" i="29"/>
  <c r="C13" i="29"/>
  <c r="AD12" i="29"/>
  <c r="J12" i="29" s="1"/>
  <c r="AB12" i="29"/>
  <c r="Y12" i="29"/>
  <c r="X12" i="29"/>
  <c r="Q12" i="29"/>
  <c r="P12" i="29"/>
  <c r="O12" i="29"/>
  <c r="M12" i="29"/>
  <c r="K12" i="29"/>
  <c r="I12" i="29"/>
  <c r="H12" i="29"/>
  <c r="C12" i="29"/>
  <c r="AB11" i="29"/>
  <c r="AD11" i="29" s="1"/>
  <c r="J11" i="29" s="1"/>
  <c r="Y11" i="29"/>
  <c r="X11" i="29"/>
  <c r="P11" i="29"/>
  <c r="O11" i="29"/>
  <c r="Q11" i="29" s="1"/>
  <c r="M11" i="29"/>
  <c r="H11" i="29"/>
  <c r="C11" i="29"/>
  <c r="AB10" i="29"/>
  <c r="AD10" i="29" s="1"/>
  <c r="J10" i="29" s="1"/>
  <c r="K10" i="29" s="1"/>
  <c r="Y10" i="29"/>
  <c r="X10" i="29"/>
  <c r="P10" i="29"/>
  <c r="O10" i="29"/>
  <c r="Q10" i="29" s="1"/>
  <c r="M10" i="29"/>
  <c r="H10" i="29"/>
  <c r="C10" i="29"/>
  <c r="AB9" i="29"/>
  <c r="AD9" i="29" s="1"/>
  <c r="J9" i="29" s="1"/>
  <c r="Y9" i="29"/>
  <c r="X9" i="29"/>
  <c r="P9" i="29"/>
  <c r="Q9" i="29" s="1"/>
  <c r="O9" i="29"/>
  <c r="M9" i="29"/>
  <c r="H9" i="29"/>
  <c r="C9" i="29"/>
  <c r="AD8" i="29"/>
  <c r="J8" i="29" s="1"/>
  <c r="AB8" i="29"/>
  <c r="Y8" i="29"/>
  <c r="X8" i="29"/>
  <c r="P8" i="29"/>
  <c r="O8" i="29"/>
  <c r="Q8" i="29" s="1"/>
  <c r="M8" i="29"/>
  <c r="K8" i="29"/>
  <c r="I8" i="29"/>
  <c r="H8" i="29"/>
  <c r="C8" i="29"/>
  <c r="AB7" i="29"/>
  <c r="AD7" i="29" s="1"/>
  <c r="Y7" i="29"/>
  <c r="X7" i="29"/>
  <c r="P7" i="29"/>
  <c r="O7" i="29"/>
  <c r="Q7" i="29" s="1"/>
  <c r="M7" i="29"/>
  <c r="J7" i="29"/>
  <c r="H7" i="29"/>
  <c r="C7" i="29"/>
  <c r="AB6" i="29"/>
  <c r="AD6" i="29" s="1"/>
  <c r="J6" i="29" s="1"/>
  <c r="Y6" i="29"/>
  <c r="X6" i="29"/>
  <c r="Q6" i="29"/>
  <c r="P6" i="29"/>
  <c r="O6" i="29"/>
  <c r="M6" i="29"/>
  <c r="H6" i="29"/>
  <c r="C6" i="29"/>
  <c r="AD5" i="29"/>
  <c r="J5" i="29" s="1"/>
  <c r="AB5" i="29"/>
  <c r="Y5" i="29"/>
  <c r="X5" i="29"/>
  <c r="P5" i="29"/>
  <c r="O5" i="29"/>
  <c r="Q5" i="29" s="1"/>
  <c r="M5" i="29"/>
  <c r="H5" i="29"/>
  <c r="C5" i="29"/>
  <c r="AB4" i="29"/>
  <c r="AD4" i="29" s="1"/>
  <c r="Y4" i="29"/>
  <c r="X4" i="29"/>
  <c r="P4" i="29"/>
  <c r="O4" i="29"/>
  <c r="Q4" i="29" s="1"/>
  <c r="M4" i="29"/>
  <c r="H4" i="29"/>
  <c r="C4" i="29"/>
  <c r="AG3" i="29"/>
  <c r="AF3" i="29"/>
  <c r="W3" i="29"/>
  <c r="X3" i="29" s="1"/>
  <c r="V3" i="29"/>
  <c r="U3" i="29"/>
  <c r="T3" i="29"/>
  <c r="O3" i="29"/>
  <c r="G3" i="29"/>
  <c r="F3" i="29"/>
  <c r="D3" i="29"/>
  <c r="C3" i="29"/>
  <c r="A2" i="29"/>
  <c r="A1" i="29"/>
  <c r="AB32" i="28"/>
  <c r="AD32" i="28" s="1"/>
  <c r="J32" i="28" s="1"/>
  <c r="Y32" i="28"/>
  <c r="X32" i="28"/>
  <c r="V32" i="28"/>
  <c r="U32" i="28"/>
  <c r="T32" i="28"/>
  <c r="P32" i="28"/>
  <c r="O32" i="28"/>
  <c r="Q32" i="28" s="1"/>
  <c r="M32" i="28"/>
  <c r="H32" i="28"/>
  <c r="C32" i="28"/>
  <c r="AB31" i="28"/>
  <c r="AD31" i="28" s="1"/>
  <c r="J31" i="28" s="1"/>
  <c r="Y31" i="28"/>
  <c r="X31" i="28"/>
  <c r="P31" i="28"/>
  <c r="O31" i="28"/>
  <c r="M31" i="28"/>
  <c r="H31" i="28"/>
  <c r="C31" i="28"/>
  <c r="AD30" i="28"/>
  <c r="J30" i="28" s="1"/>
  <c r="AB30" i="28"/>
  <c r="Y30" i="28"/>
  <c r="X30" i="28"/>
  <c r="P30" i="28"/>
  <c r="O30" i="28"/>
  <c r="Q30" i="28" s="1"/>
  <c r="M30" i="28"/>
  <c r="H30" i="28"/>
  <c r="C30" i="28"/>
  <c r="AB29" i="28"/>
  <c r="AD29" i="28" s="1"/>
  <c r="J29" i="28" s="1"/>
  <c r="Y29" i="28"/>
  <c r="X29" i="28"/>
  <c r="P29" i="28"/>
  <c r="O29" i="28"/>
  <c r="Q29" i="28" s="1"/>
  <c r="M29" i="28"/>
  <c r="H29" i="28"/>
  <c r="C29" i="28"/>
  <c r="AB28" i="28"/>
  <c r="AD28" i="28" s="1"/>
  <c r="J28" i="28" s="1"/>
  <c r="Y28" i="28"/>
  <c r="X28" i="28"/>
  <c r="P28" i="28"/>
  <c r="O28" i="28"/>
  <c r="Q28" i="28" s="1"/>
  <c r="M28" i="28"/>
  <c r="H28" i="28"/>
  <c r="C28" i="28"/>
  <c r="AB27" i="28"/>
  <c r="AD27" i="28" s="1"/>
  <c r="J27" i="28" s="1"/>
  <c r="K27" i="28" s="1"/>
  <c r="Y27" i="28"/>
  <c r="X27" i="28"/>
  <c r="P27" i="28"/>
  <c r="O27" i="28"/>
  <c r="Q27" i="28" s="1"/>
  <c r="M27" i="28"/>
  <c r="I27" i="28"/>
  <c r="H27" i="28"/>
  <c r="C27" i="28"/>
  <c r="AB26" i="28"/>
  <c r="AD26" i="28" s="1"/>
  <c r="J26" i="28" s="1"/>
  <c r="Y26" i="28"/>
  <c r="X26" i="28"/>
  <c r="P26" i="28"/>
  <c r="O26" i="28"/>
  <c r="Q26" i="28" s="1"/>
  <c r="M26" i="28"/>
  <c r="H26" i="28"/>
  <c r="C26" i="28"/>
  <c r="AB25" i="28"/>
  <c r="AD25" i="28" s="1"/>
  <c r="Y25" i="28"/>
  <c r="X25" i="28"/>
  <c r="Q25" i="28"/>
  <c r="P25" i="28"/>
  <c r="O25" i="28"/>
  <c r="M25" i="28"/>
  <c r="J25" i="28"/>
  <c r="H25" i="28"/>
  <c r="C25" i="28"/>
  <c r="AD24" i="28"/>
  <c r="J24" i="28" s="1"/>
  <c r="AB24" i="28"/>
  <c r="Y24" i="28"/>
  <c r="X24" i="28"/>
  <c r="Q24" i="28"/>
  <c r="P24" i="28"/>
  <c r="O24" i="28"/>
  <c r="M24" i="28"/>
  <c r="K24" i="28"/>
  <c r="I24" i="28"/>
  <c r="H24" i="28"/>
  <c r="C24" i="28"/>
  <c r="AD23" i="28"/>
  <c r="AB23" i="28"/>
  <c r="Y23" i="28"/>
  <c r="X23" i="28"/>
  <c r="P23" i="28"/>
  <c r="O23" i="28"/>
  <c r="Q23" i="28" s="1"/>
  <c r="M23" i="28"/>
  <c r="K23" i="28"/>
  <c r="J23" i="28"/>
  <c r="I23" i="28" s="1"/>
  <c r="H23" i="28"/>
  <c r="C23" i="28"/>
  <c r="AB22" i="28"/>
  <c r="AD22" i="28" s="1"/>
  <c r="J22" i="28" s="1"/>
  <c r="Y22" i="28"/>
  <c r="X22" i="28"/>
  <c r="Q22" i="28"/>
  <c r="P22" i="28"/>
  <c r="O22" i="28"/>
  <c r="M22" i="28"/>
  <c r="H22" i="28"/>
  <c r="C22" i="28"/>
  <c r="AD21" i="28"/>
  <c r="J21" i="28" s="1"/>
  <c r="AB21" i="28"/>
  <c r="Y21" i="28"/>
  <c r="X21" i="28"/>
  <c r="P21" i="28"/>
  <c r="O21" i="28"/>
  <c r="Q21" i="28" s="1"/>
  <c r="M21" i="28"/>
  <c r="H21" i="28"/>
  <c r="C21" i="28"/>
  <c r="AB20" i="28"/>
  <c r="AD20" i="28" s="1"/>
  <c r="J20" i="28" s="1"/>
  <c r="K20" i="28" s="1"/>
  <c r="Y20" i="28"/>
  <c r="X20" i="28"/>
  <c r="P20" i="28"/>
  <c r="O20" i="28"/>
  <c r="Q20" i="28" s="1"/>
  <c r="M20" i="28"/>
  <c r="H20" i="28"/>
  <c r="C20" i="28"/>
  <c r="AB19" i="28"/>
  <c r="AD19" i="28" s="1"/>
  <c r="Y19" i="28"/>
  <c r="X19" i="28"/>
  <c r="P19" i="28"/>
  <c r="O19" i="28"/>
  <c r="Q19" i="28" s="1"/>
  <c r="M19" i="28"/>
  <c r="J19" i="28"/>
  <c r="K19" i="28" s="1"/>
  <c r="H19" i="28"/>
  <c r="C19" i="28"/>
  <c r="AB18" i="28"/>
  <c r="AD18" i="28" s="1"/>
  <c r="J18" i="28" s="1"/>
  <c r="K18" i="28" s="1"/>
  <c r="Y18" i="28"/>
  <c r="X18" i="28"/>
  <c r="P18" i="28"/>
  <c r="O18" i="28"/>
  <c r="Q18" i="28" s="1"/>
  <c r="M18" i="28"/>
  <c r="I18" i="28"/>
  <c r="H18" i="28"/>
  <c r="C18" i="28"/>
  <c r="AB17" i="28"/>
  <c r="AD17" i="28" s="1"/>
  <c r="J17" i="28" s="1"/>
  <c r="Y17" i="28"/>
  <c r="X17" i="28"/>
  <c r="P17" i="28"/>
  <c r="Q17" i="28" s="1"/>
  <c r="O17" i="28"/>
  <c r="M17" i="28"/>
  <c r="H17" i="28"/>
  <c r="C17" i="28"/>
  <c r="AD16" i="28"/>
  <c r="J16" i="28" s="1"/>
  <c r="AB16" i="28"/>
  <c r="Y16" i="28"/>
  <c r="X16" i="28"/>
  <c r="Q16" i="28"/>
  <c r="P16" i="28"/>
  <c r="O16" i="28"/>
  <c r="M16" i="28"/>
  <c r="K16" i="28"/>
  <c r="I16" i="28"/>
  <c r="H16" i="28"/>
  <c r="C16" i="28"/>
  <c r="AD15" i="28"/>
  <c r="AB15" i="28"/>
  <c r="Y15" i="28"/>
  <c r="X15" i="28"/>
  <c r="P15" i="28"/>
  <c r="O15" i="28"/>
  <c r="Q15" i="28" s="1"/>
  <c r="M15" i="28"/>
  <c r="J15" i="28"/>
  <c r="K15" i="28" s="1"/>
  <c r="H15" i="28"/>
  <c r="C15" i="28"/>
  <c r="AD14" i="28"/>
  <c r="J14" i="28" s="1"/>
  <c r="I14" i="28" s="1"/>
  <c r="AB14" i="28"/>
  <c r="Y14" i="28"/>
  <c r="X14" i="28"/>
  <c r="Q14" i="28"/>
  <c r="P14" i="28"/>
  <c r="O14" i="28"/>
  <c r="M14" i="28"/>
  <c r="K14" i="28"/>
  <c r="H14" i="28"/>
  <c r="C14" i="28"/>
  <c r="AB13" i="28"/>
  <c r="AD13" i="28" s="1"/>
  <c r="J13" i="28" s="1"/>
  <c r="Y13" i="28"/>
  <c r="X13" i="28"/>
  <c r="Q13" i="28"/>
  <c r="P13" i="28"/>
  <c r="O13" i="28"/>
  <c r="M13" i="28"/>
  <c r="H13" i="28"/>
  <c r="C13" i="28"/>
  <c r="AD12" i="28"/>
  <c r="J12" i="28" s="1"/>
  <c r="I12" i="28" s="1"/>
  <c r="AB12" i="28"/>
  <c r="Y12" i="28"/>
  <c r="X12" i="28"/>
  <c r="P12" i="28"/>
  <c r="O12" i="28"/>
  <c r="Q12" i="28" s="1"/>
  <c r="M12" i="28"/>
  <c r="H12" i="28"/>
  <c r="C12" i="28"/>
  <c r="AB11" i="28"/>
  <c r="AD11" i="28" s="1"/>
  <c r="J11" i="28" s="1"/>
  <c r="Y11" i="28"/>
  <c r="X11" i="28"/>
  <c r="Q11" i="28"/>
  <c r="P11" i="28"/>
  <c r="O11" i="28"/>
  <c r="M11" i="28"/>
  <c r="H11" i="28"/>
  <c r="C11" i="28"/>
  <c r="AD10" i="28"/>
  <c r="J10" i="28" s="1"/>
  <c r="AB10" i="28"/>
  <c r="Y10" i="28"/>
  <c r="X10" i="28"/>
  <c r="P10" i="28"/>
  <c r="O10" i="28"/>
  <c r="Q10" i="28" s="1"/>
  <c r="M10" i="28"/>
  <c r="H10" i="28"/>
  <c r="C10" i="28"/>
  <c r="AB9" i="28"/>
  <c r="AD9" i="28" s="1"/>
  <c r="J9" i="28" s="1"/>
  <c r="K9" i="28" s="1"/>
  <c r="Y9" i="28"/>
  <c r="X9" i="28"/>
  <c r="Q9" i="28"/>
  <c r="P9" i="28"/>
  <c r="O9" i="28"/>
  <c r="M9" i="28"/>
  <c r="I9" i="28"/>
  <c r="H9" i="28"/>
  <c r="C9" i="28"/>
  <c r="AD8" i="28"/>
  <c r="J8" i="28" s="1"/>
  <c r="AB8" i="28"/>
  <c r="Y8" i="28"/>
  <c r="X8" i="28"/>
  <c r="P8" i="28"/>
  <c r="O8" i="28"/>
  <c r="M8" i="28"/>
  <c r="K8" i="28"/>
  <c r="I8" i="28"/>
  <c r="H8" i="28"/>
  <c r="C8" i="28"/>
  <c r="AB7" i="28"/>
  <c r="AD7" i="28" s="1"/>
  <c r="J7" i="28" s="1"/>
  <c r="K7" i="28" s="1"/>
  <c r="Y7" i="28"/>
  <c r="X7" i="28"/>
  <c r="P7" i="28"/>
  <c r="O7" i="28"/>
  <c r="Q7" i="28" s="1"/>
  <c r="M7" i="28"/>
  <c r="H7" i="28"/>
  <c r="C7" i="28"/>
  <c r="AB6" i="28"/>
  <c r="AD6" i="28" s="1"/>
  <c r="J6" i="28" s="1"/>
  <c r="Y6" i="28"/>
  <c r="X6" i="28"/>
  <c r="P6" i="28"/>
  <c r="O6" i="28"/>
  <c r="M6" i="28"/>
  <c r="H6" i="28"/>
  <c r="C6" i="28"/>
  <c r="AD5" i="28"/>
  <c r="J5" i="28" s="1"/>
  <c r="I5" i="28" s="1"/>
  <c r="AB5" i="28"/>
  <c r="Y5" i="28"/>
  <c r="X5" i="28"/>
  <c r="Q5" i="28"/>
  <c r="P5" i="28"/>
  <c r="O5" i="28"/>
  <c r="M5" i="28"/>
  <c r="K5" i="28"/>
  <c r="H5" i="28"/>
  <c r="C5" i="28"/>
  <c r="AD4" i="28"/>
  <c r="AB4" i="28"/>
  <c r="Y4" i="28"/>
  <c r="X4" i="28"/>
  <c r="Q4" i="28"/>
  <c r="P4" i="28"/>
  <c r="O4" i="28"/>
  <c r="M4" i="28"/>
  <c r="H4" i="28"/>
  <c r="C4" i="28"/>
  <c r="AG3" i="28"/>
  <c r="AF3" i="28"/>
  <c r="W3" i="28"/>
  <c r="V3" i="28"/>
  <c r="U3" i="28"/>
  <c r="T3" i="28"/>
  <c r="O3" i="28"/>
  <c r="G3" i="28"/>
  <c r="H3" i="28" s="1"/>
  <c r="F3" i="28"/>
  <c r="D3" i="28"/>
  <c r="X3" i="28" s="1"/>
  <c r="C3" i="28"/>
  <c r="A2" i="28"/>
  <c r="A1" i="28"/>
  <c r="AD32" i="27"/>
  <c r="J32" i="27" s="1"/>
  <c r="AB32" i="27"/>
  <c r="Y32" i="27"/>
  <c r="X32" i="27"/>
  <c r="V32" i="27"/>
  <c r="U32" i="27"/>
  <c r="T32" i="27"/>
  <c r="Q32" i="27"/>
  <c r="P32" i="27"/>
  <c r="O32" i="27"/>
  <c r="M32" i="27"/>
  <c r="K32" i="27"/>
  <c r="I32" i="27"/>
  <c r="H32" i="27"/>
  <c r="C32" i="27"/>
  <c r="AD31" i="27"/>
  <c r="AB31" i="27"/>
  <c r="Y31" i="27"/>
  <c r="X31" i="27"/>
  <c r="P31" i="27"/>
  <c r="O31" i="27"/>
  <c r="Q31" i="27" s="1"/>
  <c r="M31" i="27"/>
  <c r="J31" i="27"/>
  <c r="K31" i="27" s="1"/>
  <c r="H31" i="27"/>
  <c r="C31" i="27"/>
  <c r="AB30" i="27"/>
  <c r="AD30" i="27" s="1"/>
  <c r="J30" i="27" s="1"/>
  <c r="Y30" i="27"/>
  <c r="X30" i="27"/>
  <c r="Q30" i="27"/>
  <c r="P30" i="27"/>
  <c r="O30" i="27"/>
  <c r="M30" i="27"/>
  <c r="H30" i="27"/>
  <c r="C30" i="27"/>
  <c r="AB29" i="27"/>
  <c r="AD29" i="27" s="1"/>
  <c r="J29" i="27" s="1"/>
  <c r="Y29" i="27"/>
  <c r="X29" i="27"/>
  <c r="Q29" i="27"/>
  <c r="P29" i="27"/>
  <c r="O29" i="27"/>
  <c r="M29" i="27"/>
  <c r="H29" i="27"/>
  <c r="C29" i="27"/>
  <c r="AD28" i="27"/>
  <c r="J28" i="27" s="1"/>
  <c r="I28" i="27" s="1"/>
  <c r="AB28" i="27"/>
  <c r="Y28" i="27"/>
  <c r="X28" i="27"/>
  <c r="P28" i="27"/>
  <c r="O28" i="27"/>
  <c r="Q28" i="27" s="1"/>
  <c r="M28" i="27"/>
  <c r="K28" i="27"/>
  <c r="H28" i="27"/>
  <c r="C28" i="27"/>
  <c r="AB27" i="27"/>
  <c r="AD27" i="27" s="1"/>
  <c r="J27" i="27" s="1"/>
  <c r="Y27" i="27"/>
  <c r="X27" i="27"/>
  <c r="Q27" i="27"/>
  <c r="P27" i="27"/>
  <c r="O27" i="27"/>
  <c r="M27" i="27"/>
  <c r="H27" i="27"/>
  <c r="C27" i="27"/>
  <c r="AD26" i="27"/>
  <c r="J26" i="27" s="1"/>
  <c r="I26" i="27" s="1"/>
  <c r="AB26" i="27"/>
  <c r="Y26" i="27"/>
  <c r="X26" i="27"/>
  <c r="P26" i="27"/>
  <c r="O26" i="27"/>
  <c r="Q26" i="27" s="1"/>
  <c r="M26" i="27"/>
  <c r="H26" i="27"/>
  <c r="C26" i="27"/>
  <c r="AB25" i="27"/>
  <c r="AD25" i="27" s="1"/>
  <c r="J25" i="27" s="1"/>
  <c r="K25" i="27" s="1"/>
  <c r="Y25" i="27"/>
  <c r="X25" i="27"/>
  <c r="Q25" i="27"/>
  <c r="P25" i="27"/>
  <c r="O25" i="27"/>
  <c r="M25" i="27"/>
  <c r="H25" i="27"/>
  <c r="C25" i="27"/>
  <c r="AD24" i="27"/>
  <c r="J24" i="27" s="1"/>
  <c r="AB24" i="27"/>
  <c r="Y24" i="27"/>
  <c r="X24" i="27"/>
  <c r="P24" i="27"/>
  <c r="O24" i="27"/>
  <c r="Q24" i="27" s="1"/>
  <c r="M24" i="27"/>
  <c r="K24" i="27"/>
  <c r="I24" i="27"/>
  <c r="H24" i="27"/>
  <c r="C24" i="27"/>
  <c r="AB23" i="27"/>
  <c r="AD23" i="27" s="1"/>
  <c r="J23" i="27" s="1"/>
  <c r="K23" i="27" s="1"/>
  <c r="Y23" i="27"/>
  <c r="X23" i="27"/>
  <c r="P23" i="27"/>
  <c r="O23" i="27"/>
  <c r="Q23" i="27" s="1"/>
  <c r="M23" i="27"/>
  <c r="I23" i="27"/>
  <c r="H23" i="27"/>
  <c r="C23" i="27"/>
  <c r="AB22" i="27"/>
  <c r="AD22" i="27" s="1"/>
  <c r="J22" i="27" s="1"/>
  <c r="Y22" i="27"/>
  <c r="X22" i="27"/>
  <c r="P22" i="27"/>
  <c r="O22" i="27"/>
  <c r="M22" i="27"/>
  <c r="H22" i="27"/>
  <c r="C22" i="27"/>
  <c r="AB21" i="27"/>
  <c r="AD21" i="27" s="1"/>
  <c r="J21" i="27" s="1"/>
  <c r="Y21" i="27"/>
  <c r="X21" i="27"/>
  <c r="Q21" i="27"/>
  <c r="P21" i="27"/>
  <c r="O21" i="27"/>
  <c r="M21" i="27"/>
  <c r="H21" i="27"/>
  <c r="C21" i="27"/>
  <c r="AD20" i="27"/>
  <c r="J20" i="27" s="1"/>
  <c r="I20" i="27" s="1"/>
  <c r="AB20" i="27"/>
  <c r="Y20" i="27"/>
  <c r="X20" i="27"/>
  <c r="Q20" i="27"/>
  <c r="P20" i="27"/>
  <c r="O20" i="27"/>
  <c r="M20" i="27"/>
  <c r="K20" i="27"/>
  <c r="H20" i="27"/>
  <c r="C20" i="27"/>
  <c r="AB19" i="27"/>
  <c r="AD19" i="27" s="1"/>
  <c r="Y19" i="27"/>
  <c r="X19" i="27"/>
  <c r="Q19" i="27"/>
  <c r="P19" i="27"/>
  <c r="O19" i="27"/>
  <c r="M19" i="27"/>
  <c r="J19" i="27"/>
  <c r="H19" i="27"/>
  <c r="C19" i="27"/>
  <c r="AD18" i="27"/>
  <c r="J18" i="27" s="1"/>
  <c r="I18" i="27" s="1"/>
  <c r="AB18" i="27"/>
  <c r="Y18" i="27"/>
  <c r="X18" i="27"/>
  <c r="Q18" i="27"/>
  <c r="P18" i="27"/>
  <c r="O18" i="27"/>
  <c r="M18" i="27"/>
  <c r="K18" i="27"/>
  <c r="H18" i="27"/>
  <c r="C18" i="27"/>
  <c r="AD17" i="27"/>
  <c r="J17" i="27" s="1"/>
  <c r="I17" i="27" s="1"/>
  <c r="AB17" i="27"/>
  <c r="Y17" i="27"/>
  <c r="X17" i="27"/>
  <c r="P17" i="27"/>
  <c r="Q17" i="27" s="1"/>
  <c r="O17" i="27"/>
  <c r="M17" i="27"/>
  <c r="K17" i="27"/>
  <c r="H17" i="27"/>
  <c r="C17" i="27"/>
  <c r="AD16" i="27"/>
  <c r="J16" i="27" s="1"/>
  <c r="AB16" i="27"/>
  <c r="Y16" i="27"/>
  <c r="X16" i="27"/>
  <c r="P16" i="27"/>
  <c r="O16" i="27"/>
  <c r="Q16" i="27" s="1"/>
  <c r="M16" i="27"/>
  <c r="K16" i="27"/>
  <c r="I16" i="27"/>
  <c r="H16" i="27"/>
  <c r="C16" i="27"/>
  <c r="AD15" i="27"/>
  <c r="AB15" i="27"/>
  <c r="Y15" i="27"/>
  <c r="X15" i="27"/>
  <c r="P15" i="27"/>
  <c r="O15" i="27"/>
  <c r="Q15" i="27" s="1"/>
  <c r="M15" i="27"/>
  <c r="K15" i="27"/>
  <c r="J15" i="27"/>
  <c r="I15" i="27" s="1"/>
  <c r="H15" i="27"/>
  <c r="C15" i="27"/>
  <c r="AB14" i="27"/>
  <c r="AD14" i="27" s="1"/>
  <c r="J14" i="27" s="1"/>
  <c r="K14" i="27" s="1"/>
  <c r="Y14" i="27"/>
  <c r="X14" i="27"/>
  <c r="P14" i="27"/>
  <c r="O14" i="27"/>
  <c r="Q14" i="27" s="1"/>
  <c r="M14" i="27"/>
  <c r="I14" i="27"/>
  <c r="H14" i="27"/>
  <c r="C14" i="27"/>
  <c r="AB13" i="27"/>
  <c r="AD13" i="27" s="1"/>
  <c r="J13" i="27" s="1"/>
  <c r="Y13" i="27"/>
  <c r="X13" i="27"/>
  <c r="P13" i="27"/>
  <c r="O13" i="27"/>
  <c r="Q13" i="27" s="1"/>
  <c r="M13" i="27"/>
  <c r="H13" i="27"/>
  <c r="C13" i="27"/>
  <c r="AB12" i="27"/>
  <c r="AD12" i="27" s="1"/>
  <c r="Y12" i="27"/>
  <c r="X12" i="27"/>
  <c r="P12" i="27"/>
  <c r="O12" i="27"/>
  <c r="Q12" i="27" s="1"/>
  <c r="M12" i="27"/>
  <c r="J12" i="27"/>
  <c r="K12" i="27" s="1"/>
  <c r="I12" i="27"/>
  <c r="H12" i="27"/>
  <c r="C12" i="27"/>
  <c r="AB11" i="27"/>
  <c r="AD11" i="27" s="1"/>
  <c r="J11" i="27" s="1"/>
  <c r="K11" i="27" s="1"/>
  <c r="Y11" i="27"/>
  <c r="X11" i="27"/>
  <c r="P11" i="27"/>
  <c r="O11" i="27"/>
  <c r="M11" i="27"/>
  <c r="H11" i="27"/>
  <c r="C11" i="27"/>
  <c r="AB10" i="27"/>
  <c r="AD10" i="27" s="1"/>
  <c r="J10" i="27" s="1"/>
  <c r="Y10" i="27"/>
  <c r="X10" i="27"/>
  <c r="P10" i="27"/>
  <c r="O10" i="27"/>
  <c r="Q10" i="27" s="1"/>
  <c r="M10" i="27"/>
  <c r="H10" i="27"/>
  <c r="C10" i="27"/>
  <c r="AD9" i="27"/>
  <c r="J9" i="27" s="1"/>
  <c r="I9" i="27" s="1"/>
  <c r="AB9" i="27"/>
  <c r="Y9" i="27"/>
  <c r="X9" i="27"/>
  <c r="P9" i="27"/>
  <c r="Q9" i="27" s="1"/>
  <c r="O9" i="27"/>
  <c r="M9" i="27"/>
  <c r="K9" i="27"/>
  <c r="H9" i="27"/>
  <c r="C9" i="27"/>
  <c r="AD8" i="27"/>
  <c r="J8" i="27" s="1"/>
  <c r="I8" i="27" s="1"/>
  <c r="AB8" i="27"/>
  <c r="Y8" i="27"/>
  <c r="X8" i="27"/>
  <c r="P8" i="27"/>
  <c r="O8" i="27"/>
  <c r="Q8" i="27" s="1"/>
  <c r="M8" i="27"/>
  <c r="K8" i="27"/>
  <c r="H8" i="27"/>
  <c r="C8" i="27"/>
  <c r="AB7" i="27"/>
  <c r="AD7" i="27" s="1"/>
  <c r="J7" i="27" s="1"/>
  <c r="I7" i="27" s="1"/>
  <c r="Y7" i="27"/>
  <c r="X7" i="27"/>
  <c r="P7" i="27"/>
  <c r="O7" i="27"/>
  <c r="M7" i="27"/>
  <c r="H7" i="27"/>
  <c r="C7" i="27"/>
  <c r="AD6" i="27"/>
  <c r="J6" i="27" s="1"/>
  <c r="I6" i="27" s="1"/>
  <c r="AB6" i="27"/>
  <c r="Y6" i="27"/>
  <c r="X6" i="27"/>
  <c r="P6" i="27"/>
  <c r="O6" i="27"/>
  <c r="Q6" i="27" s="1"/>
  <c r="M6" i="27"/>
  <c r="H6" i="27"/>
  <c r="C6" i="27"/>
  <c r="AB5" i="27"/>
  <c r="AD5" i="27" s="1"/>
  <c r="J5" i="27" s="1"/>
  <c r="Y5" i="27"/>
  <c r="X5" i="27"/>
  <c r="P5" i="27"/>
  <c r="O5" i="27"/>
  <c r="Q5" i="27" s="1"/>
  <c r="M5" i="27"/>
  <c r="H5" i="27"/>
  <c r="C5" i="27"/>
  <c r="AD4" i="27"/>
  <c r="J4" i="27" s="1"/>
  <c r="K4" i="27" s="1"/>
  <c r="AB4" i="27"/>
  <c r="Y4" i="27"/>
  <c r="X4" i="27"/>
  <c r="P4" i="27"/>
  <c r="O4" i="27"/>
  <c r="Q4" i="27" s="1"/>
  <c r="M4" i="27"/>
  <c r="I4" i="27"/>
  <c r="H4" i="27"/>
  <c r="C4" i="27"/>
  <c r="AG3" i="27"/>
  <c r="AF3" i="27"/>
  <c r="W3" i="27"/>
  <c r="V3" i="27"/>
  <c r="U3" i="27"/>
  <c r="T3" i="27"/>
  <c r="O3" i="27"/>
  <c r="G3" i="27"/>
  <c r="H3" i="27" s="1"/>
  <c r="F3" i="27"/>
  <c r="D3" i="27"/>
  <c r="X3" i="27" s="1"/>
  <c r="C3" i="27"/>
  <c r="A2" i="27"/>
  <c r="A1" i="27"/>
  <c r="AB32" i="26"/>
  <c r="AD32" i="26" s="1"/>
  <c r="J32" i="26" s="1"/>
  <c r="Y32" i="26"/>
  <c r="X32" i="26"/>
  <c r="V32" i="26"/>
  <c r="U32" i="26"/>
  <c r="T32" i="26"/>
  <c r="P32" i="26"/>
  <c r="O32" i="26"/>
  <c r="Q32" i="26" s="1"/>
  <c r="M32" i="26"/>
  <c r="H32" i="26"/>
  <c r="C32" i="26"/>
  <c r="AB31" i="26"/>
  <c r="AD31" i="26" s="1"/>
  <c r="J31" i="26" s="1"/>
  <c r="I31" i="26" s="1"/>
  <c r="Y31" i="26"/>
  <c r="X31" i="26"/>
  <c r="P31" i="26"/>
  <c r="O31" i="26"/>
  <c r="Q31" i="26" s="1"/>
  <c r="M31" i="26"/>
  <c r="K31" i="26"/>
  <c r="H31" i="26"/>
  <c r="C31" i="26"/>
  <c r="AB30" i="26"/>
  <c r="AD30" i="26" s="1"/>
  <c r="J30" i="26" s="1"/>
  <c r="K30" i="26" s="1"/>
  <c r="Y30" i="26"/>
  <c r="X30" i="26"/>
  <c r="P30" i="26"/>
  <c r="O30" i="26"/>
  <c r="Q30" i="26" s="1"/>
  <c r="M30" i="26"/>
  <c r="I30" i="26"/>
  <c r="H30" i="26"/>
  <c r="C30" i="26"/>
  <c r="AB29" i="26"/>
  <c r="AD29" i="26" s="1"/>
  <c r="J29" i="26" s="1"/>
  <c r="Y29" i="26"/>
  <c r="X29" i="26"/>
  <c r="P29" i="26"/>
  <c r="O29" i="26"/>
  <c r="Q29" i="26" s="1"/>
  <c r="M29" i="26"/>
  <c r="H29" i="26"/>
  <c r="C29" i="26"/>
  <c r="AD28" i="26"/>
  <c r="AB28" i="26"/>
  <c r="Y28" i="26"/>
  <c r="X28" i="26"/>
  <c r="P28" i="26"/>
  <c r="O28" i="26"/>
  <c r="Q28" i="26" s="1"/>
  <c r="M28" i="26"/>
  <c r="J28" i="26"/>
  <c r="H28" i="26"/>
  <c r="C28" i="26"/>
  <c r="AB27" i="26"/>
  <c r="AD27" i="26" s="1"/>
  <c r="J27" i="26" s="1"/>
  <c r="K27" i="26" s="1"/>
  <c r="Y27" i="26"/>
  <c r="X27" i="26"/>
  <c r="P27" i="26"/>
  <c r="Q27" i="26" s="1"/>
  <c r="O27" i="26"/>
  <c r="M27" i="26"/>
  <c r="I27" i="26"/>
  <c r="H27" i="26"/>
  <c r="C27" i="26"/>
  <c r="AB26" i="26"/>
  <c r="AD26" i="26" s="1"/>
  <c r="J26" i="26" s="1"/>
  <c r="Y26" i="26"/>
  <c r="X26" i="26"/>
  <c r="P26" i="26"/>
  <c r="O26" i="26"/>
  <c r="Q26" i="26" s="1"/>
  <c r="M26" i="26"/>
  <c r="H26" i="26"/>
  <c r="C26" i="26"/>
  <c r="AD25" i="26"/>
  <c r="J25" i="26" s="1"/>
  <c r="AB25" i="26"/>
  <c r="Y25" i="26"/>
  <c r="X25" i="26"/>
  <c r="P25" i="26"/>
  <c r="Q25" i="26" s="1"/>
  <c r="O25" i="26"/>
  <c r="M25" i="26"/>
  <c r="K25" i="26"/>
  <c r="I25" i="26"/>
  <c r="H25" i="26"/>
  <c r="C25" i="26"/>
  <c r="AD24" i="26"/>
  <c r="J24" i="26" s="1"/>
  <c r="I24" i="26" s="1"/>
  <c r="AB24" i="26"/>
  <c r="Y24" i="26"/>
  <c r="X24" i="26"/>
  <c r="P24" i="26"/>
  <c r="O24" i="26"/>
  <c r="Q24" i="26" s="1"/>
  <c r="M24" i="26"/>
  <c r="H24" i="26"/>
  <c r="C24" i="26"/>
  <c r="AD23" i="26"/>
  <c r="AB23" i="26"/>
  <c r="Y23" i="26"/>
  <c r="X23" i="26"/>
  <c r="P23" i="26"/>
  <c r="O23" i="26"/>
  <c r="Q23" i="26" s="1"/>
  <c r="M23" i="26"/>
  <c r="J23" i="26"/>
  <c r="H23" i="26"/>
  <c r="C23" i="26"/>
  <c r="AB22" i="26"/>
  <c r="AD22" i="26" s="1"/>
  <c r="Y22" i="26"/>
  <c r="X22" i="26"/>
  <c r="P22" i="26"/>
  <c r="Q22" i="26" s="1"/>
  <c r="O22" i="26"/>
  <c r="M22" i="26"/>
  <c r="J22" i="26"/>
  <c r="H22" i="26"/>
  <c r="C22" i="26"/>
  <c r="AB21" i="26"/>
  <c r="AD21" i="26" s="1"/>
  <c r="J21" i="26" s="1"/>
  <c r="Y21" i="26"/>
  <c r="X21" i="26"/>
  <c r="Q21" i="26"/>
  <c r="P21" i="26"/>
  <c r="O21" i="26"/>
  <c r="M21" i="26"/>
  <c r="H21" i="26"/>
  <c r="C21" i="26"/>
  <c r="AB20" i="26"/>
  <c r="AD20" i="26" s="1"/>
  <c r="Y20" i="26"/>
  <c r="X20" i="26"/>
  <c r="Q20" i="26"/>
  <c r="P20" i="26"/>
  <c r="O20" i="26"/>
  <c r="M20" i="26"/>
  <c r="J20" i="26"/>
  <c r="K20" i="26" s="1"/>
  <c r="H20" i="26"/>
  <c r="C20" i="26"/>
  <c r="AB19" i="26"/>
  <c r="AD19" i="26" s="1"/>
  <c r="J19" i="26" s="1"/>
  <c r="K19" i="26" s="1"/>
  <c r="Y19" i="26"/>
  <c r="X19" i="26"/>
  <c r="Q19" i="26"/>
  <c r="P19" i="26"/>
  <c r="O19" i="26"/>
  <c r="M19" i="26"/>
  <c r="I19" i="26"/>
  <c r="H19" i="26"/>
  <c r="C19" i="26"/>
  <c r="AB18" i="26"/>
  <c r="AD18" i="26" s="1"/>
  <c r="J18" i="26" s="1"/>
  <c r="K18" i="26" s="1"/>
  <c r="Y18" i="26"/>
  <c r="X18" i="26"/>
  <c r="P18" i="26"/>
  <c r="O18" i="26"/>
  <c r="M18" i="26"/>
  <c r="I18" i="26"/>
  <c r="H18" i="26"/>
  <c r="C18" i="26"/>
  <c r="AD17" i="26"/>
  <c r="J17" i="26" s="1"/>
  <c r="I17" i="26" s="1"/>
  <c r="AB17" i="26"/>
  <c r="Y17" i="26"/>
  <c r="X17" i="26"/>
  <c r="P17" i="26"/>
  <c r="Q17" i="26" s="1"/>
  <c r="O17" i="26"/>
  <c r="M17" i="26"/>
  <c r="K17" i="26"/>
  <c r="H17" i="26"/>
  <c r="C17" i="26"/>
  <c r="AD16" i="26"/>
  <c r="J16" i="26" s="1"/>
  <c r="I16" i="26" s="1"/>
  <c r="AB16" i="26"/>
  <c r="Y16" i="26"/>
  <c r="X16" i="26"/>
  <c r="P16" i="26"/>
  <c r="O16" i="26"/>
  <c r="M16" i="26"/>
  <c r="H16" i="26"/>
  <c r="C16" i="26"/>
  <c r="AD15" i="26"/>
  <c r="AB15" i="26"/>
  <c r="Y15" i="26"/>
  <c r="X15" i="26"/>
  <c r="P15" i="26"/>
  <c r="O15" i="26"/>
  <c r="Q15" i="26" s="1"/>
  <c r="M15" i="26"/>
  <c r="K15" i="26"/>
  <c r="J15" i="26"/>
  <c r="I15" i="26" s="1"/>
  <c r="H15" i="26"/>
  <c r="C15" i="26"/>
  <c r="AB14" i="26"/>
  <c r="AD14" i="26" s="1"/>
  <c r="J14" i="26" s="1"/>
  <c r="Y14" i="26"/>
  <c r="X14" i="26"/>
  <c r="Q14" i="26"/>
  <c r="P14" i="26"/>
  <c r="O14" i="26"/>
  <c r="M14" i="26"/>
  <c r="H14" i="26"/>
  <c r="C14" i="26"/>
  <c r="AB13" i="26"/>
  <c r="AD13" i="26" s="1"/>
  <c r="Y13" i="26"/>
  <c r="X13" i="26"/>
  <c r="Q13" i="26"/>
  <c r="P13" i="26"/>
  <c r="O13" i="26"/>
  <c r="M13" i="26"/>
  <c r="J13" i="26"/>
  <c r="H13" i="26"/>
  <c r="C13" i="26"/>
  <c r="AB12" i="26"/>
  <c r="AD12" i="26" s="1"/>
  <c r="J12" i="26" s="1"/>
  <c r="K12" i="26" s="1"/>
  <c r="Y12" i="26"/>
  <c r="X12" i="26"/>
  <c r="Q12" i="26"/>
  <c r="P12" i="26"/>
  <c r="O12" i="26"/>
  <c r="M12" i="26"/>
  <c r="I12" i="26"/>
  <c r="H12" i="26"/>
  <c r="C12" i="26"/>
  <c r="AB11" i="26"/>
  <c r="AD11" i="26" s="1"/>
  <c r="J11" i="26" s="1"/>
  <c r="K11" i="26" s="1"/>
  <c r="Y11" i="26"/>
  <c r="X11" i="26"/>
  <c r="P11" i="26"/>
  <c r="O11" i="26"/>
  <c r="Q11" i="26" s="1"/>
  <c r="M11" i="26"/>
  <c r="H11" i="26"/>
  <c r="C11" i="26"/>
  <c r="AD10" i="26"/>
  <c r="AB10" i="26"/>
  <c r="Y10" i="26"/>
  <c r="X10" i="26"/>
  <c r="P10" i="26"/>
  <c r="O10" i="26"/>
  <c r="Q10" i="26" s="1"/>
  <c r="M10" i="26"/>
  <c r="J10" i="26"/>
  <c r="H10" i="26"/>
  <c r="C10" i="26"/>
  <c r="AD9" i="26"/>
  <c r="J9" i="26" s="1"/>
  <c r="AB9" i="26"/>
  <c r="Y9" i="26"/>
  <c r="X9" i="26"/>
  <c r="Q9" i="26"/>
  <c r="P9" i="26"/>
  <c r="O9" i="26"/>
  <c r="M9" i="26"/>
  <c r="K9" i="26"/>
  <c r="I9" i="26"/>
  <c r="H9" i="26"/>
  <c r="C9" i="26"/>
  <c r="AD8" i="26"/>
  <c r="J8" i="26" s="1"/>
  <c r="AB8" i="26"/>
  <c r="Y8" i="26"/>
  <c r="X8" i="26"/>
  <c r="P8" i="26"/>
  <c r="O8" i="26"/>
  <c r="Q8" i="26" s="1"/>
  <c r="M8" i="26"/>
  <c r="H8" i="26"/>
  <c r="C8" i="26"/>
  <c r="AB7" i="26"/>
  <c r="AD7" i="26" s="1"/>
  <c r="J7" i="26" s="1"/>
  <c r="K7" i="26" s="1"/>
  <c r="Y7" i="26"/>
  <c r="X7" i="26"/>
  <c r="P7" i="26"/>
  <c r="O7" i="26"/>
  <c r="Q7" i="26" s="1"/>
  <c r="M7" i="26"/>
  <c r="H7" i="26"/>
  <c r="C7" i="26"/>
  <c r="AB6" i="26"/>
  <c r="AD6" i="26" s="1"/>
  <c r="J6" i="26" s="1"/>
  <c r="Y6" i="26"/>
  <c r="X6" i="26"/>
  <c r="P6" i="26"/>
  <c r="O6" i="26"/>
  <c r="Q6" i="26" s="1"/>
  <c r="M6" i="26"/>
  <c r="H6" i="26"/>
  <c r="C6" i="26"/>
  <c r="AD5" i="26"/>
  <c r="AB5" i="26"/>
  <c r="Y5" i="26"/>
  <c r="X5" i="26"/>
  <c r="P5" i="26"/>
  <c r="O5" i="26"/>
  <c r="Q5" i="26" s="1"/>
  <c r="M5" i="26"/>
  <c r="H5" i="26"/>
  <c r="C5" i="26"/>
  <c r="AB4" i="26"/>
  <c r="AD4" i="26" s="1"/>
  <c r="Y4" i="26"/>
  <c r="X4" i="26"/>
  <c r="Q4" i="26"/>
  <c r="P4" i="26"/>
  <c r="O4" i="26"/>
  <c r="M4" i="26"/>
  <c r="J4" i="26"/>
  <c r="H4" i="26"/>
  <c r="C4" i="26"/>
  <c r="AG3" i="26"/>
  <c r="AF3" i="26"/>
  <c r="W3" i="26"/>
  <c r="V3" i="26"/>
  <c r="U3" i="26"/>
  <c r="T3" i="26"/>
  <c r="O3" i="26"/>
  <c r="H3" i="26"/>
  <c r="G3" i="26"/>
  <c r="F3" i="26"/>
  <c r="D3" i="26"/>
  <c r="C3" i="26"/>
  <c r="A2" i="26"/>
  <c r="A1" i="26"/>
  <c r="AB32" i="25"/>
  <c r="AD32" i="25" s="1"/>
  <c r="J32" i="25" s="1"/>
  <c r="I32" i="25" s="1"/>
  <c r="Y32" i="25"/>
  <c r="X32" i="25"/>
  <c r="V32" i="25"/>
  <c r="U32" i="25"/>
  <c r="T32" i="25"/>
  <c r="P32" i="25"/>
  <c r="O32" i="25"/>
  <c r="Q32" i="25" s="1"/>
  <c r="M32" i="25"/>
  <c r="H32" i="25"/>
  <c r="C32" i="25"/>
  <c r="AB31" i="25"/>
  <c r="AD31" i="25" s="1"/>
  <c r="J31" i="25" s="1"/>
  <c r="Y31" i="25"/>
  <c r="X31" i="25"/>
  <c r="P31" i="25"/>
  <c r="O31" i="25"/>
  <c r="Q31" i="25" s="1"/>
  <c r="M31" i="25"/>
  <c r="H31" i="25"/>
  <c r="C31" i="25"/>
  <c r="AB30" i="25"/>
  <c r="AD30" i="25" s="1"/>
  <c r="Y30" i="25"/>
  <c r="X30" i="25"/>
  <c r="P30" i="25"/>
  <c r="O30" i="25"/>
  <c r="Q30" i="25" s="1"/>
  <c r="M30" i="25"/>
  <c r="J30" i="25"/>
  <c r="H30" i="25"/>
  <c r="C30" i="25"/>
  <c r="AB29" i="25"/>
  <c r="AD29" i="25" s="1"/>
  <c r="J29" i="25" s="1"/>
  <c r="Y29" i="25"/>
  <c r="X29" i="25"/>
  <c r="Q29" i="25"/>
  <c r="P29" i="25"/>
  <c r="O29" i="25"/>
  <c r="M29" i="25"/>
  <c r="H29" i="25"/>
  <c r="C29" i="25"/>
  <c r="AD28" i="25"/>
  <c r="J28" i="25" s="1"/>
  <c r="I28" i="25" s="1"/>
  <c r="AB28" i="25"/>
  <c r="Y28" i="25"/>
  <c r="X28" i="25"/>
  <c r="Q28" i="25"/>
  <c r="P28" i="25"/>
  <c r="O28" i="25"/>
  <c r="M28" i="25"/>
  <c r="K28" i="25"/>
  <c r="H28" i="25"/>
  <c r="C28" i="25"/>
  <c r="AB27" i="25"/>
  <c r="AD27" i="25" s="1"/>
  <c r="J27" i="25" s="1"/>
  <c r="K27" i="25" s="1"/>
  <c r="Y27" i="25"/>
  <c r="X27" i="25"/>
  <c r="Q27" i="25"/>
  <c r="P27" i="25"/>
  <c r="O27" i="25"/>
  <c r="M27" i="25"/>
  <c r="H27" i="25"/>
  <c r="C27" i="25"/>
  <c r="AB26" i="25"/>
  <c r="AD26" i="25" s="1"/>
  <c r="J26" i="25" s="1"/>
  <c r="K26" i="25" s="1"/>
  <c r="Y26" i="25"/>
  <c r="X26" i="25"/>
  <c r="P26" i="25"/>
  <c r="O26" i="25"/>
  <c r="M26" i="25"/>
  <c r="I26" i="25"/>
  <c r="H26" i="25"/>
  <c r="C26" i="25"/>
  <c r="AD25" i="25"/>
  <c r="J25" i="25" s="1"/>
  <c r="I25" i="25" s="1"/>
  <c r="AB25" i="25"/>
  <c r="Y25" i="25"/>
  <c r="X25" i="25"/>
  <c r="P25" i="25"/>
  <c r="Q25" i="25" s="1"/>
  <c r="O25" i="25"/>
  <c r="M25" i="25"/>
  <c r="K25" i="25"/>
  <c r="H25" i="25"/>
  <c r="C25" i="25"/>
  <c r="AD24" i="25"/>
  <c r="J24" i="25" s="1"/>
  <c r="I24" i="25" s="1"/>
  <c r="AB24" i="25"/>
  <c r="Y24" i="25"/>
  <c r="X24" i="25"/>
  <c r="P24" i="25"/>
  <c r="O24" i="25"/>
  <c r="Q24" i="25" s="1"/>
  <c r="M24" i="25"/>
  <c r="H24" i="25"/>
  <c r="C24" i="25"/>
  <c r="AD23" i="25"/>
  <c r="J23" i="25" s="1"/>
  <c r="AB23" i="25"/>
  <c r="Y23" i="25"/>
  <c r="X23" i="25"/>
  <c r="P23" i="25"/>
  <c r="O23" i="25"/>
  <c r="Q23" i="25" s="1"/>
  <c r="M23" i="25"/>
  <c r="H23" i="25"/>
  <c r="C23" i="25"/>
  <c r="AB22" i="25"/>
  <c r="AD22" i="25" s="1"/>
  <c r="J22" i="25" s="1"/>
  <c r="Y22" i="25"/>
  <c r="X22" i="25"/>
  <c r="P22" i="25"/>
  <c r="Q22" i="25" s="1"/>
  <c r="O22" i="25"/>
  <c r="M22" i="25"/>
  <c r="H22" i="25"/>
  <c r="C22" i="25"/>
  <c r="AB21" i="25"/>
  <c r="AD21" i="25" s="1"/>
  <c r="J21" i="25" s="1"/>
  <c r="Y21" i="25"/>
  <c r="X21" i="25"/>
  <c r="P21" i="25"/>
  <c r="O21" i="25"/>
  <c r="Q21" i="25" s="1"/>
  <c r="M21" i="25"/>
  <c r="H21" i="25"/>
  <c r="C21" i="25"/>
  <c r="AB20" i="25"/>
  <c r="AD20" i="25" s="1"/>
  <c r="Y20" i="25"/>
  <c r="X20" i="25"/>
  <c r="Q20" i="25"/>
  <c r="P20" i="25"/>
  <c r="O20" i="25"/>
  <c r="M20" i="25"/>
  <c r="J20" i="25"/>
  <c r="H20" i="25"/>
  <c r="C20" i="25"/>
  <c r="AD19" i="25"/>
  <c r="J19" i="25" s="1"/>
  <c r="I19" i="25" s="1"/>
  <c r="AB19" i="25"/>
  <c r="Y19" i="25"/>
  <c r="X19" i="25"/>
  <c r="Q19" i="25"/>
  <c r="P19" i="25"/>
  <c r="O19" i="25"/>
  <c r="M19" i="25"/>
  <c r="K19" i="25"/>
  <c r="H19" i="25"/>
  <c r="C19" i="25"/>
  <c r="AD18" i="25"/>
  <c r="J18" i="25" s="1"/>
  <c r="AB18" i="25"/>
  <c r="Y18" i="25"/>
  <c r="X18" i="25"/>
  <c r="P18" i="25"/>
  <c r="O18" i="25"/>
  <c r="M18" i="25"/>
  <c r="H18" i="25"/>
  <c r="C18" i="25"/>
  <c r="AD17" i="25"/>
  <c r="J17" i="25" s="1"/>
  <c r="AB17" i="25"/>
  <c r="Y17" i="25"/>
  <c r="X17" i="25"/>
  <c r="Q17" i="25"/>
  <c r="P17" i="25"/>
  <c r="O17" i="25"/>
  <c r="M17" i="25"/>
  <c r="H17" i="25"/>
  <c r="C17" i="25"/>
  <c r="AB16" i="25"/>
  <c r="AD16" i="25" s="1"/>
  <c r="J16" i="25" s="1"/>
  <c r="Y16" i="25"/>
  <c r="X16" i="25"/>
  <c r="P16" i="25"/>
  <c r="O16" i="25"/>
  <c r="Q16" i="25" s="1"/>
  <c r="M16" i="25"/>
  <c r="H16" i="25"/>
  <c r="C16" i="25"/>
  <c r="AB15" i="25"/>
  <c r="AD15" i="25" s="1"/>
  <c r="J15" i="25" s="1"/>
  <c r="Y15" i="25"/>
  <c r="X15" i="25"/>
  <c r="P15" i="25"/>
  <c r="O15" i="25"/>
  <c r="Q15" i="25" s="1"/>
  <c r="M15" i="25"/>
  <c r="H15" i="25"/>
  <c r="C15" i="25"/>
  <c r="AB14" i="25"/>
  <c r="AD14" i="25" s="1"/>
  <c r="J14" i="25" s="1"/>
  <c r="Y14" i="25"/>
  <c r="X14" i="25"/>
  <c r="P14" i="25"/>
  <c r="O14" i="25"/>
  <c r="Q14" i="25" s="1"/>
  <c r="M14" i="25"/>
  <c r="H14" i="25"/>
  <c r="C14" i="25"/>
  <c r="AB13" i="25"/>
  <c r="AD13" i="25" s="1"/>
  <c r="J13" i="25" s="1"/>
  <c r="Y13" i="25"/>
  <c r="X13" i="25"/>
  <c r="P13" i="25"/>
  <c r="O13" i="25"/>
  <c r="Q13" i="25" s="1"/>
  <c r="M13" i="25"/>
  <c r="H13" i="25"/>
  <c r="C13" i="25"/>
  <c r="AB12" i="25"/>
  <c r="AD12" i="25" s="1"/>
  <c r="Y12" i="25"/>
  <c r="X12" i="25"/>
  <c r="P12" i="25"/>
  <c r="O12" i="25"/>
  <c r="Q12" i="25" s="1"/>
  <c r="M12" i="25"/>
  <c r="J12" i="25"/>
  <c r="H12" i="25"/>
  <c r="C12" i="25"/>
  <c r="AB11" i="25"/>
  <c r="AD11" i="25" s="1"/>
  <c r="Y11" i="25"/>
  <c r="X11" i="25"/>
  <c r="Q11" i="25"/>
  <c r="P11" i="25"/>
  <c r="O11" i="25"/>
  <c r="M11" i="25"/>
  <c r="J11" i="25"/>
  <c r="H11" i="25"/>
  <c r="C11" i="25"/>
  <c r="AB10" i="25"/>
  <c r="AD10" i="25" s="1"/>
  <c r="J10" i="25" s="1"/>
  <c r="Y10" i="25"/>
  <c r="X10" i="25"/>
  <c r="Q10" i="25"/>
  <c r="P10" i="25"/>
  <c r="O10" i="25"/>
  <c r="M10" i="25"/>
  <c r="H10" i="25"/>
  <c r="C10" i="25"/>
  <c r="AB9" i="25"/>
  <c r="AD9" i="25" s="1"/>
  <c r="J9" i="25" s="1"/>
  <c r="K9" i="25" s="1"/>
  <c r="Y9" i="25"/>
  <c r="X9" i="25"/>
  <c r="P9" i="25"/>
  <c r="O9" i="25"/>
  <c r="Q9" i="25" s="1"/>
  <c r="M9" i="25"/>
  <c r="I9" i="25"/>
  <c r="H9" i="25"/>
  <c r="C9" i="25"/>
  <c r="AB8" i="25"/>
  <c r="AD8" i="25" s="1"/>
  <c r="J8" i="25" s="1"/>
  <c r="K8" i="25" s="1"/>
  <c r="Y8" i="25"/>
  <c r="X8" i="25"/>
  <c r="P8" i="25"/>
  <c r="Q8" i="25" s="1"/>
  <c r="O8" i="25"/>
  <c r="M8" i="25"/>
  <c r="H8" i="25"/>
  <c r="C8" i="25"/>
  <c r="AD7" i="25"/>
  <c r="J7" i="25" s="1"/>
  <c r="AB7" i="25"/>
  <c r="Y7" i="25"/>
  <c r="X7" i="25"/>
  <c r="P7" i="25"/>
  <c r="Q7" i="25" s="1"/>
  <c r="O7" i="25"/>
  <c r="M7" i="25"/>
  <c r="H7" i="25"/>
  <c r="C7" i="25"/>
  <c r="AD6" i="25"/>
  <c r="J6" i="25" s="1"/>
  <c r="I6" i="25" s="1"/>
  <c r="AB6" i="25"/>
  <c r="Y6" i="25"/>
  <c r="X6" i="25"/>
  <c r="P6" i="25"/>
  <c r="O6" i="25"/>
  <c r="Q6" i="25" s="1"/>
  <c r="M6" i="25"/>
  <c r="K6" i="25"/>
  <c r="H6" i="25"/>
  <c r="C6" i="25"/>
  <c r="AB5" i="25"/>
  <c r="AD5" i="25" s="1"/>
  <c r="J5" i="25" s="1"/>
  <c r="Y5" i="25"/>
  <c r="X5" i="25"/>
  <c r="P5" i="25"/>
  <c r="O5" i="25"/>
  <c r="Q5" i="25" s="1"/>
  <c r="M5" i="25"/>
  <c r="H5" i="25"/>
  <c r="C5" i="25"/>
  <c r="AB4" i="25"/>
  <c r="AD4" i="25" s="1"/>
  <c r="Y4" i="25"/>
  <c r="X4" i="25"/>
  <c r="P4" i="25"/>
  <c r="O4" i="25"/>
  <c r="Q4" i="25" s="1"/>
  <c r="M4" i="25"/>
  <c r="H4" i="25"/>
  <c r="C4" i="25"/>
  <c r="AG3" i="25"/>
  <c r="AF3" i="25"/>
  <c r="W3" i="25"/>
  <c r="X3" i="25" s="1"/>
  <c r="V3" i="25"/>
  <c r="U3" i="25"/>
  <c r="T3" i="25"/>
  <c r="O3" i="25"/>
  <c r="H3" i="25"/>
  <c r="G3" i="25"/>
  <c r="F3" i="25"/>
  <c r="D3" i="25"/>
  <c r="C3" i="25"/>
  <c r="A2" i="25"/>
  <c r="A1" i="25"/>
  <c r="AB32" i="24"/>
  <c r="AD32" i="24" s="1"/>
  <c r="Y32" i="24"/>
  <c r="X32" i="24"/>
  <c r="V32" i="24"/>
  <c r="U32" i="24"/>
  <c r="T32" i="24"/>
  <c r="P32" i="24"/>
  <c r="Q32" i="24" s="1"/>
  <c r="O32" i="24"/>
  <c r="M32" i="24"/>
  <c r="H32" i="24"/>
  <c r="C32" i="24"/>
  <c r="AG3" i="24"/>
  <c r="AF3" i="24"/>
  <c r="W3" i="24"/>
  <c r="X3" i="24" s="1"/>
  <c r="V3" i="24"/>
  <c r="U3" i="24"/>
  <c r="T3" i="24"/>
  <c r="O3" i="24"/>
  <c r="G3" i="24"/>
  <c r="H3" i="24" s="1"/>
  <c r="F3" i="24"/>
  <c r="D3" i="24"/>
  <c r="C3" i="24"/>
  <c r="A2" i="24"/>
  <c r="A1" i="24"/>
  <c r="AB32" i="23"/>
  <c r="AD32" i="23" s="1"/>
  <c r="AD3" i="23" s="1"/>
  <c r="Y32" i="23"/>
  <c r="X32" i="23"/>
  <c r="V32" i="23"/>
  <c r="U32" i="23"/>
  <c r="T32" i="23"/>
  <c r="P32" i="23"/>
  <c r="O32" i="23"/>
  <c r="Q32" i="23" s="1"/>
  <c r="M32" i="23"/>
  <c r="J32" i="23"/>
  <c r="H32" i="23"/>
  <c r="C32" i="23"/>
  <c r="AG3" i="23"/>
  <c r="AF3" i="23"/>
  <c r="W3" i="23"/>
  <c r="X3" i="23" s="1"/>
  <c r="V3" i="23"/>
  <c r="U3" i="23"/>
  <c r="T3" i="23"/>
  <c r="O3" i="23"/>
  <c r="H3" i="23"/>
  <c r="G3" i="23"/>
  <c r="F3" i="23"/>
  <c r="D3" i="23"/>
  <c r="C3" i="23"/>
  <c r="A2" i="23"/>
  <c r="A1" i="23"/>
  <c r="AB32" i="22"/>
  <c r="AD32" i="22" s="1"/>
  <c r="Y32" i="22"/>
  <c r="X32" i="22"/>
  <c r="V32" i="22"/>
  <c r="U32" i="22"/>
  <c r="T32" i="22"/>
  <c r="P32" i="22"/>
  <c r="Q32" i="22" s="1"/>
  <c r="O32" i="22"/>
  <c r="M32" i="22"/>
  <c r="H32" i="22"/>
  <c r="C32" i="22"/>
  <c r="AG3" i="22"/>
  <c r="AF3" i="22"/>
  <c r="W3" i="22"/>
  <c r="X3" i="22" s="1"/>
  <c r="V3" i="22"/>
  <c r="U3" i="22"/>
  <c r="T3" i="22"/>
  <c r="O3" i="22"/>
  <c r="G3" i="22"/>
  <c r="H3" i="22" s="1"/>
  <c r="F3" i="22"/>
  <c r="D3" i="22"/>
  <c r="C3" i="22"/>
  <c r="A2" i="22"/>
  <c r="A1" i="22"/>
  <c r="AB32" i="21"/>
  <c r="AD32" i="21" s="1"/>
  <c r="Y32" i="21"/>
  <c r="X32" i="21"/>
  <c r="V32" i="21"/>
  <c r="U32" i="21"/>
  <c r="T32" i="21"/>
  <c r="P32" i="21"/>
  <c r="O32" i="21"/>
  <c r="Q32" i="21" s="1"/>
  <c r="M32" i="21"/>
  <c r="J32" i="21"/>
  <c r="H32" i="21"/>
  <c r="C32" i="21"/>
  <c r="AB31" i="21"/>
  <c r="AD31" i="21" s="1"/>
  <c r="Y31" i="21"/>
  <c r="X31" i="21"/>
  <c r="Q31" i="21"/>
  <c r="P31" i="21"/>
  <c r="O31" i="21"/>
  <c r="M31" i="21"/>
  <c r="J31" i="21"/>
  <c r="H31" i="21"/>
  <c r="C31" i="21"/>
  <c r="AB30" i="21"/>
  <c r="AD30" i="21" s="1"/>
  <c r="J30" i="21" s="1"/>
  <c r="Y30" i="21"/>
  <c r="X30" i="21"/>
  <c r="Q30" i="21"/>
  <c r="P30" i="21"/>
  <c r="O30" i="21"/>
  <c r="M30" i="21"/>
  <c r="H30" i="21"/>
  <c r="C30" i="21"/>
  <c r="AB29" i="21"/>
  <c r="AD29" i="21" s="1"/>
  <c r="J29" i="21" s="1"/>
  <c r="K29" i="21" s="1"/>
  <c r="Y29" i="21"/>
  <c r="X29" i="21"/>
  <c r="P29" i="21"/>
  <c r="O29" i="21"/>
  <c r="Q29" i="21" s="1"/>
  <c r="M29" i="21"/>
  <c r="H29" i="21"/>
  <c r="C29" i="21"/>
  <c r="AB28" i="21"/>
  <c r="AD28" i="21" s="1"/>
  <c r="J28" i="21" s="1"/>
  <c r="K28" i="21" s="1"/>
  <c r="Y28" i="21"/>
  <c r="X28" i="21"/>
  <c r="P28" i="21"/>
  <c r="Q28" i="21" s="1"/>
  <c r="O28" i="21"/>
  <c r="M28" i="21"/>
  <c r="H28" i="21"/>
  <c r="C28" i="21"/>
  <c r="AD27" i="21"/>
  <c r="J27" i="21" s="1"/>
  <c r="I27" i="21" s="1"/>
  <c r="AB27" i="21"/>
  <c r="Y27" i="21"/>
  <c r="X27" i="21"/>
  <c r="P27" i="21"/>
  <c r="Q27" i="21" s="1"/>
  <c r="O27" i="21"/>
  <c r="M27" i="21"/>
  <c r="H27" i="21"/>
  <c r="C27" i="21"/>
  <c r="AD26" i="21"/>
  <c r="J26" i="21" s="1"/>
  <c r="AB26" i="21"/>
  <c r="Y26" i="21"/>
  <c r="X26" i="21"/>
  <c r="P26" i="21"/>
  <c r="O26" i="21"/>
  <c r="Q26" i="21" s="1"/>
  <c r="M26" i="21"/>
  <c r="H26" i="21"/>
  <c r="C26" i="21"/>
  <c r="AB25" i="21"/>
  <c r="AD25" i="21" s="1"/>
  <c r="J25" i="21" s="1"/>
  <c r="Y25" i="21"/>
  <c r="X25" i="21"/>
  <c r="P25" i="21"/>
  <c r="O25" i="21"/>
  <c r="Q25" i="21" s="1"/>
  <c r="M25" i="21"/>
  <c r="H25" i="21"/>
  <c r="C25" i="21"/>
  <c r="AB24" i="21"/>
  <c r="AD24" i="21" s="1"/>
  <c r="Y24" i="21"/>
  <c r="X24" i="21"/>
  <c r="P24" i="21"/>
  <c r="O24" i="21"/>
  <c r="Q24" i="21" s="1"/>
  <c r="M24" i="21"/>
  <c r="J24" i="21"/>
  <c r="H24" i="21"/>
  <c r="C24" i="21"/>
  <c r="AB23" i="21"/>
  <c r="AD23" i="21" s="1"/>
  <c r="Y23" i="21"/>
  <c r="X23" i="21"/>
  <c r="Q23" i="21"/>
  <c r="P23" i="21"/>
  <c r="O23" i="21"/>
  <c r="M23" i="21"/>
  <c r="J23" i="21"/>
  <c r="H23" i="21"/>
  <c r="C23" i="21"/>
  <c r="AB22" i="21"/>
  <c r="AD22" i="21" s="1"/>
  <c r="J22" i="21" s="1"/>
  <c r="Y22" i="21"/>
  <c r="X22" i="21"/>
  <c r="Q22" i="21"/>
  <c r="P22" i="21"/>
  <c r="O22" i="21"/>
  <c r="M22" i="21"/>
  <c r="H22" i="21"/>
  <c r="C22" i="21"/>
  <c r="AB21" i="21"/>
  <c r="AD21" i="21" s="1"/>
  <c r="J21" i="21" s="1"/>
  <c r="K21" i="21" s="1"/>
  <c r="Y21" i="21"/>
  <c r="X21" i="21"/>
  <c r="P21" i="21"/>
  <c r="O21" i="21"/>
  <c r="Q21" i="21" s="1"/>
  <c r="M21" i="21"/>
  <c r="H21" i="21"/>
  <c r="C21" i="21"/>
  <c r="AB20" i="21"/>
  <c r="AD20" i="21" s="1"/>
  <c r="J20" i="21" s="1"/>
  <c r="K20" i="21" s="1"/>
  <c r="Y20" i="21"/>
  <c r="X20" i="21"/>
  <c r="P20" i="21"/>
  <c r="Q20" i="21" s="1"/>
  <c r="O20" i="21"/>
  <c r="M20" i="21"/>
  <c r="H20" i="21"/>
  <c r="C20" i="21"/>
  <c r="AD19" i="21"/>
  <c r="J19" i="21" s="1"/>
  <c r="AB19" i="21"/>
  <c r="Y19" i="21"/>
  <c r="X19" i="21"/>
  <c r="P19" i="21"/>
  <c r="Q19" i="21" s="1"/>
  <c r="O19" i="21"/>
  <c r="M19" i="21"/>
  <c r="H19" i="21"/>
  <c r="C19" i="21"/>
  <c r="AD18" i="21"/>
  <c r="J18" i="21" s="1"/>
  <c r="I18" i="21" s="1"/>
  <c r="AB18" i="21"/>
  <c r="Y18" i="21"/>
  <c r="X18" i="21"/>
  <c r="P18" i="21"/>
  <c r="O18" i="21"/>
  <c r="Q18" i="21" s="1"/>
  <c r="M18" i="21"/>
  <c r="K18" i="21"/>
  <c r="H18" i="21"/>
  <c r="C18" i="21"/>
  <c r="AB17" i="21"/>
  <c r="AD17" i="21" s="1"/>
  <c r="J17" i="21" s="1"/>
  <c r="Y17" i="21"/>
  <c r="X17" i="21"/>
  <c r="P17" i="21"/>
  <c r="O17" i="21"/>
  <c r="Q17" i="21" s="1"/>
  <c r="M17" i="21"/>
  <c r="H17" i="21"/>
  <c r="C17" i="21"/>
  <c r="AB16" i="21"/>
  <c r="AD16" i="21" s="1"/>
  <c r="J16" i="21" s="1"/>
  <c r="Y16" i="21"/>
  <c r="X16" i="21"/>
  <c r="P16" i="21"/>
  <c r="O16" i="21"/>
  <c r="Q16" i="21" s="1"/>
  <c r="M16" i="21"/>
  <c r="H16" i="21"/>
  <c r="C16" i="21"/>
  <c r="AB15" i="21"/>
  <c r="AD15" i="21" s="1"/>
  <c r="Y15" i="21"/>
  <c r="X15" i="21"/>
  <c r="Q15" i="21"/>
  <c r="P15" i="21"/>
  <c r="O15" i="21"/>
  <c r="M15" i="21"/>
  <c r="J15" i="21"/>
  <c r="H15" i="21"/>
  <c r="C15" i="21"/>
  <c r="AB14" i="21"/>
  <c r="AD14" i="21" s="1"/>
  <c r="J14" i="21" s="1"/>
  <c r="Y14" i="21"/>
  <c r="X14" i="21"/>
  <c r="Q14" i="21"/>
  <c r="P14" i="21"/>
  <c r="O14" i="21"/>
  <c r="M14" i="21"/>
  <c r="H14" i="21"/>
  <c r="C14" i="21"/>
  <c r="AB13" i="21"/>
  <c r="AD13" i="21" s="1"/>
  <c r="J13" i="21" s="1"/>
  <c r="Y13" i="21"/>
  <c r="X13" i="21"/>
  <c r="P13" i="21"/>
  <c r="O13" i="21"/>
  <c r="Q13" i="21" s="1"/>
  <c r="M13" i="21"/>
  <c r="H13" i="21"/>
  <c r="C13" i="21"/>
  <c r="AB12" i="21"/>
  <c r="AD12" i="21" s="1"/>
  <c r="J12" i="21" s="1"/>
  <c r="K12" i="21" s="1"/>
  <c r="Y12" i="21"/>
  <c r="X12" i="21"/>
  <c r="P12" i="21"/>
  <c r="Q12" i="21" s="1"/>
  <c r="O12" i="21"/>
  <c r="M12" i="21"/>
  <c r="I12" i="21"/>
  <c r="H12" i="21"/>
  <c r="C12" i="21"/>
  <c r="AD11" i="21"/>
  <c r="J11" i="21" s="1"/>
  <c r="I11" i="21" s="1"/>
  <c r="AB11" i="21"/>
  <c r="Y11" i="21"/>
  <c r="X11" i="21"/>
  <c r="P11" i="21"/>
  <c r="Q11" i="21" s="1"/>
  <c r="O11" i="21"/>
  <c r="M11" i="21"/>
  <c r="K11" i="21"/>
  <c r="H11" i="21"/>
  <c r="C11" i="21"/>
  <c r="AD10" i="21"/>
  <c r="J10" i="21" s="1"/>
  <c r="I10" i="21" s="1"/>
  <c r="AB10" i="21"/>
  <c r="Y10" i="21"/>
  <c r="X10" i="21"/>
  <c r="P10" i="21"/>
  <c r="O10" i="21"/>
  <c r="Q10" i="21" s="1"/>
  <c r="M10" i="21"/>
  <c r="H10" i="21"/>
  <c r="C10" i="21"/>
  <c r="AB9" i="21"/>
  <c r="AD9" i="21" s="1"/>
  <c r="J9" i="21" s="1"/>
  <c r="Y9" i="21"/>
  <c r="X9" i="21"/>
  <c r="P9" i="21"/>
  <c r="O9" i="21"/>
  <c r="Q9" i="21" s="1"/>
  <c r="M9" i="21"/>
  <c r="H9" i="21"/>
  <c r="C9" i="21"/>
  <c r="AB8" i="21"/>
  <c r="AD8" i="21" s="1"/>
  <c r="J8" i="21" s="1"/>
  <c r="Y8" i="21"/>
  <c r="X8" i="21"/>
  <c r="P8" i="21"/>
  <c r="O8" i="21"/>
  <c r="Q8" i="21" s="1"/>
  <c r="M8" i="21"/>
  <c r="H8" i="21"/>
  <c r="C8" i="21"/>
  <c r="AB7" i="21"/>
  <c r="AD7" i="21" s="1"/>
  <c r="Y7" i="21"/>
  <c r="X7" i="21"/>
  <c r="Q7" i="21"/>
  <c r="P7" i="21"/>
  <c r="O7" i="21"/>
  <c r="M7" i="21"/>
  <c r="J7" i="21"/>
  <c r="H7" i="21"/>
  <c r="C7" i="21"/>
  <c r="AB6" i="21"/>
  <c r="AD6" i="21" s="1"/>
  <c r="J6" i="21" s="1"/>
  <c r="Y6" i="21"/>
  <c r="X6" i="21"/>
  <c r="Q6" i="21"/>
  <c r="P6" i="21"/>
  <c r="O6" i="21"/>
  <c r="M6" i="21"/>
  <c r="H6" i="21"/>
  <c r="C6" i="21"/>
  <c r="AB5" i="21"/>
  <c r="AD5" i="21" s="1"/>
  <c r="J5" i="21" s="1"/>
  <c r="K5" i="21" s="1"/>
  <c r="Y5" i="21"/>
  <c r="X5" i="21"/>
  <c r="P5" i="21"/>
  <c r="O5" i="21"/>
  <c r="Q5" i="21" s="1"/>
  <c r="M5" i="21"/>
  <c r="I5" i="21"/>
  <c r="H5" i="21"/>
  <c r="C5" i="21"/>
  <c r="AB4" i="21"/>
  <c r="AD4" i="21" s="1"/>
  <c r="Y4" i="21"/>
  <c r="X4" i="21"/>
  <c r="P4" i="21"/>
  <c r="Q4" i="21" s="1"/>
  <c r="O4" i="21"/>
  <c r="M4" i="21"/>
  <c r="H4" i="21"/>
  <c r="C4" i="21"/>
  <c r="AG3" i="21"/>
  <c r="AF3" i="21"/>
  <c r="W3" i="21"/>
  <c r="X3" i="21" s="1"/>
  <c r="V3" i="21"/>
  <c r="U3" i="21"/>
  <c r="T3" i="21"/>
  <c r="O3" i="21"/>
  <c r="G3" i="21"/>
  <c r="H3" i="21" s="1"/>
  <c r="F3" i="21"/>
  <c r="D3" i="21"/>
  <c r="C3" i="21"/>
  <c r="A2" i="21"/>
  <c r="A1" i="21"/>
  <c r="AB32" i="20"/>
  <c r="AD32" i="20" s="1"/>
  <c r="J32" i="20" s="1"/>
  <c r="Y32" i="20"/>
  <c r="X32" i="20"/>
  <c r="V32" i="20"/>
  <c r="U32" i="20"/>
  <c r="T32" i="20"/>
  <c r="P32" i="20"/>
  <c r="O32" i="20"/>
  <c r="Q32" i="20" s="1"/>
  <c r="M32" i="20"/>
  <c r="H32" i="20"/>
  <c r="C32" i="20"/>
  <c r="AB31" i="20"/>
  <c r="AD31" i="20" s="1"/>
  <c r="J31" i="20" s="1"/>
  <c r="Y31" i="20"/>
  <c r="X31" i="20"/>
  <c r="Q31" i="20"/>
  <c r="P31" i="20"/>
  <c r="O31" i="20"/>
  <c r="M31" i="20"/>
  <c r="H31" i="20"/>
  <c r="C31" i="20"/>
  <c r="AB30" i="20"/>
  <c r="AD30" i="20" s="1"/>
  <c r="J30" i="20" s="1"/>
  <c r="Y30" i="20"/>
  <c r="X30" i="20"/>
  <c r="Q30" i="20"/>
  <c r="P30" i="20"/>
  <c r="O30" i="20"/>
  <c r="M30" i="20"/>
  <c r="H30" i="20"/>
  <c r="C30" i="20"/>
  <c r="AB29" i="20"/>
  <c r="AD29" i="20" s="1"/>
  <c r="J29" i="20" s="1"/>
  <c r="K29" i="20" s="1"/>
  <c r="Y29" i="20"/>
  <c r="X29" i="20"/>
  <c r="P29" i="20"/>
  <c r="O29" i="20"/>
  <c r="Q29" i="20" s="1"/>
  <c r="M29" i="20"/>
  <c r="I29" i="20"/>
  <c r="H29" i="20"/>
  <c r="C29" i="20"/>
  <c r="AB28" i="20"/>
  <c r="AD28" i="20" s="1"/>
  <c r="J28" i="20" s="1"/>
  <c r="K28" i="20" s="1"/>
  <c r="Y28" i="20"/>
  <c r="X28" i="20"/>
  <c r="P28" i="20"/>
  <c r="Q28" i="20" s="1"/>
  <c r="O28" i="20"/>
  <c r="M28" i="20"/>
  <c r="I28" i="20"/>
  <c r="H28" i="20"/>
  <c r="C28" i="20"/>
  <c r="AD27" i="20"/>
  <c r="J27" i="20" s="1"/>
  <c r="I27" i="20" s="1"/>
  <c r="AB27" i="20"/>
  <c r="Y27" i="20"/>
  <c r="X27" i="20"/>
  <c r="P27" i="20"/>
  <c r="Q27" i="20" s="1"/>
  <c r="O27" i="20"/>
  <c r="M27" i="20"/>
  <c r="K27" i="20"/>
  <c r="H27" i="20"/>
  <c r="C27" i="20"/>
  <c r="AD26" i="20"/>
  <c r="J26" i="20" s="1"/>
  <c r="I26" i="20" s="1"/>
  <c r="AB26" i="20"/>
  <c r="Y26" i="20"/>
  <c r="X26" i="20"/>
  <c r="P26" i="20"/>
  <c r="O26" i="20"/>
  <c r="Q26" i="20" s="1"/>
  <c r="M26" i="20"/>
  <c r="K26" i="20"/>
  <c r="H26" i="20"/>
  <c r="C26" i="20"/>
  <c r="AB25" i="20"/>
  <c r="AD25" i="20" s="1"/>
  <c r="J25" i="20" s="1"/>
  <c r="Y25" i="20"/>
  <c r="X25" i="20"/>
  <c r="P25" i="20"/>
  <c r="O25" i="20"/>
  <c r="Q25" i="20" s="1"/>
  <c r="M25" i="20"/>
  <c r="H25" i="20"/>
  <c r="C25" i="20"/>
  <c r="AB24" i="20"/>
  <c r="AD24" i="20" s="1"/>
  <c r="J24" i="20" s="1"/>
  <c r="Y24" i="20"/>
  <c r="X24" i="20"/>
  <c r="P24" i="20"/>
  <c r="O24" i="20"/>
  <c r="Q24" i="20" s="1"/>
  <c r="M24" i="20"/>
  <c r="H24" i="20"/>
  <c r="C24" i="20"/>
  <c r="AB23" i="20"/>
  <c r="AD23" i="20" s="1"/>
  <c r="J23" i="20" s="1"/>
  <c r="Y23" i="20"/>
  <c r="X23" i="20"/>
  <c r="Q23" i="20"/>
  <c r="P23" i="20"/>
  <c r="O23" i="20"/>
  <c r="M23" i="20"/>
  <c r="H23" i="20"/>
  <c r="C23" i="20"/>
  <c r="AB22" i="20"/>
  <c r="AD22" i="20" s="1"/>
  <c r="J22" i="20" s="1"/>
  <c r="Y22" i="20"/>
  <c r="X22" i="20"/>
  <c r="Q22" i="20"/>
  <c r="P22" i="20"/>
  <c r="O22" i="20"/>
  <c r="M22" i="20"/>
  <c r="H22" i="20"/>
  <c r="C22" i="20"/>
  <c r="AB21" i="20"/>
  <c r="AD21" i="20" s="1"/>
  <c r="J21" i="20" s="1"/>
  <c r="K21" i="20" s="1"/>
  <c r="Y21" i="20"/>
  <c r="X21" i="20"/>
  <c r="P21" i="20"/>
  <c r="O21" i="20"/>
  <c r="Q21" i="20" s="1"/>
  <c r="M21" i="20"/>
  <c r="I21" i="20"/>
  <c r="H21" i="20"/>
  <c r="C21" i="20"/>
  <c r="AB20" i="20"/>
  <c r="AD20" i="20" s="1"/>
  <c r="J20" i="20" s="1"/>
  <c r="K20" i="20" s="1"/>
  <c r="Y20" i="20"/>
  <c r="X20" i="20"/>
  <c r="P20" i="20"/>
  <c r="Q20" i="20" s="1"/>
  <c r="O20" i="20"/>
  <c r="M20" i="20"/>
  <c r="I20" i="20"/>
  <c r="H20" i="20"/>
  <c r="C20" i="20"/>
  <c r="AD19" i="20"/>
  <c r="J19" i="20" s="1"/>
  <c r="I19" i="20" s="1"/>
  <c r="AB19" i="20"/>
  <c r="Y19" i="20"/>
  <c r="X19" i="20"/>
  <c r="P19" i="20"/>
  <c r="Q19" i="20" s="1"/>
  <c r="O19" i="20"/>
  <c r="M19" i="20"/>
  <c r="K19" i="20"/>
  <c r="H19" i="20"/>
  <c r="C19" i="20"/>
  <c r="AD18" i="20"/>
  <c r="J18" i="20" s="1"/>
  <c r="I18" i="20" s="1"/>
  <c r="AB18" i="20"/>
  <c r="Y18" i="20"/>
  <c r="X18" i="20"/>
  <c r="P18" i="20"/>
  <c r="O18" i="20"/>
  <c r="Q18" i="20" s="1"/>
  <c r="M18" i="20"/>
  <c r="K18" i="20"/>
  <c r="H18" i="20"/>
  <c r="C18" i="20"/>
  <c r="AB17" i="20"/>
  <c r="AD17" i="20" s="1"/>
  <c r="J17" i="20" s="1"/>
  <c r="Y17" i="20"/>
  <c r="X17" i="20"/>
  <c r="P17" i="20"/>
  <c r="O17" i="20"/>
  <c r="Q17" i="20" s="1"/>
  <c r="M17" i="20"/>
  <c r="H17" i="20"/>
  <c r="C17" i="20"/>
  <c r="AB16" i="20"/>
  <c r="AD16" i="20" s="1"/>
  <c r="Y16" i="20"/>
  <c r="X16" i="20"/>
  <c r="P16" i="20"/>
  <c r="O16" i="20"/>
  <c r="Q16" i="20" s="1"/>
  <c r="M16" i="20"/>
  <c r="J16" i="20"/>
  <c r="H16" i="20"/>
  <c r="C16" i="20"/>
  <c r="AB15" i="20"/>
  <c r="AD15" i="20" s="1"/>
  <c r="Y15" i="20"/>
  <c r="X15" i="20"/>
  <c r="Q15" i="20"/>
  <c r="P15" i="20"/>
  <c r="O15" i="20"/>
  <c r="M15" i="20"/>
  <c r="J15" i="20"/>
  <c r="H15" i="20"/>
  <c r="C15" i="20"/>
  <c r="AB14" i="20"/>
  <c r="AD14" i="20" s="1"/>
  <c r="J14" i="20" s="1"/>
  <c r="Y14" i="20"/>
  <c r="X14" i="20"/>
  <c r="Q14" i="20"/>
  <c r="P14" i="20"/>
  <c r="O14" i="20"/>
  <c r="M14" i="20"/>
  <c r="H14" i="20"/>
  <c r="C14" i="20"/>
  <c r="AB13" i="20"/>
  <c r="AD13" i="20" s="1"/>
  <c r="J13" i="20" s="1"/>
  <c r="K13" i="20" s="1"/>
  <c r="Y13" i="20"/>
  <c r="X13" i="20"/>
  <c r="P13" i="20"/>
  <c r="O13" i="20"/>
  <c r="Q13" i="20" s="1"/>
  <c r="M13" i="20"/>
  <c r="H13" i="20"/>
  <c r="C13" i="20"/>
  <c r="AB12" i="20"/>
  <c r="AD12" i="20" s="1"/>
  <c r="J12" i="20" s="1"/>
  <c r="K12" i="20" s="1"/>
  <c r="Y12" i="20"/>
  <c r="X12" i="20"/>
  <c r="P12" i="20"/>
  <c r="Q12" i="20" s="1"/>
  <c r="O12" i="20"/>
  <c r="M12" i="20"/>
  <c r="H12" i="20"/>
  <c r="C12" i="20"/>
  <c r="AD11" i="20"/>
  <c r="J11" i="20" s="1"/>
  <c r="I11" i="20" s="1"/>
  <c r="AB11" i="20"/>
  <c r="Y11" i="20"/>
  <c r="X11" i="20"/>
  <c r="P11" i="20"/>
  <c r="Q11" i="20" s="1"/>
  <c r="O11" i="20"/>
  <c r="M11" i="20"/>
  <c r="K11" i="20"/>
  <c r="H11" i="20"/>
  <c r="C11" i="20"/>
  <c r="AD10" i="20"/>
  <c r="J10" i="20" s="1"/>
  <c r="I10" i="20" s="1"/>
  <c r="AB10" i="20"/>
  <c r="Y10" i="20"/>
  <c r="X10" i="20"/>
  <c r="P10" i="20"/>
  <c r="O10" i="20"/>
  <c r="Q10" i="20" s="1"/>
  <c r="M10" i="20"/>
  <c r="K10" i="20"/>
  <c r="H10" i="20"/>
  <c r="C10" i="20"/>
  <c r="AB9" i="20"/>
  <c r="AD9" i="20" s="1"/>
  <c r="J9" i="20" s="1"/>
  <c r="Y9" i="20"/>
  <c r="X9" i="20"/>
  <c r="P9" i="20"/>
  <c r="O9" i="20"/>
  <c r="Q9" i="20" s="1"/>
  <c r="M9" i="20"/>
  <c r="H9" i="20"/>
  <c r="C9" i="20"/>
  <c r="AB8" i="20"/>
  <c r="AD8" i="20" s="1"/>
  <c r="Y8" i="20"/>
  <c r="X8" i="20"/>
  <c r="P8" i="20"/>
  <c r="O8" i="20"/>
  <c r="Q8" i="20" s="1"/>
  <c r="M8" i="20"/>
  <c r="J8" i="20"/>
  <c r="H8" i="20"/>
  <c r="C8" i="20"/>
  <c r="AB7" i="20"/>
  <c r="AD7" i="20" s="1"/>
  <c r="J7" i="20" s="1"/>
  <c r="Y7" i="20"/>
  <c r="X7" i="20"/>
  <c r="Q7" i="20"/>
  <c r="P7" i="20"/>
  <c r="O7" i="20"/>
  <c r="M7" i="20"/>
  <c r="H7" i="20"/>
  <c r="C7" i="20"/>
  <c r="AB6" i="20"/>
  <c r="AD6" i="20" s="1"/>
  <c r="J6" i="20" s="1"/>
  <c r="Y6" i="20"/>
  <c r="X6" i="20"/>
  <c r="Q6" i="20"/>
  <c r="P6" i="20"/>
  <c r="O6" i="20"/>
  <c r="M6" i="20"/>
  <c r="H6" i="20"/>
  <c r="C6" i="20"/>
  <c r="AB5" i="20"/>
  <c r="AD5" i="20" s="1"/>
  <c r="J5" i="20" s="1"/>
  <c r="K5" i="20" s="1"/>
  <c r="Y5" i="20"/>
  <c r="X5" i="20"/>
  <c r="P5" i="20"/>
  <c r="O5" i="20"/>
  <c r="Q5" i="20" s="1"/>
  <c r="M5" i="20"/>
  <c r="H5" i="20"/>
  <c r="C5" i="20"/>
  <c r="AB4" i="20"/>
  <c r="AD4" i="20" s="1"/>
  <c r="Y4" i="20"/>
  <c r="X4" i="20"/>
  <c r="P4" i="20"/>
  <c r="Q4" i="20" s="1"/>
  <c r="O4" i="20"/>
  <c r="M4" i="20"/>
  <c r="H4" i="20"/>
  <c r="C4" i="20"/>
  <c r="AG3" i="20"/>
  <c r="AF3" i="20"/>
  <c r="W3" i="20"/>
  <c r="X3" i="20" s="1"/>
  <c r="V3" i="20"/>
  <c r="U3" i="20"/>
  <c r="T3" i="20"/>
  <c r="O3" i="20"/>
  <c r="G3" i="20"/>
  <c r="H3" i="20" s="1"/>
  <c r="F3" i="20"/>
  <c r="D3" i="20"/>
  <c r="C3" i="20"/>
  <c r="A2" i="20"/>
  <c r="A1" i="20"/>
  <c r="AB32" i="19"/>
  <c r="AD32" i="19" s="1"/>
  <c r="AD3" i="19" s="1"/>
  <c r="Y32" i="19"/>
  <c r="X32" i="19"/>
  <c r="V32" i="19"/>
  <c r="U32" i="19"/>
  <c r="T32" i="19"/>
  <c r="P32" i="19"/>
  <c r="O32" i="19"/>
  <c r="Q32" i="19" s="1"/>
  <c r="M32" i="19"/>
  <c r="J32" i="19"/>
  <c r="H32" i="19"/>
  <c r="C32" i="19"/>
  <c r="AG3" i="19"/>
  <c r="AF3" i="19"/>
  <c r="W3" i="19"/>
  <c r="X3" i="19" s="1"/>
  <c r="V3" i="19"/>
  <c r="U3" i="19"/>
  <c r="T3" i="19"/>
  <c r="O3" i="19"/>
  <c r="H3" i="19"/>
  <c r="G3" i="19"/>
  <c r="F3" i="19"/>
  <c r="D3" i="19"/>
  <c r="C3" i="19"/>
  <c r="A2" i="19"/>
  <c r="A1" i="19"/>
  <c r="AB32" i="18"/>
  <c r="AD32" i="18" s="1"/>
  <c r="J32" i="18" s="1"/>
  <c r="K32" i="18" s="1"/>
  <c r="Y32" i="18"/>
  <c r="X32" i="18"/>
  <c r="V32" i="18"/>
  <c r="U32" i="18"/>
  <c r="T32" i="18"/>
  <c r="P32" i="18"/>
  <c r="Q32" i="18" s="1"/>
  <c r="O32" i="18"/>
  <c r="M32" i="18"/>
  <c r="I32" i="18"/>
  <c r="H32" i="18"/>
  <c r="C32" i="18"/>
  <c r="AD31" i="18"/>
  <c r="J31" i="18" s="1"/>
  <c r="I31" i="18" s="1"/>
  <c r="AB31" i="18"/>
  <c r="Y31" i="18"/>
  <c r="X31" i="18"/>
  <c r="P31" i="18"/>
  <c r="Q31" i="18" s="1"/>
  <c r="O31" i="18"/>
  <c r="M31" i="18"/>
  <c r="K31" i="18"/>
  <c r="H31" i="18"/>
  <c r="C31" i="18"/>
  <c r="AD30" i="18"/>
  <c r="J30" i="18" s="1"/>
  <c r="I30" i="18" s="1"/>
  <c r="AB30" i="18"/>
  <c r="Y30" i="18"/>
  <c r="X30" i="18"/>
  <c r="P30" i="18"/>
  <c r="O30" i="18"/>
  <c r="Q30" i="18" s="1"/>
  <c r="M30" i="18"/>
  <c r="K30" i="18"/>
  <c r="H30" i="18"/>
  <c r="C30" i="18"/>
  <c r="AB29" i="18"/>
  <c r="AD29" i="18" s="1"/>
  <c r="J29" i="18" s="1"/>
  <c r="Y29" i="18"/>
  <c r="X29" i="18"/>
  <c r="P29" i="18"/>
  <c r="O29" i="18"/>
  <c r="Q29" i="18" s="1"/>
  <c r="M29" i="18"/>
  <c r="H29" i="18"/>
  <c r="C29" i="18"/>
  <c r="AB28" i="18"/>
  <c r="AD28" i="18" s="1"/>
  <c r="Y28" i="18"/>
  <c r="X28" i="18"/>
  <c r="P28" i="18"/>
  <c r="O28" i="18"/>
  <c r="Q28" i="18" s="1"/>
  <c r="M28" i="18"/>
  <c r="J28" i="18"/>
  <c r="H28" i="18"/>
  <c r="C28" i="18"/>
  <c r="AB27" i="18"/>
  <c r="AD27" i="18" s="1"/>
  <c r="J27" i="18" s="1"/>
  <c r="Y27" i="18"/>
  <c r="X27" i="18"/>
  <c r="Q27" i="18"/>
  <c r="P27" i="18"/>
  <c r="O27" i="18"/>
  <c r="M27" i="18"/>
  <c r="H27" i="18"/>
  <c r="C27" i="18"/>
  <c r="AD26" i="18"/>
  <c r="J26" i="18" s="1"/>
  <c r="AB26" i="18"/>
  <c r="Y26" i="18"/>
  <c r="X26" i="18"/>
  <c r="Q26" i="18"/>
  <c r="P26" i="18"/>
  <c r="O26" i="18"/>
  <c r="M26" i="18"/>
  <c r="H26" i="18"/>
  <c r="C26" i="18"/>
  <c r="AB25" i="18"/>
  <c r="AD25" i="18" s="1"/>
  <c r="J25" i="18" s="1"/>
  <c r="Y25" i="18"/>
  <c r="X25" i="18"/>
  <c r="P25" i="18"/>
  <c r="O25" i="18"/>
  <c r="Q25" i="18" s="1"/>
  <c r="M25" i="18"/>
  <c r="H25" i="18"/>
  <c r="C25" i="18"/>
  <c r="AB24" i="18"/>
  <c r="AD24" i="18" s="1"/>
  <c r="J24" i="18" s="1"/>
  <c r="K24" i="18" s="1"/>
  <c r="Y24" i="18"/>
  <c r="X24" i="18"/>
  <c r="P24" i="18"/>
  <c r="Q24" i="18" s="1"/>
  <c r="O24" i="18"/>
  <c r="M24" i="18"/>
  <c r="I24" i="18"/>
  <c r="H24" i="18"/>
  <c r="C24" i="18"/>
  <c r="AD23" i="18"/>
  <c r="J23" i="18" s="1"/>
  <c r="I23" i="18" s="1"/>
  <c r="AB23" i="18"/>
  <c r="Y23" i="18"/>
  <c r="X23" i="18"/>
  <c r="P23" i="18"/>
  <c r="Q23" i="18" s="1"/>
  <c r="O23" i="18"/>
  <c r="M23" i="18"/>
  <c r="K23" i="18"/>
  <c r="H23" i="18"/>
  <c r="C23" i="18"/>
  <c r="AD22" i="18"/>
  <c r="J22" i="18" s="1"/>
  <c r="I22" i="18" s="1"/>
  <c r="AB22" i="18"/>
  <c r="Y22" i="18"/>
  <c r="X22" i="18"/>
  <c r="P22" i="18"/>
  <c r="O22" i="18"/>
  <c r="Q22" i="18" s="1"/>
  <c r="M22" i="18"/>
  <c r="H22" i="18"/>
  <c r="C22" i="18"/>
  <c r="AB21" i="18"/>
  <c r="AD21" i="18" s="1"/>
  <c r="J21" i="18" s="1"/>
  <c r="Y21" i="18"/>
  <c r="X21" i="18"/>
  <c r="P21" i="18"/>
  <c r="O21" i="18"/>
  <c r="Q21" i="18" s="1"/>
  <c r="M21" i="18"/>
  <c r="H21" i="18"/>
  <c r="C21" i="18"/>
  <c r="AB20" i="18"/>
  <c r="AD20" i="18" s="1"/>
  <c r="J20" i="18" s="1"/>
  <c r="Y20" i="18"/>
  <c r="X20" i="18"/>
  <c r="P20" i="18"/>
  <c r="O20" i="18"/>
  <c r="Q20" i="18" s="1"/>
  <c r="M20" i="18"/>
  <c r="H20" i="18"/>
  <c r="C20" i="18"/>
  <c r="AB19" i="18"/>
  <c r="AD19" i="18" s="1"/>
  <c r="Y19" i="18"/>
  <c r="X19" i="18"/>
  <c r="Q19" i="18"/>
  <c r="P19" i="18"/>
  <c r="O19" i="18"/>
  <c r="M19" i="18"/>
  <c r="J19" i="18"/>
  <c r="H19" i="18"/>
  <c r="C19" i="18"/>
  <c r="AB18" i="18"/>
  <c r="AD18" i="18" s="1"/>
  <c r="J18" i="18" s="1"/>
  <c r="Y18" i="18"/>
  <c r="X18" i="18"/>
  <c r="Q18" i="18"/>
  <c r="P18" i="18"/>
  <c r="O18" i="18"/>
  <c r="M18" i="18"/>
  <c r="H18" i="18"/>
  <c r="C18" i="18"/>
  <c r="AB17" i="18"/>
  <c r="AD17" i="18" s="1"/>
  <c r="J17" i="18" s="1"/>
  <c r="K17" i="18" s="1"/>
  <c r="Y17" i="18"/>
  <c r="X17" i="18"/>
  <c r="P17" i="18"/>
  <c r="O17" i="18"/>
  <c r="Q17" i="18" s="1"/>
  <c r="M17" i="18"/>
  <c r="I17" i="18"/>
  <c r="H17" i="18"/>
  <c r="C17" i="18"/>
  <c r="AB16" i="18"/>
  <c r="AD16" i="18" s="1"/>
  <c r="J16" i="18" s="1"/>
  <c r="K16" i="18" s="1"/>
  <c r="Y16" i="18"/>
  <c r="X16" i="18"/>
  <c r="P16" i="18"/>
  <c r="Q16" i="18" s="1"/>
  <c r="O16" i="18"/>
  <c r="M16" i="18"/>
  <c r="I16" i="18"/>
  <c r="H16" i="18"/>
  <c r="C16" i="18"/>
  <c r="AD15" i="18"/>
  <c r="J15" i="18" s="1"/>
  <c r="I15" i="18" s="1"/>
  <c r="AB15" i="18"/>
  <c r="Y15" i="18"/>
  <c r="X15" i="18"/>
  <c r="P15" i="18"/>
  <c r="Q15" i="18" s="1"/>
  <c r="O15" i="18"/>
  <c r="M15" i="18"/>
  <c r="H15" i="18"/>
  <c r="C15" i="18"/>
  <c r="AD14" i="18"/>
  <c r="J14" i="18" s="1"/>
  <c r="I14" i="18" s="1"/>
  <c r="AB14" i="18"/>
  <c r="Y14" i="18"/>
  <c r="X14" i="18"/>
  <c r="P14" i="18"/>
  <c r="O14" i="18"/>
  <c r="Q14" i="18" s="1"/>
  <c r="M14" i="18"/>
  <c r="H14" i="18"/>
  <c r="C14" i="18"/>
  <c r="AB13" i="18"/>
  <c r="AD13" i="18" s="1"/>
  <c r="J13" i="18" s="1"/>
  <c r="Y13" i="18"/>
  <c r="X13" i="18"/>
  <c r="P13" i="18"/>
  <c r="O13" i="18"/>
  <c r="Q13" i="18" s="1"/>
  <c r="M13" i="18"/>
  <c r="H13" i="18"/>
  <c r="C13" i="18"/>
  <c r="AB12" i="18"/>
  <c r="AD12" i="18" s="1"/>
  <c r="J12" i="18" s="1"/>
  <c r="Y12" i="18"/>
  <c r="X12" i="18"/>
  <c r="P12" i="18"/>
  <c r="O12" i="18"/>
  <c r="Q12" i="18" s="1"/>
  <c r="M12" i="18"/>
  <c r="H12" i="18"/>
  <c r="C12" i="18"/>
  <c r="AB11" i="18"/>
  <c r="AD11" i="18" s="1"/>
  <c r="Y11" i="18"/>
  <c r="X11" i="18"/>
  <c r="Q11" i="18"/>
  <c r="P11" i="18"/>
  <c r="O11" i="18"/>
  <c r="M11" i="18"/>
  <c r="J11" i="18"/>
  <c r="H11" i="18"/>
  <c r="C11" i="18"/>
  <c r="AB10" i="18"/>
  <c r="AD10" i="18" s="1"/>
  <c r="J10" i="18" s="1"/>
  <c r="Y10" i="18"/>
  <c r="X10" i="18"/>
  <c r="Q10" i="18"/>
  <c r="P10" i="18"/>
  <c r="O10" i="18"/>
  <c r="M10" i="18"/>
  <c r="H10" i="18"/>
  <c r="C10" i="18"/>
  <c r="AB9" i="18"/>
  <c r="AD9" i="18" s="1"/>
  <c r="J9" i="18" s="1"/>
  <c r="K9" i="18" s="1"/>
  <c r="Y9" i="18"/>
  <c r="X9" i="18"/>
  <c r="P9" i="18"/>
  <c r="O9" i="18"/>
  <c r="Q9" i="18" s="1"/>
  <c r="M9" i="18"/>
  <c r="H9" i="18"/>
  <c r="C9" i="18"/>
  <c r="AB8" i="18"/>
  <c r="AD8" i="18" s="1"/>
  <c r="J8" i="18" s="1"/>
  <c r="K8" i="18" s="1"/>
  <c r="Y8" i="18"/>
  <c r="X8" i="18"/>
  <c r="P8" i="18"/>
  <c r="Q8" i="18" s="1"/>
  <c r="O8" i="18"/>
  <c r="M8" i="18"/>
  <c r="H8" i="18"/>
  <c r="C8" i="18"/>
  <c r="AD7" i="18"/>
  <c r="J7" i="18" s="1"/>
  <c r="I7" i="18" s="1"/>
  <c r="AB7" i="18"/>
  <c r="Y7" i="18"/>
  <c r="X7" i="18"/>
  <c r="P7" i="18"/>
  <c r="Q7" i="18" s="1"/>
  <c r="O7" i="18"/>
  <c r="M7" i="18"/>
  <c r="H7" i="18"/>
  <c r="C7" i="18"/>
  <c r="AD6" i="18"/>
  <c r="J6" i="18" s="1"/>
  <c r="AB6" i="18"/>
  <c r="Y6" i="18"/>
  <c r="X6" i="18"/>
  <c r="P6" i="18"/>
  <c r="O6" i="18"/>
  <c r="Q6" i="18" s="1"/>
  <c r="M6" i="18"/>
  <c r="H6" i="18"/>
  <c r="C6" i="18"/>
  <c r="AB5" i="18"/>
  <c r="AD5" i="18" s="1"/>
  <c r="J5" i="18" s="1"/>
  <c r="Y5" i="18"/>
  <c r="X5" i="18"/>
  <c r="P5" i="18"/>
  <c r="O5" i="18"/>
  <c r="Q5" i="18" s="1"/>
  <c r="M5" i="18"/>
  <c r="H5" i="18"/>
  <c r="C5" i="18"/>
  <c r="AB4" i="18"/>
  <c r="AD4" i="18" s="1"/>
  <c r="Y4" i="18"/>
  <c r="X4" i="18"/>
  <c r="P4" i="18"/>
  <c r="O4" i="18"/>
  <c r="Q4" i="18" s="1"/>
  <c r="M4" i="18"/>
  <c r="J4" i="18"/>
  <c r="H4" i="18"/>
  <c r="C4" i="18"/>
  <c r="AG3" i="18"/>
  <c r="AF3" i="18"/>
  <c r="W3" i="18"/>
  <c r="X3" i="18" s="1"/>
  <c r="V3" i="18"/>
  <c r="U3" i="18"/>
  <c r="T3" i="18"/>
  <c r="O3" i="18"/>
  <c r="H3" i="18"/>
  <c r="G3" i="18"/>
  <c r="F3" i="18"/>
  <c r="D3" i="18"/>
  <c r="C3" i="18"/>
  <c r="A2" i="18"/>
  <c r="A1" i="18"/>
  <c r="AB32" i="17"/>
  <c r="AD32" i="17" s="1"/>
  <c r="J32" i="17" s="1"/>
  <c r="K32" i="17" s="1"/>
  <c r="Y32" i="17"/>
  <c r="X32" i="17"/>
  <c r="V32" i="17"/>
  <c r="U32" i="17"/>
  <c r="T32" i="17"/>
  <c r="P32" i="17"/>
  <c r="Q32" i="17" s="1"/>
  <c r="O32" i="17"/>
  <c r="M32" i="17"/>
  <c r="H32" i="17"/>
  <c r="C32" i="17"/>
  <c r="AD31" i="17"/>
  <c r="J31" i="17" s="1"/>
  <c r="I31" i="17" s="1"/>
  <c r="AB31" i="17"/>
  <c r="Y31" i="17"/>
  <c r="X31" i="17"/>
  <c r="P31" i="17"/>
  <c r="Q31" i="17" s="1"/>
  <c r="O31" i="17"/>
  <c r="M31" i="17"/>
  <c r="K31" i="17"/>
  <c r="H31" i="17"/>
  <c r="C31" i="17"/>
  <c r="AD30" i="17"/>
  <c r="J30" i="17" s="1"/>
  <c r="I30" i="17" s="1"/>
  <c r="AB30" i="17"/>
  <c r="Y30" i="17"/>
  <c r="X30" i="17"/>
  <c r="Q30" i="17"/>
  <c r="P30" i="17"/>
  <c r="O30" i="17"/>
  <c r="M30" i="17"/>
  <c r="K30" i="17"/>
  <c r="H30" i="17"/>
  <c r="C30" i="17"/>
  <c r="AB29" i="17"/>
  <c r="AD29" i="17" s="1"/>
  <c r="J29" i="17" s="1"/>
  <c r="K29" i="17" s="1"/>
  <c r="Y29" i="17"/>
  <c r="X29" i="17"/>
  <c r="P29" i="17"/>
  <c r="O29" i="17"/>
  <c r="Q29" i="17" s="1"/>
  <c r="M29" i="17"/>
  <c r="H29" i="17"/>
  <c r="C29" i="17"/>
  <c r="AB28" i="17"/>
  <c r="AD28" i="17" s="1"/>
  <c r="J28" i="17" s="1"/>
  <c r="Y28" i="17"/>
  <c r="X28" i="17"/>
  <c r="P28" i="17"/>
  <c r="O28" i="17"/>
  <c r="M28" i="17"/>
  <c r="H28" i="17"/>
  <c r="C28" i="17"/>
  <c r="AB27" i="17"/>
  <c r="AD27" i="17" s="1"/>
  <c r="Y27" i="17"/>
  <c r="X27" i="17"/>
  <c r="Q27" i="17"/>
  <c r="P27" i="17"/>
  <c r="O27" i="17"/>
  <c r="M27" i="17"/>
  <c r="J27" i="17"/>
  <c r="H27" i="17"/>
  <c r="C27" i="17"/>
  <c r="AD26" i="17"/>
  <c r="J26" i="17" s="1"/>
  <c r="AB26" i="17"/>
  <c r="Y26" i="17"/>
  <c r="X26" i="17"/>
  <c r="Q26" i="17"/>
  <c r="P26" i="17"/>
  <c r="O26" i="17"/>
  <c r="M26" i="17"/>
  <c r="H26" i="17"/>
  <c r="C26" i="17"/>
  <c r="AB25" i="17"/>
  <c r="AD25" i="17" s="1"/>
  <c r="J25" i="17" s="1"/>
  <c r="K25" i="17" s="1"/>
  <c r="Y25" i="17"/>
  <c r="X25" i="17"/>
  <c r="P25" i="17"/>
  <c r="O25" i="17"/>
  <c r="Q25" i="17" s="1"/>
  <c r="M25" i="17"/>
  <c r="H25" i="17"/>
  <c r="C25" i="17"/>
  <c r="AB24" i="17"/>
  <c r="AD24" i="17" s="1"/>
  <c r="J24" i="17" s="1"/>
  <c r="Y24" i="17"/>
  <c r="X24" i="17"/>
  <c r="P24" i="17"/>
  <c r="Q24" i="17" s="1"/>
  <c r="O24" i="17"/>
  <c r="M24" i="17"/>
  <c r="H24" i="17"/>
  <c r="C24" i="17"/>
  <c r="AD23" i="17"/>
  <c r="J23" i="17" s="1"/>
  <c r="I23" i="17" s="1"/>
  <c r="AB23" i="17"/>
  <c r="Y23" i="17"/>
  <c r="X23" i="17"/>
  <c r="Q23" i="17"/>
  <c r="P23" i="17"/>
  <c r="O23" i="17"/>
  <c r="M23" i="17"/>
  <c r="K23" i="17"/>
  <c r="H23" i="17"/>
  <c r="C23" i="17"/>
  <c r="AD22" i="17"/>
  <c r="J22" i="17" s="1"/>
  <c r="I22" i="17" s="1"/>
  <c r="AB22" i="17"/>
  <c r="Y22" i="17"/>
  <c r="X22" i="17"/>
  <c r="P22" i="17"/>
  <c r="Q22" i="17" s="1"/>
  <c r="O22" i="17"/>
  <c r="M22" i="17"/>
  <c r="K22" i="17"/>
  <c r="H22" i="17"/>
  <c r="C22" i="17"/>
  <c r="AD21" i="17"/>
  <c r="J21" i="17" s="1"/>
  <c r="K21" i="17" s="1"/>
  <c r="AB21" i="17"/>
  <c r="Y21" i="17"/>
  <c r="X21" i="17"/>
  <c r="P21" i="17"/>
  <c r="O21" i="17"/>
  <c r="Q21" i="17" s="1"/>
  <c r="M21" i="17"/>
  <c r="I21" i="17"/>
  <c r="H21" i="17"/>
  <c r="C21" i="17"/>
  <c r="AB20" i="17"/>
  <c r="AD20" i="17" s="1"/>
  <c r="J20" i="17" s="1"/>
  <c r="Y20" i="17"/>
  <c r="X20" i="17"/>
  <c r="P20" i="17"/>
  <c r="O20" i="17"/>
  <c r="M20" i="17"/>
  <c r="H20" i="17"/>
  <c r="C20" i="17"/>
  <c r="AD19" i="17"/>
  <c r="J19" i="17" s="1"/>
  <c r="I19" i="17" s="1"/>
  <c r="AB19" i="17"/>
  <c r="Y19" i="17"/>
  <c r="X19" i="17"/>
  <c r="Q19" i="17"/>
  <c r="P19" i="17"/>
  <c r="O19" i="17"/>
  <c r="M19" i="17"/>
  <c r="H19" i="17"/>
  <c r="C19" i="17"/>
  <c r="AB18" i="17"/>
  <c r="AD18" i="17" s="1"/>
  <c r="J18" i="17" s="1"/>
  <c r="Y18" i="17"/>
  <c r="X18" i="17"/>
  <c r="Q18" i="17"/>
  <c r="P18" i="17"/>
  <c r="O18" i="17"/>
  <c r="M18" i="17"/>
  <c r="H18" i="17"/>
  <c r="C18" i="17"/>
  <c r="AB17" i="17"/>
  <c r="AD17" i="17" s="1"/>
  <c r="J17" i="17" s="1"/>
  <c r="K17" i="17" s="1"/>
  <c r="Y17" i="17"/>
  <c r="X17" i="17"/>
  <c r="P17" i="17"/>
  <c r="O17" i="17"/>
  <c r="Q17" i="17" s="1"/>
  <c r="M17" i="17"/>
  <c r="H17" i="17"/>
  <c r="C17" i="17"/>
  <c r="AB16" i="17"/>
  <c r="AD16" i="17" s="1"/>
  <c r="J16" i="17" s="1"/>
  <c r="Y16" i="17"/>
  <c r="X16" i="17"/>
  <c r="P16" i="17"/>
  <c r="Q16" i="17" s="1"/>
  <c r="O16" i="17"/>
  <c r="M16" i="17"/>
  <c r="H16" i="17"/>
  <c r="C16" i="17"/>
  <c r="AD15" i="17"/>
  <c r="J15" i="17" s="1"/>
  <c r="I15" i="17" s="1"/>
  <c r="AB15" i="17"/>
  <c r="Y15" i="17"/>
  <c r="X15" i="17"/>
  <c r="Q15" i="17"/>
  <c r="P15" i="17"/>
  <c r="O15" i="17"/>
  <c r="M15" i="17"/>
  <c r="K15" i="17"/>
  <c r="H15" i="17"/>
  <c r="C15" i="17"/>
  <c r="AD14" i="17"/>
  <c r="J14" i="17" s="1"/>
  <c r="I14" i="17" s="1"/>
  <c r="AB14" i="17"/>
  <c r="Y14" i="17"/>
  <c r="X14" i="17"/>
  <c r="Q14" i="17"/>
  <c r="P14" i="17"/>
  <c r="O14" i="17"/>
  <c r="M14" i="17"/>
  <c r="K14" i="17"/>
  <c r="H14" i="17"/>
  <c r="C14" i="17"/>
  <c r="AD13" i="17"/>
  <c r="J13" i="17" s="1"/>
  <c r="K13" i="17" s="1"/>
  <c r="AB13" i="17"/>
  <c r="Y13" i="17"/>
  <c r="X13" i="17"/>
  <c r="P13" i="17"/>
  <c r="O13" i="17"/>
  <c r="Q13" i="17" s="1"/>
  <c r="M13" i="17"/>
  <c r="H13" i="17"/>
  <c r="C13" i="17"/>
  <c r="AB12" i="17"/>
  <c r="AD12" i="17" s="1"/>
  <c r="J12" i="17" s="1"/>
  <c r="Y12" i="17"/>
  <c r="X12" i="17"/>
  <c r="P12" i="17"/>
  <c r="O12" i="17"/>
  <c r="Q12" i="17" s="1"/>
  <c r="M12" i="17"/>
  <c r="H12" i="17"/>
  <c r="C12" i="17"/>
  <c r="AD11" i="17"/>
  <c r="J11" i="17" s="1"/>
  <c r="AB11" i="17"/>
  <c r="Y11" i="17"/>
  <c r="X11" i="17"/>
  <c r="Q11" i="17"/>
  <c r="P11" i="17"/>
  <c r="O11" i="17"/>
  <c r="M11" i="17"/>
  <c r="H11" i="17"/>
  <c r="C11" i="17"/>
  <c r="AB10" i="17"/>
  <c r="AD10" i="17" s="1"/>
  <c r="J10" i="17" s="1"/>
  <c r="Y10" i="17"/>
  <c r="X10" i="17"/>
  <c r="Q10" i="17"/>
  <c r="P10" i="17"/>
  <c r="O10" i="17"/>
  <c r="M10" i="17"/>
  <c r="H10" i="17"/>
  <c r="C10" i="17"/>
  <c r="AB9" i="17"/>
  <c r="AD9" i="17" s="1"/>
  <c r="J9" i="17" s="1"/>
  <c r="K9" i="17" s="1"/>
  <c r="Y9" i="17"/>
  <c r="X9" i="17"/>
  <c r="P9" i="17"/>
  <c r="O9" i="17"/>
  <c r="Q9" i="17" s="1"/>
  <c r="M9" i="17"/>
  <c r="H9" i="17"/>
  <c r="C9" i="17"/>
  <c r="AB8" i="17"/>
  <c r="AD8" i="17" s="1"/>
  <c r="J8" i="17" s="1"/>
  <c r="Y8" i="17"/>
  <c r="X8" i="17"/>
  <c r="P8" i="17"/>
  <c r="Q8" i="17" s="1"/>
  <c r="O8" i="17"/>
  <c r="M8" i="17"/>
  <c r="H8" i="17"/>
  <c r="C8" i="17"/>
  <c r="AD7" i="17"/>
  <c r="J7" i="17" s="1"/>
  <c r="I7" i="17" s="1"/>
  <c r="AB7" i="17"/>
  <c r="Y7" i="17"/>
  <c r="X7" i="17"/>
  <c r="P7" i="17"/>
  <c r="Q7" i="17" s="1"/>
  <c r="O7" i="17"/>
  <c r="M7" i="17"/>
  <c r="K7" i="17"/>
  <c r="H7" i="17"/>
  <c r="C7" i="17"/>
  <c r="AD6" i="17"/>
  <c r="J6" i="17" s="1"/>
  <c r="I6" i="17" s="1"/>
  <c r="AB6" i="17"/>
  <c r="Y6" i="17"/>
  <c r="X6" i="17"/>
  <c r="Q6" i="17"/>
  <c r="P6" i="17"/>
  <c r="O6" i="17"/>
  <c r="M6" i="17"/>
  <c r="K6" i="17"/>
  <c r="H6" i="17"/>
  <c r="C6" i="17"/>
  <c r="AD5" i="17"/>
  <c r="J5" i="17" s="1"/>
  <c r="K5" i="17" s="1"/>
  <c r="AB5" i="17"/>
  <c r="Y5" i="17"/>
  <c r="X5" i="17"/>
  <c r="P5" i="17"/>
  <c r="O5" i="17"/>
  <c r="Q5" i="17" s="1"/>
  <c r="M5" i="17"/>
  <c r="I5" i="17"/>
  <c r="H5" i="17"/>
  <c r="C5" i="17"/>
  <c r="AB4" i="17"/>
  <c r="AD4" i="17" s="1"/>
  <c r="J4" i="17" s="1"/>
  <c r="Y4" i="17"/>
  <c r="X4" i="17"/>
  <c r="P4" i="17"/>
  <c r="O4" i="17"/>
  <c r="M4" i="17"/>
  <c r="H4" i="17"/>
  <c r="C4" i="17"/>
  <c r="AG3" i="17"/>
  <c r="AF3" i="17"/>
  <c r="W3" i="17"/>
  <c r="X3" i="17" s="1"/>
  <c r="V3" i="17"/>
  <c r="U3" i="17"/>
  <c r="T3" i="17"/>
  <c r="O3" i="17"/>
  <c r="H3" i="17"/>
  <c r="G3" i="17"/>
  <c r="F3" i="17"/>
  <c r="D3" i="17"/>
  <c r="C3" i="17"/>
  <c r="A2" i="17"/>
  <c r="A1" i="17"/>
  <c r="AB32" i="16"/>
  <c r="AD32" i="16" s="1"/>
  <c r="J32" i="16" s="1"/>
  <c r="Y32" i="16"/>
  <c r="X32" i="16"/>
  <c r="V32" i="16"/>
  <c r="U32" i="16"/>
  <c r="T32" i="16"/>
  <c r="P32" i="16"/>
  <c r="O32" i="16"/>
  <c r="M32" i="16"/>
  <c r="H32" i="16"/>
  <c r="C32" i="16"/>
  <c r="AD31" i="16"/>
  <c r="J31" i="16" s="1"/>
  <c r="I31" i="16" s="1"/>
  <c r="AB31" i="16"/>
  <c r="Y31" i="16"/>
  <c r="X31" i="16"/>
  <c r="P31" i="16"/>
  <c r="Q31" i="16" s="1"/>
  <c r="O31" i="16"/>
  <c r="M31" i="16"/>
  <c r="K31" i="16"/>
  <c r="H31" i="16"/>
  <c r="C31" i="16"/>
  <c r="AD30" i="16"/>
  <c r="J30" i="16" s="1"/>
  <c r="I30" i="16" s="1"/>
  <c r="AB30" i="16"/>
  <c r="Y30" i="16"/>
  <c r="X30" i="16"/>
  <c r="Q30" i="16"/>
  <c r="P30" i="16"/>
  <c r="O30" i="16"/>
  <c r="M30" i="16"/>
  <c r="K30" i="16"/>
  <c r="H30" i="16"/>
  <c r="C30" i="16"/>
  <c r="AB29" i="16"/>
  <c r="AD29" i="16" s="1"/>
  <c r="J29" i="16" s="1"/>
  <c r="K29" i="16" s="1"/>
  <c r="Y29" i="16"/>
  <c r="X29" i="16"/>
  <c r="P29" i="16"/>
  <c r="O29" i="16"/>
  <c r="Q29" i="16" s="1"/>
  <c r="M29" i="16"/>
  <c r="H29" i="16"/>
  <c r="C29" i="16"/>
  <c r="AB28" i="16"/>
  <c r="AD28" i="16" s="1"/>
  <c r="J28" i="16" s="1"/>
  <c r="Y28" i="16"/>
  <c r="X28" i="16"/>
  <c r="P28" i="16"/>
  <c r="O28" i="16"/>
  <c r="M28" i="16"/>
  <c r="H28" i="16"/>
  <c r="C28" i="16"/>
  <c r="AB27" i="16"/>
  <c r="AD27" i="16" s="1"/>
  <c r="J27" i="16" s="1"/>
  <c r="Y27" i="16"/>
  <c r="X27" i="16"/>
  <c r="Q27" i="16"/>
  <c r="P27" i="16"/>
  <c r="O27" i="16"/>
  <c r="M27" i="16"/>
  <c r="H27" i="16"/>
  <c r="C27" i="16"/>
  <c r="AB26" i="16"/>
  <c r="AD26" i="16" s="1"/>
  <c r="J26" i="16" s="1"/>
  <c r="Y26" i="16"/>
  <c r="X26" i="16"/>
  <c r="Q26" i="16"/>
  <c r="P26" i="16"/>
  <c r="O26" i="16"/>
  <c r="M26" i="16"/>
  <c r="H26" i="16"/>
  <c r="C26" i="16"/>
  <c r="AB25" i="16"/>
  <c r="AD25" i="16" s="1"/>
  <c r="J25" i="16" s="1"/>
  <c r="K25" i="16" s="1"/>
  <c r="Y25" i="16"/>
  <c r="X25" i="16"/>
  <c r="P25" i="16"/>
  <c r="O25" i="16"/>
  <c r="Q25" i="16" s="1"/>
  <c r="M25" i="16"/>
  <c r="I25" i="16"/>
  <c r="H25" i="16"/>
  <c r="C25" i="16"/>
  <c r="AB24" i="16"/>
  <c r="AD24" i="16" s="1"/>
  <c r="J24" i="16" s="1"/>
  <c r="Y24" i="16"/>
  <c r="X24" i="16"/>
  <c r="P24" i="16"/>
  <c r="Q24" i="16" s="1"/>
  <c r="O24" i="16"/>
  <c r="M24" i="16"/>
  <c r="H24" i="16"/>
  <c r="C24" i="16"/>
  <c r="AD23" i="16"/>
  <c r="J23" i="16" s="1"/>
  <c r="I23" i="16" s="1"/>
  <c r="AB23" i="16"/>
  <c r="Y23" i="16"/>
  <c r="X23" i="16"/>
  <c r="P23" i="16"/>
  <c r="Q23" i="16" s="1"/>
  <c r="O23" i="16"/>
  <c r="M23" i="16"/>
  <c r="K23" i="16"/>
  <c r="H23" i="16"/>
  <c r="C23" i="16"/>
  <c r="AD22" i="16"/>
  <c r="J22" i="16" s="1"/>
  <c r="I22" i="16" s="1"/>
  <c r="AB22" i="16"/>
  <c r="Y22" i="16"/>
  <c r="X22" i="16"/>
  <c r="Q22" i="16"/>
  <c r="P22" i="16"/>
  <c r="O22" i="16"/>
  <c r="M22" i="16"/>
  <c r="K22" i="16"/>
  <c r="H22" i="16"/>
  <c r="C22" i="16"/>
  <c r="AD21" i="16"/>
  <c r="J21" i="16" s="1"/>
  <c r="K21" i="16" s="1"/>
  <c r="AB21" i="16"/>
  <c r="Y21" i="16"/>
  <c r="X21" i="16"/>
  <c r="P21" i="16"/>
  <c r="O21" i="16"/>
  <c r="Q21" i="16" s="1"/>
  <c r="M21" i="16"/>
  <c r="I21" i="16"/>
  <c r="H21" i="16"/>
  <c r="C21" i="16"/>
  <c r="AB20" i="16"/>
  <c r="AD20" i="16" s="1"/>
  <c r="J20" i="16" s="1"/>
  <c r="Y20" i="16"/>
  <c r="X20" i="16"/>
  <c r="P20" i="16"/>
  <c r="O20" i="16"/>
  <c r="M20" i="16"/>
  <c r="H20" i="16"/>
  <c r="C20" i="16"/>
  <c r="AD19" i="16"/>
  <c r="J19" i="16" s="1"/>
  <c r="I19" i="16" s="1"/>
  <c r="AB19" i="16"/>
  <c r="Y19" i="16"/>
  <c r="X19" i="16"/>
  <c r="Q19" i="16"/>
  <c r="P19" i="16"/>
  <c r="O19" i="16"/>
  <c r="M19" i="16"/>
  <c r="K19" i="16"/>
  <c r="H19" i="16"/>
  <c r="C19" i="16"/>
  <c r="AB18" i="16"/>
  <c r="AD18" i="16" s="1"/>
  <c r="J18" i="16" s="1"/>
  <c r="Y18" i="16"/>
  <c r="X18" i="16"/>
  <c r="Q18" i="16"/>
  <c r="P18" i="16"/>
  <c r="O18" i="16"/>
  <c r="M18" i="16"/>
  <c r="H18" i="16"/>
  <c r="C18" i="16"/>
  <c r="AD17" i="16"/>
  <c r="J17" i="16" s="1"/>
  <c r="K17" i="16" s="1"/>
  <c r="AB17" i="16"/>
  <c r="Y17" i="16"/>
  <c r="X17" i="16"/>
  <c r="P17" i="16"/>
  <c r="O17" i="16"/>
  <c r="Q17" i="16" s="1"/>
  <c r="M17" i="16"/>
  <c r="I17" i="16"/>
  <c r="H17" i="16"/>
  <c r="C17" i="16"/>
  <c r="AB16" i="16"/>
  <c r="AD16" i="16" s="1"/>
  <c r="J16" i="16" s="1"/>
  <c r="Y16" i="16"/>
  <c r="X16" i="16"/>
  <c r="P16" i="16"/>
  <c r="Q16" i="16" s="1"/>
  <c r="O16" i="16"/>
  <c r="M16" i="16"/>
  <c r="H16" i="16"/>
  <c r="C16" i="16"/>
  <c r="AD15" i="16"/>
  <c r="J15" i="16" s="1"/>
  <c r="I15" i="16" s="1"/>
  <c r="AB15" i="16"/>
  <c r="Y15" i="16"/>
  <c r="X15" i="16"/>
  <c r="P15" i="16"/>
  <c r="Q15" i="16" s="1"/>
  <c r="O15" i="16"/>
  <c r="M15" i="16"/>
  <c r="K15" i="16"/>
  <c r="H15" i="16"/>
  <c r="C15" i="16"/>
  <c r="AD14" i="16"/>
  <c r="J14" i="16" s="1"/>
  <c r="I14" i="16" s="1"/>
  <c r="AB14" i="16"/>
  <c r="Y14" i="16"/>
  <c r="X14" i="16"/>
  <c r="P14" i="16"/>
  <c r="Q14" i="16" s="1"/>
  <c r="O14" i="16"/>
  <c r="M14" i="16"/>
  <c r="H14" i="16"/>
  <c r="C14" i="16"/>
  <c r="AD13" i="16"/>
  <c r="J13" i="16" s="1"/>
  <c r="K13" i="16" s="1"/>
  <c r="AB13" i="16"/>
  <c r="Y13" i="16"/>
  <c r="X13" i="16"/>
  <c r="P13" i="16"/>
  <c r="O13" i="16"/>
  <c r="Q13" i="16" s="1"/>
  <c r="M13" i="16"/>
  <c r="H13" i="16"/>
  <c r="C13" i="16"/>
  <c r="AB12" i="16"/>
  <c r="AD12" i="16" s="1"/>
  <c r="J12" i="16" s="1"/>
  <c r="Y12" i="16"/>
  <c r="X12" i="16"/>
  <c r="P12" i="16"/>
  <c r="O12" i="16"/>
  <c r="Q12" i="16" s="1"/>
  <c r="M12" i="16"/>
  <c r="H12" i="16"/>
  <c r="C12" i="16"/>
  <c r="AD11" i="16"/>
  <c r="J11" i="16" s="1"/>
  <c r="AB11" i="16"/>
  <c r="Y11" i="16"/>
  <c r="X11" i="16"/>
  <c r="Q11" i="16"/>
  <c r="P11" i="16"/>
  <c r="O11" i="16"/>
  <c r="M11" i="16"/>
  <c r="H11" i="16"/>
  <c r="C11" i="16"/>
  <c r="AB10" i="16"/>
  <c r="AD10" i="16" s="1"/>
  <c r="J10" i="16" s="1"/>
  <c r="Y10" i="16"/>
  <c r="X10" i="16"/>
  <c r="Q10" i="16"/>
  <c r="P10" i="16"/>
  <c r="O10" i="16"/>
  <c r="M10" i="16"/>
  <c r="H10" i="16"/>
  <c r="C10" i="16"/>
  <c r="AB9" i="16"/>
  <c r="AD9" i="16" s="1"/>
  <c r="J9" i="16" s="1"/>
  <c r="K9" i="16" s="1"/>
  <c r="Y9" i="16"/>
  <c r="X9" i="16"/>
  <c r="P9" i="16"/>
  <c r="O9" i="16"/>
  <c r="Q9" i="16" s="1"/>
  <c r="M9" i="16"/>
  <c r="H9" i="16"/>
  <c r="C9" i="16"/>
  <c r="AB8" i="16"/>
  <c r="AD8" i="16" s="1"/>
  <c r="J8" i="16" s="1"/>
  <c r="Y8" i="16"/>
  <c r="X8" i="16"/>
  <c r="P8" i="16"/>
  <c r="Q8" i="16" s="1"/>
  <c r="O8" i="16"/>
  <c r="M8" i="16"/>
  <c r="H8" i="16"/>
  <c r="C8" i="16"/>
  <c r="AD7" i="16"/>
  <c r="J7" i="16" s="1"/>
  <c r="I7" i="16" s="1"/>
  <c r="AB7" i="16"/>
  <c r="Y7" i="16"/>
  <c r="X7" i="16"/>
  <c r="P7" i="16"/>
  <c r="Q7" i="16" s="1"/>
  <c r="O7" i="16"/>
  <c r="M7" i="16"/>
  <c r="K7" i="16"/>
  <c r="H7" i="16"/>
  <c r="C7" i="16"/>
  <c r="AD6" i="16"/>
  <c r="J6" i="16" s="1"/>
  <c r="K6" i="16" s="1"/>
  <c r="AB6" i="16"/>
  <c r="Y6" i="16"/>
  <c r="X6" i="16"/>
  <c r="P6" i="16"/>
  <c r="Q6" i="16" s="1"/>
  <c r="O6" i="16"/>
  <c r="M6" i="16"/>
  <c r="I6" i="16"/>
  <c r="H6" i="16"/>
  <c r="C6" i="16"/>
  <c r="AD5" i="16"/>
  <c r="J5" i="16" s="1"/>
  <c r="K5" i="16" s="1"/>
  <c r="AB5" i="16"/>
  <c r="Y5" i="16"/>
  <c r="X5" i="16"/>
  <c r="P5" i="16"/>
  <c r="O5" i="16"/>
  <c r="Q5" i="16" s="1"/>
  <c r="M5" i="16"/>
  <c r="I5" i="16"/>
  <c r="H5" i="16"/>
  <c r="C5" i="16"/>
  <c r="AD4" i="16"/>
  <c r="AB4" i="16"/>
  <c r="Y4" i="16"/>
  <c r="X4" i="16"/>
  <c r="P4" i="16"/>
  <c r="O4" i="16"/>
  <c r="Q4" i="16" s="1"/>
  <c r="M4" i="16"/>
  <c r="K4" i="16"/>
  <c r="J4" i="16"/>
  <c r="H4" i="16"/>
  <c r="C4" i="16"/>
  <c r="AG3" i="16"/>
  <c r="AF3" i="16"/>
  <c r="X3" i="16"/>
  <c r="W3" i="16"/>
  <c r="V3" i="16"/>
  <c r="U3" i="16"/>
  <c r="T3" i="16"/>
  <c r="O3" i="16"/>
  <c r="H3" i="16"/>
  <c r="G3" i="16"/>
  <c r="F3" i="16"/>
  <c r="D3" i="16"/>
  <c r="C3" i="16"/>
  <c r="A2" i="16"/>
  <c r="A1" i="16"/>
  <c r="AB32" i="15"/>
  <c r="AD32" i="15" s="1"/>
  <c r="J32" i="15" s="1"/>
  <c r="Y32" i="15"/>
  <c r="X32" i="15"/>
  <c r="V32" i="15"/>
  <c r="U32" i="15"/>
  <c r="T32" i="15"/>
  <c r="P32" i="15"/>
  <c r="Q32" i="15" s="1"/>
  <c r="O32" i="15"/>
  <c r="M32" i="15"/>
  <c r="H32" i="15"/>
  <c r="C32" i="15"/>
  <c r="AD31" i="15"/>
  <c r="J31" i="15" s="1"/>
  <c r="I31" i="15" s="1"/>
  <c r="AB31" i="15"/>
  <c r="Y31" i="15"/>
  <c r="X31" i="15"/>
  <c r="Q31" i="15"/>
  <c r="P31" i="15"/>
  <c r="O31" i="15"/>
  <c r="M31" i="15"/>
  <c r="K31" i="15"/>
  <c r="H31" i="15"/>
  <c r="C31" i="15"/>
  <c r="AD30" i="15"/>
  <c r="J30" i="15" s="1"/>
  <c r="K30" i="15" s="1"/>
  <c r="AB30" i="15"/>
  <c r="Y30" i="15"/>
  <c r="X30" i="15"/>
  <c r="P30" i="15"/>
  <c r="Q30" i="15" s="1"/>
  <c r="O30" i="15"/>
  <c r="M30" i="15"/>
  <c r="H30" i="15"/>
  <c r="C30" i="15"/>
  <c r="AD29" i="15"/>
  <c r="J29" i="15" s="1"/>
  <c r="K29" i="15" s="1"/>
  <c r="AB29" i="15"/>
  <c r="Y29" i="15"/>
  <c r="X29" i="15"/>
  <c r="P29" i="15"/>
  <c r="O29" i="15"/>
  <c r="Q29" i="15" s="1"/>
  <c r="M29" i="15"/>
  <c r="I29" i="15"/>
  <c r="H29" i="15"/>
  <c r="C29" i="15"/>
  <c r="AB28" i="15"/>
  <c r="AD28" i="15" s="1"/>
  <c r="J28" i="15" s="1"/>
  <c r="Y28" i="15"/>
  <c r="X28" i="15"/>
  <c r="P28" i="15"/>
  <c r="O28" i="15"/>
  <c r="M28" i="15"/>
  <c r="H28" i="15"/>
  <c r="C28" i="15"/>
  <c r="AD27" i="15"/>
  <c r="J27" i="15" s="1"/>
  <c r="I27" i="15" s="1"/>
  <c r="AB27" i="15"/>
  <c r="Y27" i="15"/>
  <c r="X27" i="15"/>
  <c r="Q27" i="15"/>
  <c r="P27" i="15"/>
  <c r="O27" i="15"/>
  <c r="M27" i="15"/>
  <c r="K27" i="15"/>
  <c r="H27" i="15"/>
  <c r="C27" i="15"/>
  <c r="AB26" i="15"/>
  <c r="AD26" i="15" s="1"/>
  <c r="J26" i="15" s="1"/>
  <c r="Y26" i="15"/>
  <c r="X26" i="15"/>
  <c r="P26" i="15"/>
  <c r="O26" i="15"/>
  <c r="Q26" i="15" s="1"/>
  <c r="M26" i="15"/>
  <c r="H26" i="15"/>
  <c r="C26" i="15"/>
  <c r="AB25" i="15"/>
  <c r="AD25" i="15" s="1"/>
  <c r="J25" i="15" s="1"/>
  <c r="Y25" i="15"/>
  <c r="X25" i="15"/>
  <c r="P25" i="15"/>
  <c r="O25" i="15"/>
  <c r="Q25" i="15" s="1"/>
  <c r="M25" i="15"/>
  <c r="H25" i="15"/>
  <c r="C25" i="15"/>
  <c r="AB24" i="15"/>
  <c r="AD24" i="15" s="1"/>
  <c r="Y24" i="15"/>
  <c r="X24" i="15"/>
  <c r="Q24" i="15"/>
  <c r="P24" i="15"/>
  <c r="O24" i="15"/>
  <c r="M24" i="15"/>
  <c r="J24" i="15"/>
  <c r="K24" i="15" s="1"/>
  <c r="H24" i="15"/>
  <c r="C24" i="15"/>
  <c r="AD23" i="15"/>
  <c r="J23" i="15" s="1"/>
  <c r="I23" i="15" s="1"/>
  <c r="AB23" i="15"/>
  <c r="Y23" i="15"/>
  <c r="X23" i="15"/>
  <c r="Q23" i="15"/>
  <c r="P23" i="15"/>
  <c r="O23" i="15"/>
  <c r="M23" i="15"/>
  <c r="K23" i="15"/>
  <c r="H23" i="15"/>
  <c r="C23" i="15"/>
  <c r="AD22" i="15"/>
  <c r="J22" i="15" s="1"/>
  <c r="AB22" i="15"/>
  <c r="Y22" i="15"/>
  <c r="X22" i="15"/>
  <c r="P22" i="15"/>
  <c r="Q22" i="15" s="1"/>
  <c r="O22" i="15"/>
  <c r="M22" i="15"/>
  <c r="K22" i="15"/>
  <c r="I22" i="15"/>
  <c r="H22" i="15"/>
  <c r="C22" i="15"/>
  <c r="AD21" i="15"/>
  <c r="J21" i="15" s="1"/>
  <c r="AB21" i="15"/>
  <c r="Y21" i="15"/>
  <c r="X21" i="15"/>
  <c r="P21" i="15"/>
  <c r="O21" i="15"/>
  <c r="M21" i="15"/>
  <c r="H21" i="15"/>
  <c r="C21" i="15"/>
  <c r="AD20" i="15"/>
  <c r="AB20" i="15"/>
  <c r="Y20" i="15"/>
  <c r="X20" i="15"/>
  <c r="P20" i="15"/>
  <c r="O20" i="15"/>
  <c r="M20" i="15"/>
  <c r="K20" i="15"/>
  <c r="J20" i="15"/>
  <c r="I20" i="15" s="1"/>
  <c r="H20" i="15"/>
  <c r="C20" i="15"/>
  <c r="AB19" i="15"/>
  <c r="AD19" i="15" s="1"/>
  <c r="J19" i="15" s="1"/>
  <c r="Y19" i="15"/>
  <c r="X19" i="15"/>
  <c r="Q19" i="15"/>
  <c r="P19" i="15"/>
  <c r="O19" i="15"/>
  <c r="M19" i="15"/>
  <c r="H19" i="15"/>
  <c r="C19" i="15"/>
  <c r="AB18" i="15"/>
  <c r="AD18" i="15" s="1"/>
  <c r="Y18" i="15"/>
  <c r="X18" i="15"/>
  <c r="P18" i="15"/>
  <c r="O18" i="15"/>
  <c r="Q18" i="15" s="1"/>
  <c r="M18" i="15"/>
  <c r="J18" i="15"/>
  <c r="H18" i="15"/>
  <c r="C18" i="15"/>
  <c r="AB17" i="15"/>
  <c r="AD17" i="15" s="1"/>
  <c r="Y17" i="15"/>
  <c r="X17" i="15"/>
  <c r="P17" i="15"/>
  <c r="O17" i="15"/>
  <c r="Q17" i="15" s="1"/>
  <c r="M17" i="15"/>
  <c r="J17" i="15"/>
  <c r="K17" i="15" s="1"/>
  <c r="H17" i="15"/>
  <c r="C17" i="15"/>
  <c r="AB16" i="15"/>
  <c r="AD16" i="15" s="1"/>
  <c r="J16" i="15" s="1"/>
  <c r="Y16" i="15"/>
  <c r="X16" i="15"/>
  <c r="Q16" i="15"/>
  <c r="P16" i="15"/>
  <c r="O16" i="15"/>
  <c r="M16" i="15"/>
  <c r="H16" i="15"/>
  <c r="C16" i="15"/>
  <c r="AD15" i="15"/>
  <c r="J15" i="15" s="1"/>
  <c r="I15" i="15" s="1"/>
  <c r="AB15" i="15"/>
  <c r="Y15" i="15"/>
  <c r="X15" i="15"/>
  <c r="P15" i="15"/>
  <c r="Q15" i="15" s="1"/>
  <c r="O15" i="15"/>
  <c r="M15" i="15"/>
  <c r="K15" i="15"/>
  <c r="H15" i="15"/>
  <c r="C15" i="15"/>
  <c r="AD14" i="15"/>
  <c r="J14" i="15" s="1"/>
  <c r="AB14" i="15"/>
  <c r="Y14" i="15"/>
  <c r="X14" i="15"/>
  <c r="P14" i="15"/>
  <c r="Q14" i="15" s="1"/>
  <c r="O14" i="15"/>
  <c r="M14" i="15"/>
  <c r="K14" i="15"/>
  <c r="I14" i="15"/>
  <c r="H14" i="15"/>
  <c r="C14" i="15"/>
  <c r="AD13" i="15"/>
  <c r="J13" i="15" s="1"/>
  <c r="K13" i="15" s="1"/>
  <c r="AB13" i="15"/>
  <c r="Y13" i="15"/>
  <c r="X13" i="15"/>
  <c r="P13" i="15"/>
  <c r="O13" i="15"/>
  <c r="M13" i="15"/>
  <c r="H13" i="15"/>
  <c r="C13" i="15"/>
  <c r="AB12" i="15"/>
  <c r="AD12" i="15" s="1"/>
  <c r="J12" i="15" s="1"/>
  <c r="Y12" i="15"/>
  <c r="X12" i="15"/>
  <c r="P12" i="15"/>
  <c r="O12" i="15"/>
  <c r="Q12" i="15" s="1"/>
  <c r="M12" i="15"/>
  <c r="H12" i="15"/>
  <c r="C12" i="15"/>
  <c r="AD11" i="15"/>
  <c r="J11" i="15" s="1"/>
  <c r="K11" i="15" s="1"/>
  <c r="AB11" i="15"/>
  <c r="Y11" i="15"/>
  <c r="X11" i="15"/>
  <c r="P11" i="15"/>
  <c r="O11" i="15"/>
  <c r="Q11" i="15" s="1"/>
  <c r="M11" i="15"/>
  <c r="I11" i="15"/>
  <c r="H11" i="15"/>
  <c r="C11" i="15"/>
  <c r="AB10" i="15"/>
  <c r="AD10" i="15" s="1"/>
  <c r="Y10" i="15"/>
  <c r="X10" i="15"/>
  <c r="P10" i="15"/>
  <c r="O10" i="15"/>
  <c r="Q10" i="15" s="1"/>
  <c r="M10" i="15"/>
  <c r="J10" i="15"/>
  <c r="H10" i="15"/>
  <c r="C10" i="15"/>
  <c r="AB9" i="15"/>
  <c r="AD9" i="15" s="1"/>
  <c r="Y9" i="15"/>
  <c r="X9" i="15"/>
  <c r="Q9" i="15"/>
  <c r="P9" i="15"/>
  <c r="O9" i="15"/>
  <c r="M9" i="15"/>
  <c r="H9" i="15"/>
  <c r="C9" i="15"/>
  <c r="AB8" i="15"/>
  <c r="AD8" i="15" s="1"/>
  <c r="Y8" i="15"/>
  <c r="X8" i="15"/>
  <c r="P8" i="15"/>
  <c r="Q8" i="15" s="1"/>
  <c r="O8" i="15"/>
  <c r="M8" i="15"/>
  <c r="J8" i="15"/>
  <c r="K8" i="15" s="1"/>
  <c r="H8" i="15"/>
  <c r="C8" i="15"/>
  <c r="AD7" i="15"/>
  <c r="J7" i="15" s="1"/>
  <c r="AB7" i="15"/>
  <c r="Y7" i="15"/>
  <c r="X7" i="15"/>
  <c r="Q7" i="15"/>
  <c r="P7" i="15"/>
  <c r="O7" i="15"/>
  <c r="M7" i="15"/>
  <c r="K7" i="15"/>
  <c r="I7" i="15"/>
  <c r="H7" i="15"/>
  <c r="C7" i="15"/>
  <c r="AD6" i="15"/>
  <c r="AB6" i="15"/>
  <c r="Y6" i="15"/>
  <c r="X6" i="15"/>
  <c r="P6" i="15"/>
  <c r="Q6" i="15" s="1"/>
  <c r="O6" i="15"/>
  <c r="M6" i="15"/>
  <c r="K6" i="15"/>
  <c r="J6" i="15"/>
  <c r="I6" i="15" s="1"/>
  <c r="H6" i="15"/>
  <c r="C6" i="15"/>
  <c r="AD5" i="15"/>
  <c r="J5" i="15" s="1"/>
  <c r="AB5" i="15"/>
  <c r="Y5" i="15"/>
  <c r="X5" i="15"/>
  <c r="Q5" i="15"/>
  <c r="P5" i="15"/>
  <c r="O5" i="15"/>
  <c r="M5" i="15"/>
  <c r="K5" i="15"/>
  <c r="I5" i="15"/>
  <c r="H5" i="15"/>
  <c r="C5" i="15"/>
  <c r="AD4" i="15"/>
  <c r="AB4" i="15"/>
  <c r="Y4" i="15"/>
  <c r="X4" i="15"/>
  <c r="P4" i="15"/>
  <c r="O4" i="15"/>
  <c r="Q4" i="15" s="1"/>
  <c r="M4" i="15"/>
  <c r="K4" i="15"/>
  <c r="J4" i="15"/>
  <c r="I4" i="15" s="1"/>
  <c r="H4" i="15"/>
  <c r="C4" i="15"/>
  <c r="AG3" i="15"/>
  <c r="AF3" i="15"/>
  <c r="W3" i="15"/>
  <c r="X3" i="15" s="1"/>
  <c r="V3" i="15"/>
  <c r="U3" i="15"/>
  <c r="T3" i="15"/>
  <c r="O3" i="15"/>
  <c r="H3" i="15"/>
  <c r="G3" i="15"/>
  <c r="F3" i="15"/>
  <c r="D3" i="15"/>
  <c r="C3" i="15"/>
  <c r="A2" i="15"/>
  <c r="A1" i="15"/>
  <c r="AB32" i="14"/>
  <c r="AD32" i="14" s="1"/>
  <c r="Y32" i="14"/>
  <c r="X32" i="14"/>
  <c r="V32" i="14"/>
  <c r="U32" i="14"/>
  <c r="T32" i="14"/>
  <c r="P32" i="14"/>
  <c r="Q32" i="14" s="1"/>
  <c r="O32" i="14"/>
  <c r="M32" i="14"/>
  <c r="H32" i="14"/>
  <c r="C32" i="14"/>
  <c r="AG3" i="14"/>
  <c r="AF3" i="14"/>
  <c r="W3" i="14"/>
  <c r="V3" i="14"/>
  <c r="U3" i="14"/>
  <c r="T3" i="14"/>
  <c r="O3" i="14"/>
  <c r="G3" i="14"/>
  <c r="H3" i="14" s="1"/>
  <c r="F3" i="14"/>
  <c r="D3" i="14"/>
  <c r="C3" i="14"/>
  <c r="A2" i="14"/>
  <c r="A1" i="14"/>
  <c r="AB32" i="13"/>
  <c r="AD32" i="13" s="1"/>
  <c r="Y32" i="13"/>
  <c r="X32" i="13"/>
  <c r="V32" i="13"/>
  <c r="U32" i="13"/>
  <c r="T32" i="13"/>
  <c r="P32" i="13"/>
  <c r="O32" i="13"/>
  <c r="Q32" i="13" s="1"/>
  <c r="M32" i="13"/>
  <c r="H32" i="13"/>
  <c r="C32" i="13"/>
  <c r="AG3" i="13"/>
  <c r="AF3" i="13"/>
  <c r="W3" i="13"/>
  <c r="X3" i="13" s="1"/>
  <c r="V3" i="13"/>
  <c r="U3" i="13"/>
  <c r="T3" i="13"/>
  <c r="O3" i="13"/>
  <c r="G3" i="13"/>
  <c r="F3" i="13"/>
  <c r="H3" i="13" s="1"/>
  <c r="D3" i="13"/>
  <c r="C3" i="13"/>
  <c r="A2" i="13"/>
  <c r="A1" i="13"/>
  <c r="AB32" i="12"/>
  <c r="AD32" i="12" s="1"/>
  <c r="AD3" i="12" s="1"/>
  <c r="Y32" i="12"/>
  <c r="X32" i="12"/>
  <c r="V32" i="12"/>
  <c r="U32" i="12"/>
  <c r="T32" i="12"/>
  <c r="P32" i="12"/>
  <c r="O32" i="12"/>
  <c r="Q32" i="12" s="1"/>
  <c r="M32" i="12"/>
  <c r="J32" i="12"/>
  <c r="H32" i="12"/>
  <c r="C32" i="12"/>
  <c r="AG3" i="12"/>
  <c r="AF3" i="12"/>
  <c r="W3" i="12"/>
  <c r="X3" i="12" s="1"/>
  <c r="V3" i="12"/>
  <c r="U3" i="12"/>
  <c r="T3" i="12"/>
  <c r="O3" i="12"/>
  <c r="H3" i="12"/>
  <c r="G3" i="12"/>
  <c r="F3" i="12"/>
  <c r="D3" i="12"/>
  <c r="C3" i="12"/>
  <c r="A2" i="12"/>
  <c r="A1" i="12"/>
  <c r="AB32" i="11"/>
  <c r="AD32" i="11" s="1"/>
  <c r="Y32" i="11"/>
  <c r="X32" i="11"/>
  <c r="V32" i="11"/>
  <c r="U32" i="11"/>
  <c r="T32" i="11"/>
  <c r="P32" i="11"/>
  <c r="O32" i="11"/>
  <c r="Q32" i="11" s="1"/>
  <c r="M32" i="11"/>
  <c r="H32" i="11"/>
  <c r="C32" i="11"/>
  <c r="AG3" i="11"/>
  <c r="AF3" i="11"/>
  <c r="W3" i="11"/>
  <c r="X3" i="11" s="1"/>
  <c r="V3" i="11"/>
  <c r="U3" i="11"/>
  <c r="T3" i="11"/>
  <c r="O3" i="11"/>
  <c r="G3" i="11"/>
  <c r="F3" i="11"/>
  <c r="H3" i="11" s="1"/>
  <c r="D3" i="11"/>
  <c r="C3" i="11"/>
  <c r="A2" i="11"/>
  <c r="A1" i="11"/>
  <c r="AB32" i="10"/>
  <c r="AD32" i="10" s="1"/>
  <c r="Y32" i="10"/>
  <c r="X32" i="10"/>
  <c r="V32" i="10"/>
  <c r="U32" i="10"/>
  <c r="T32" i="10"/>
  <c r="P32" i="10"/>
  <c r="O32" i="10"/>
  <c r="Q32" i="10" s="1"/>
  <c r="M32" i="10"/>
  <c r="J32" i="10"/>
  <c r="H32" i="10"/>
  <c r="C32" i="10"/>
  <c r="AD31" i="10"/>
  <c r="J31" i="10" s="1"/>
  <c r="AB31" i="10"/>
  <c r="Y31" i="10"/>
  <c r="X31" i="10"/>
  <c r="Q31" i="10"/>
  <c r="P31" i="10"/>
  <c r="O31" i="10"/>
  <c r="M31" i="10"/>
  <c r="H31" i="10"/>
  <c r="C31" i="10"/>
  <c r="AB30" i="10"/>
  <c r="AD30" i="10" s="1"/>
  <c r="J30" i="10" s="1"/>
  <c r="Y30" i="10"/>
  <c r="X30" i="10"/>
  <c r="P30" i="10"/>
  <c r="O30" i="10"/>
  <c r="Q30" i="10" s="1"/>
  <c r="M30" i="10"/>
  <c r="H30" i="10"/>
  <c r="C30" i="10"/>
  <c r="AD29" i="10"/>
  <c r="J29" i="10" s="1"/>
  <c r="K29" i="10" s="1"/>
  <c r="AB29" i="10"/>
  <c r="Y29" i="10"/>
  <c r="X29" i="10"/>
  <c r="P29" i="10"/>
  <c r="O29" i="10"/>
  <c r="Q29" i="10" s="1"/>
  <c r="M29" i="10"/>
  <c r="H29" i="10"/>
  <c r="C29" i="10"/>
  <c r="AB28" i="10"/>
  <c r="AD28" i="10" s="1"/>
  <c r="J28" i="10" s="1"/>
  <c r="Y28" i="10"/>
  <c r="X28" i="10"/>
  <c r="P28" i="10"/>
  <c r="Q28" i="10" s="1"/>
  <c r="O28" i="10"/>
  <c r="M28" i="10"/>
  <c r="H28" i="10"/>
  <c r="C28" i="10"/>
  <c r="AD27" i="10"/>
  <c r="J27" i="10" s="1"/>
  <c r="I27" i="10" s="1"/>
  <c r="AB27" i="10"/>
  <c r="Y27" i="10"/>
  <c r="X27" i="10"/>
  <c r="P27" i="10"/>
  <c r="O27" i="10"/>
  <c r="Q27" i="10" s="1"/>
  <c r="M27" i="10"/>
  <c r="H27" i="10"/>
  <c r="C27" i="10"/>
  <c r="AB26" i="10"/>
  <c r="AD26" i="10" s="1"/>
  <c r="J26" i="10" s="1"/>
  <c r="Y26" i="10"/>
  <c r="X26" i="10"/>
  <c r="P26" i="10"/>
  <c r="Q26" i="10" s="1"/>
  <c r="O26" i="10"/>
  <c r="M26" i="10"/>
  <c r="H26" i="10"/>
  <c r="C26" i="10"/>
  <c r="AD25" i="10"/>
  <c r="J25" i="10" s="1"/>
  <c r="AB25" i="10"/>
  <c r="Y25" i="10"/>
  <c r="X25" i="10"/>
  <c r="P25" i="10"/>
  <c r="O25" i="10"/>
  <c r="Q25" i="10" s="1"/>
  <c r="M25" i="10"/>
  <c r="H25" i="10"/>
  <c r="C25" i="10"/>
  <c r="AB24" i="10"/>
  <c r="AD24" i="10" s="1"/>
  <c r="J24" i="10" s="1"/>
  <c r="Y24" i="10"/>
  <c r="X24" i="10"/>
  <c r="P24" i="10"/>
  <c r="O24" i="10"/>
  <c r="Q24" i="10" s="1"/>
  <c r="M24" i="10"/>
  <c r="H24" i="10"/>
  <c r="C24" i="10"/>
  <c r="AD23" i="10"/>
  <c r="J23" i="10" s="1"/>
  <c r="AB23" i="10"/>
  <c r="Y23" i="10"/>
  <c r="X23" i="10"/>
  <c r="Q23" i="10"/>
  <c r="P23" i="10"/>
  <c r="O23" i="10"/>
  <c r="M23" i="10"/>
  <c r="H23" i="10"/>
  <c r="C23" i="10"/>
  <c r="AB22" i="10"/>
  <c r="AD22" i="10" s="1"/>
  <c r="J22" i="10" s="1"/>
  <c r="Y22" i="10"/>
  <c r="X22" i="10"/>
  <c r="P22" i="10"/>
  <c r="O22" i="10"/>
  <c r="Q22" i="10" s="1"/>
  <c r="M22" i="10"/>
  <c r="H22" i="10"/>
  <c r="C22" i="10"/>
  <c r="AD21" i="10"/>
  <c r="J21" i="10" s="1"/>
  <c r="K21" i="10" s="1"/>
  <c r="AB21" i="10"/>
  <c r="Y21" i="10"/>
  <c r="X21" i="10"/>
  <c r="P21" i="10"/>
  <c r="O21" i="10"/>
  <c r="Q21" i="10" s="1"/>
  <c r="M21" i="10"/>
  <c r="H21" i="10"/>
  <c r="C21" i="10"/>
  <c r="AB20" i="10"/>
  <c r="AD20" i="10" s="1"/>
  <c r="J20" i="10" s="1"/>
  <c r="Y20" i="10"/>
  <c r="X20" i="10"/>
  <c r="P20" i="10"/>
  <c r="Q20" i="10" s="1"/>
  <c r="O20" i="10"/>
  <c r="M20" i="10"/>
  <c r="H20" i="10"/>
  <c r="C20" i="10"/>
  <c r="AD19" i="10"/>
  <c r="J19" i="10" s="1"/>
  <c r="I19" i="10" s="1"/>
  <c r="AB19" i="10"/>
  <c r="Y19" i="10"/>
  <c r="X19" i="10"/>
  <c r="P19" i="10"/>
  <c r="O19" i="10"/>
  <c r="Q19" i="10" s="1"/>
  <c r="M19" i="10"/>
  <c r="H19" i="10"/>
  <c r="C19" i="10"/>
  <c r="AB18" i="10"/>
  <c r="AD18" i="10" s="1"/>
  <c r="J18" i="10" s="1"/>
  <c r="Y18" i="10"/>
  <c r="X18" i="10"/>
  <c r="P18" i="10"/>
  <c r="Q18" i="10" s="1"/>
  <c r="O18" i="10"/>
  <c r="M18" i="10"/>
  <c r="H18" i="10"/>
  <c r="C18" i="10"/>
  <c r="AD17" i="10"/>
  <c r="J17" i="10" s="1"/>
  <c r="AB17" i="10"/>
  <c r="Y17" i="10"/>
  <c r="X17" i="10"/>
  <c r="P17" i="10"/>
  <c r="O17" i="10"/>
  <c r="Q17" i="10" s="1"/>
  <c r="M17" i="10"/>
  <c r="H17" i="10"/>
  <c r="C17" i="10"/>
  <c r="AB16" i="10"/>
  <c r="AD16" i="10" s="1"/>
  <c r="J16" i="10" s="1"/>
  <c r="Y16" i="10"/>
  <c r="X16" i="10"/>
  <c r="P16" i="10"/>
  <c r="O16" i="10"/>
  <c r="Q16" i="10" s="1"/>
  <c r="M16" i="10"/>
  <c r="H16" i="10"/>
  <c r="C16" i="10"/>
  <c r="AD15" i="10"/>
  <c r="J15" i="10" s="1"/>
  <c r="AB15" i="10"/>
  <c r="Y15" i="10"/>
  <c r="X15" i="10"/>
  <c r="Q15" i="10"/>
  <c r="P15" i="10"/>
  <c r="O15" i="10"/>
  <c r="M15" i="10"/>
  <c r="H15" i="10"/>
  <c r="C15" i="10"/>
  <c r="AB14" i="10"/>
  <c r="AD14" i="10" s="1"/>
  <c r="J14" i="10" s="1"/>
  <c r="Y14" i="10"/>
  <c r="X14" i="10"/>
  <c r="P14" i="10"/>
  <c r="O14" i="10"/>
  <c r="Q14" i="10" s="1"/>
  <c r="M14" i="10"/>
  <c r="H14" i="10"/>
  <c r="C14" i="10"/>
  <c r="AD13" i="10"/>
  <c r="J13" i="10" s="1"/>
  <c r="K13" i="10" s="1"/>
  <c r="AB13" i="10"/>
  <c r="Y13" i="10"/>
  <c r="X13" i="10"/>
  <c r="P13" i="10"/>
  <c r="O13" i="10"/>
  <c r="Q13" i="10" s="1"/>
  <c r="M13" i="10"/>
  <c r="H13" i="10"/>
  <c r="C13" i="10"/>
  <c r="AB12" i="10"/>
  <c r="AD12" i="10" s="1"/>
  <c r="J12" i="10" s="1"/>
  <c r="Y12" i="10"/>
  <c r="X12" i="10"/>
  <c r="P12" i="10"/>
  <c r="O12" i="10"/>
  <c r="M12" i="10"/>
  <c r="H12" i="10"/>
  <c r="C12" i="10"/>
  <c r="AD11" i="10"/>
  <c r="J11" i="10" s="1"/>
  <c r="I11" i="10" s="1"/>
  <c r="AB11" i="10"/>
  <c r="Y11" i="10"/>
  <c r="X11" i="10"/>
  <c r="P11" i="10"/>
  <c r="O11" i="10"/>
  <c r="Q11" i="10" s="1"/>
  <c r="M11" i="10"/>
  <c r="H11" i="10"/>
  <c r="C11" i="10"/>
  <c r="AB10" i="10"/>
  <c r="AD10" i="10" s="1"/>
  <c r="J10" i="10" s="1"/>
  <c r="Y10" i="10"/>
  <c r="X10" i="10"/>
  <c r="P10" i="10"/>
  <c r="Q10" i="10" s="1"/>
  <c r="O10" i="10"/>
  <c r="M10" i="10"/>
  <c r="H10" i="10"/>
  <c r="C10" i="10"/>
  <c r="AD9" i="10"/>
  <c r="J9" i="10" s="1"/>
  <c r="AB9" i="10"/>
  <c r="Y9" i="10"/>
  <c r="X9" i="10"/>
  <c r="P9" i="10"/>
  <c r="O9" i="10"/>
  <c r="Q9" i="10" s="1"/>
  <c r="M9" i="10"/>
  <c r="H9" i="10"/>
  <c r="C9" i="10"/>
  <c r="AB8" i="10"/>
  <c r="AD8" i="10" s="1"/>
  <c r="J8" i="10" s="1"/>
  <c r="Y8" i="10"/>
  <c r="X8" i="10"/>
  <c r="P8" i="10"/>
  <c r="O8" i="10"/>
  <c r="Q8" i="10" s="1"/>
  <c r="M8" i="10"/>
  <c r="H8" i="10"/>
  <c r="C8" i="10"/>
  <c r="AD7" i="10"/>
  <c r="J7" i="10" s="1"/>
  <c r="AB7" i="10"/>
  <c r="Y7" i="10"/>
  <c r="X7" i="10"/>
  <c r="Q7" i="10"/>
  <c r="P7" i="10"/>
  <c r="O7" i="10"/>
  <c r="M7" i="10"/>
  <c r="H7" i="10"/>
  <c r="C7" i="10"/>
  <c r="AB6" i="10"/>
  <c r="AD6" i="10" s="1"/>
  <c r="J6" i="10" s="1"/>
  <c r="Y6" i="10"/>
  <c r="X6" i="10"/>
  <c r="P6" i="10"/>
  <c r="O6" i="10"/>
  <c r="Q6" i="10" s="1"/>
  <c r="M6" i="10"/>
  <c r="H6" i="10"/>
  <c r="C6" i="10"/>
  <c r="AD5" i="10"/>
  <c r="J5" i="10" s="1"/>
  <c r="K5" i="10" s="1"/>
  <c r="AB5" i="10"/>
  <c r="Y5" i="10"/>
  <c r="X5" i="10"/>
  <c r="P5" i="10"/>
  <c r="O5" i="10"/>
  <c r="Q5" i="10" s="1"/>
  <c r="M5" i="10"/>
  <c r="H5" i="10"/>
  <c r="C5" i="10"/>
  <c r="AB4" i="10"/>
  <c r="AD4" i="10" s="1"/>
  <c r="Y4" i="10"/>
  <c r="X4" i="10"/>
  <c r="P4" i="10"/>
  <c r="Q4" i="10" s="1"/>
  <c r="O4" i="10"/>
  <c r="M4" i="10"/>
  <c r="H4" i="10"/>
  <c r="C4" i="10"/>
  <c r="AG3" i="10"/>
  <c r="AF3" i="10"/>
  <c r="W3" i="10"/>
  <c r="X3" i="10" s="1"/>
  <c r="V3" i="10"/>
  <c r="U3" i="10"/>
  <c r="T3" i="10"/>
  <c r="O3" i="10"/>
  <c r="G3" i="10"/>
  <c r="F3" i="10"/>
  <c r="H3" i="10" s="1"/>
  <c r="D3" i="10"/>
  <c r="C3" i="10"/>
  <c r="A2" i="10"/>
  <c r="A1" i="10"/>
  <c r="AB32" i="9"/>
  <c r="AD32" i="9" s="1"/>
  <c r="J32" i="9" s="1"/>
  <c r="Y32" i="9"/>
  <c r="X32" i="9"/>
  <c r="V32" i="9"/>
  <c r="U32" i="9"/>
  <c r="T32" i="9"/>
  <c r="P32" i="9"/>
  <c r="O32" i="9"/>
  <c r="Q32" i="9" s="1"/>
  <c r="M32" i="9"/>
  <c r="H32" i="9"/>
  <c r="C32" i="9"/>
  <c r="AD31" i="9"/>
  <c r="J31" i="9" s="1"/>
  <c r="AB31" i="9"/>
  <c r="Y31" i="9"/>
  <c r="X31" i="9"/>
  <c r="Q31" i="9"/>
  <c r="P31" i="9"/>
  <c r="O31" i="9"/>
  <c r="M31" i="9"/>
  <c r="H31" i="9"/>
  <c r="C31" i="9"/>
  <c r="AB30" i="9"/>
  <c r="AD30" i="9" s="1"/>
  <c r="J30" i="9" s="1"/>
  <c r="Y30" i="9"/>
  <c r="X30" i="9"/>
  <c r="P30" i="9"/>
  <c r="O30" i="9"/>
  <c r="Q30" i="9" s="1"/>
  <c r="M30" i="9"/>
  <c r="H30" i="9"/>
  <c r="C30" i="9"/>
  <c r="AD29" i="9"/>
  <c r="J29" i="9" s="1"/>
  <c r="K29" i="9" s="1"/>
  <c r="AB29" i="9"/>
  <c r="Y29" i="9"/>
  <c r="X29" i="9"/>
  <c r="P29" i="9"/>
  <c r="O29" i="9"/>
  <c r="Q29" i="9" s="1"/>
  <c r="M29" i="9"/>
  <c r="I29" i="9"/>
  <c r="H29" i="9"/>
  <c r="C29" i="9"/>
  <c r="AB28" i="9"/>
  <c r="AD28" i="9" s="1"/>
  <c r="J28" i="9" s="1"/>
  <c r="Y28" i="9"/>
  <c r="X28" i="9"/>
  <c r="P28" i="9"/>
  <c r="Q28" i="9" s="1"/>
  <c r="O28" i="9"/>
  <c r="M28" i="9"/>
  <c r="H28" i="9"/>
  <c r="C28" i="9"/>
  <c r="AD27" i="9"/>
  <c r="J27" i="9" s="1"/>
  <c r="I27" i="9" s="1"/>
  <c r="AB27" i="9"/>
  <c r="Y27" i="9"/>
  <c r="X27" i="9"/>
  <c r="P27" i="9"/>
  <c r="O27" i="9"/>
  <c r="Q27" i="9" s="1"/>
  <c r="M27" i="9"/>
  <c r="H27" i="9"/>
  <c r="C27" i="9"/>
  <c r="AB26" i="9"/>
  <c r="AD26" i="9" s="1"/>
  <c r="J26" i="9" s="1"/>
  <c r="Y26" i="9"/>
  <c r="X26" i="9"/>
  <c r="P26" i="9"/>
  <c r="Q26" i="9" s="1"/>
  <c r="O26" i="9"/>
  <c r="M26" i="9"/>
  <c r="H26" i="9"/>
  <c r="C26" i="9"/>
  <c r="AD25" i="9"/>
  <c r="J25" i="9" s="1"/>
  <c r="AB25" i="9"/>
  <c r="Y25" i="9"/>
  <c r="X25" i="9"/>
  <c r="P25" i="9"/>
  <c r="O25" i="9"/>
  <c r="Q25" i="9" s="1"/>
  <c r="M25" i="9"/>
  <c r="H25" i="9"/>
  <c r="C25" i="9"/>
  <c r="AB24" i="9"/>
  <c r="AD24" i="9" s="1"/>
  <c r="J24" i="9" s="1"/>
  <c r="Y24" i="9"/>
  <c r="X24" i="9"/>
  <c r="P24" i="9"/>
  <c r="O24" i="9"/>
  <c r="Q24" i="9" s="1"/>
  <c r="M24" i="9"/>
  <c r="H24" i="9"/>
  <c r="C24" i="9"/>
  <c r="AD23" i="9"/>
  <c r="J23" i="9" s="1"/>
  <c r="AB23" i="9"/>
  <c r="Y23" i="9"/>
  <c r="X23" i="9"/>
  <c r="Q23" i="9"/>
  <c r="P23" i="9"/>
  <c r="O23" i="9"/>
  <c r="M23" i="9"/>
  <c r="H23" i="9"/>
  <c r="C23" i="9"/>
  <c r="AB22" i="9"/>
  <c r="AD22" i="9" s="1"/>
  <c r="J22" i="9" s="1"/>
  <c r="Y22" i="9"/>
  <c r="X22" i="9"/>
  <c r="P22" i="9"/>
  <c r="O22" i="9"/>
  <c r="Q22" i="9" s="1"/>
  <c r="M22" i="9"/>
  <c r="H22" i="9"/>
  <c r="C22" i="9"/>
  <c r="AD21" i="9"/>
  <c r="J21" i="9" s="1"/>
  <c r="K21" i="9" s="1"/>
  <c r="AB21" i="9"/>
  <c r="Y21" i="9"/>
  <c r="X21" i="9"/>
  <c r="P21" i="9"/>
  <c r="O21" i="9"/>
  <c r="Q21" i="9" s="1"/>
  <c r="M21" i="9"/>
  <c r="I21" i="9"/>
  <c r="H21" i="9"/>
  <c r="C21" i="9"/>
  <c r="AB20" i="9"/>
  <c r="AD20" i="9" s="1"/>
  <c r="J20" i="9" s="1"/>
  <c r="Y20" i="9"/>
  <c r="X20" i="9"/>
  <c r="P20" i="9"/>
  <c r="Q20" i="9" s="1"/>
  <c r="O20" i="9"/>
  <c r="M20" i="9"/>
  <c r="H20" i="9"/>
  <c r="C20" i="9"/>
  <c r="AD19" i="9"/>
  <c r="J19" i="9" s="1"/>
  <c r="I19" i="9" s="1"/>
  <c r="AB19" i="9"/>
  <c r="Y19" i="9"/>
  <c r="X19" i="9"/>
  <c r="P19" i="9"/>
  <c r="O19" i="9"/>
  <c r="Q19" i="9" s="1"/>
  <c r="M19" i="9"/>
  <c r="H19" i="9"/>
  <c r="C19" i="9"/>
  <c r="AB18" i="9"/>
  <c r="AD18" i="9" s="1"/>
  <c r="J18" i="9" s="1"/>
  <c r="Y18" i="9"/>
  <c r="X18" i="9"/>
  <c r="P18" i="9"/>
  <c r="Q18" i="9" s="1"/>
  <c r="O18" i="9"/>
  <c r="M18" i="9"/>
  <c r="H18" i="9"/>
  <c r="C18" i="9"/>
  <c r="AD17" i="9"/>
  <c r="J17" i="9" s="1"/>
  <c r="AB17" i="9"/>
  <c r="Y17" i="9"/>
  <c r="X17" i="9"/>
  <c r="P17" i="9"/>
  <c r="O17" i="9"/>
  <c r="Q17" i="9" s="1"/>
  <c r="M17" i="9"/>
  <c r="H17" i="9"/>
  <c r="C17" i="9"/>
  <c r="AB16" i="9"/>
  <c r="AD16" i="9" s="1"/>
  <c r="J16" i="9" s="1"/>
  <c r="Y16" i="9"/>
  <c r="X16" i="9"/>
  <c r="P16" i="9"/>
  <c r="O16" i="9"/>
  <c r="Q16" i="9" s="1"/>
  <c r="M16" i="9"/>
  <c r="H16" i="9"/>
  <c r="C16" i="9"/>
  <c r="AD15" i="9"/>
  <c r="J15" i="9" s="1"/>
  <c r="AB15" i="9"/>
  <c r="Y15" i="9"/>
  <c r="X15" i="9"/>
  <c r="Q15" i="9"/>
  <c r="P15" i="9"/>
  <c r="O15" i="9"/>
  <c r="M15" i="9"/>
  <c r="H15" i="9"/>
  <c r="C15" i="9"/>
  <c r="AB14" i="9"/>
  <c r="AD14" i="9" s="1"/>
  <c r="J14" i="9" s="1"/>
  <c r="Y14" i="9"/>
  <c r="X14" i="9"/>
  <c r="P14" i="9"/>
  <c r="O14" i="9"/>
  <c r="Q14" i="9" s="1"/>
  <c r="M14" i="9"/>
  <c r="H14" i="9"/>
  <c r="C14" i="9"/>
  <c r="AD13" i="9"/>
  <c r="J13" i="9" s="1"/>
  <c r="K13" i="9" s="1"/>
  <c r="AB13" i="9"/>
  <c r="Y13" i="9"/>
  <c r="X13" i="9"/>
  <c r="P13" i="9"/>
  <c r="O13" i="9"/>
  <c r="Q13" i="9" s="1"/>
  <c r="M13" i="9"/>
  <c r="I13" i="9"/>
  <c r="H13" i="9"/>
  <c r="C13" i="9"/>
  <c r="AB12" i="9"/>
  <c r="AD12" i="9" s="1"/>
  <c r="J12" i="9" s="1"/>
  <c r="Y12" i="9"/>
  <c r="X12" i="9"/>
  <c r="P12" i="9"/>
  <c r="Q12" i="9" s="1"/>
  <c r="O12" i="9"/>
  <c r="M12" i="9"/>
  <c r="H12" i="9"/>
  <c r="C12" i="9"/>
  <c r="AD11" i="9"/>
  <c r="J11" i="9" s="1"/>
  <c r="I11" i="9" s="1"/>
  <c r="AB11" i="9"/>
  <c r="Y11" i="9"/>
  <c r="X11" i="9"/>
  <c r="P11" i="9"/>
  <c r="O11" i="9"/>
  <c r="Q11" i="9" s="1"/>
  <c r="M11" i="9"/>
  <c r="H11" i="9"/>
  <c r="C11" i="9"/>
  <c r="AB10" i="9"/>
  <c r="AD10" i="9" s="1"/>
  <c r="J10" i="9" s="1"/>
  <c r="Y10" i="9"/>
  <c r="X10" i="9"/>
  <c r="P10" i="9"/>
  <c r="Q10" i="9" s="1"/>
  <c r="O10" i="9"/>
  <c r="M10" i="9"/>
  <c r="H10" i="9"/>
  <c r="C10" i="9"/>
  <c r="AD9" i="9"/>
  <c r="J9" i="9" s="1"/>
  <c r="AB9" i="9"/>
  <c r="Y9" i="9"/>
  <c r="X9" i="9"/>
  <c r="P9" i="9"/>
  <c r="O9" i="9"/>
  <c r="Q9" i="9" s="1"/>
  <c r="M9" i="9"/>
  <c r="H9" i="9"/>
  <c r="C9" i="9"/>
  <c r="AB8" i="9"/>
  <c r="AD8" i="9" s="1"/>
  <c r="J8" i="9" s="1"/>
  <c r="Y8" i="9"/>
  <c r="X8" i="9"/>
  <c r="P8" i="9"/>
  <c r="O8" i="9"/>
  <c r="Q8" i="9" s="1"/>
  <c r="M8" i="9"/>
  <c r="H8" i="9"/>
  <c r="C8" i="9"/>
  <c r="AD7" i="9"/>
  <c r="J7" i="9" s="1"/>
  <c r="AB7" i="9"/>
  <c r="Y7" i="9"/>
  <c r="X7" i="9"/>
  <c r="Q7" i="9"/>
  <c r="P7" i="9"/>
  <c r="O7" i="9"/>
  <c r="M7" i="9"/>
  <c r="H7" i="9"/>
  <c r="C7" i="9"/>
  <c r="AB6" i="9"/>
  <c r="AD6" i="9" s="1"/>
  <c r="J6" i="9" s="1"/>
  <c r="Y6" i="9"/>
  <c r="X6" i="9"/>
  <c r="P6" i="9"/>
  <c r="O6" i="9"/>
  <c r="Q6" i="9" s="1"/>
  <c r="M6" i="9"/>
  <c r="H6" i="9"/>
  <c r="C6" i="9"/>
  <c r="AD5" i="9"/>
  <c r="J5" i="9" s="1"/>
  <c r="K5" i="9" s="1"/>
  <c r="AB5" i="9"/>
  <c r="Y5" i="9"/>
  <c r="X5" i="9"/>
  <c r="Q5" i="9"/>
  <c r="P5" i="9"/>
  <c r="O5" i="9"/>
  <c r="M5" i="9"/>
  <c r="I5" i="9"/>
  <c r="H5" i="9"/>
  <c r="C5" i="9"/>
  <c r="AB4" i="9"/>
  <c r="AD4" i="9" s="1"/>
  <c r="Y4" i="9"/>
  <c r="X4" i="9"/>
  <c r="P4" i="9"/>
  <c r="Q4" i="9" s="1"/>
  <c r="O4" i="9"/>
  <c r="M4" i="9"/>
  <c r="H4" i="9"/>
  <c r="C4" i="9"/>
  <c r="AG3" i="9"/>
  <c r="AF3" i="9"/>
  <c r="W3" i="9"/>
  <c r="X3" i="9" s="1"/>
  <c r="V3" i="9"/>
  <c r="U3" i="9"/>
  <c r="T3" i="9"/>
  <c r="O3" i="9"/>
  <c r="G3" i="9"/>
  <c r="F3" i="9"/>
  <c r="H3" i="9" s="1"/>
  <c r="D3" i="9"/>
  <c r="C3" i="9"/>
  <c r="A2" i="9"/>
  <c r="A1" i="9"/>
  <c r="AB32" i="8"/>
  <c r="AD32" i="8" s="1"/>
  <c r="Y32" i="8"/>
  <c r="X32" i="8"/>
  <c r="V32" i="8"/>
  <c r="U32" i="8"/>
  <c r="T32" i="8"/>
  <c r="P32" i="8"/>
  <c r="O32" i="8"/>
  <c r="Q32" i="8" s="1"/>
  <c r="M32" i="8"/>
  <c r="J32" i="8"/>
  <c r="H32" i="8"/>
  <c r="C32" i="8"/>
  <c r="AD31" i="8"/>
  <c r="J31" i="8" s="1"/>
  <c r="AB31" i="8"/>
  <c r="Y31" i="8"/>
  <c r="X31" i="8"/>
  <c r="Q31" i="8"/>
  <c r="P31" i="8"/>
  <c r="O31" i="8"/>
  <c r="M31" i="8"/>
  <c r="H31" i="8"/>
  <c r="C31" i="8"/>
  <c r="AB30" i="8"/>
  <c r="AD30" i="8" s="1"/>
  <c r="J30" i="8" s="1"/>
  <c r="Y30" i="8"/>
  <c r="X30" i="8"/>
  <c r="P30" i="8"/>
  <c r="O30" i="8"/>
  <c r="Q30" i="8" s="1"/>
  <c r="M30" i="8"/>
  <c r="H30" i="8"/>
  <c r="C30" i="8"/>
  <c r="AD29" i="8"/>
  <c r="J29" i="8" s="1"/>
  <c r="K29" i="8" s="1"/>
  <c r="AB29" i="8"/>
  <c r="Y29" i="8"/>
  <c r="X29" i="8"/>
  <c r="Q29" i="8"/>
  <c r="P29" i="8"/>
  <c r="O29" i="8"/>
  <c r="M29" i="8"/>
  <c r="I29" i="8"/>
  <c r="H29" i="8"/>
  <c r="C29" i="8"/>
  <c r="AB28" i="8"/>
  <c r="AD28" i="8" s="1"/>
  <c r="J28" i="8" s="1"/>
  <c r="Y28" i="8"/>
  <c r="X28" i="8"/>
  <c r="P28" i="8"/>
  <c r="Q28" i="8" s="1"/>
  <c r="O28" i="8"/>
  <c r="M28" i="8"/>
  <c r="H28" i="8"/>
  <c r="C28" i="8"/>
  <c r="AD27" i="8"/>
  <c r="J27" i="8" s="1"/>
  <c r="I27" i="8" s="1"/>
  <c r="AB27" i="8"/>
  <c r="Y27" i="8"/>
  <c r="X27" i="8"/>
  <c r="P27" i="8"/>
  <c r="O27" i="8"/>
  <c r="Q27" i="8" s="1"/>
  <c r="M27" i="8"/>
  <c r="H27" i="8"/>
  <c r="C27" i="8"/>
  <c r="AB26" i="8"/>
  <c r="AD26" i="8" s="1"/>
  <c r="J26" i="8" s="1"/>
  <c r="Y26" i="8"/>
  <c r="X26" i="8"/>
  <c r="P26" i="8"/>
  <c r="Q26" i="8" s="1"/>
  <c r="O26" i="8"/>
  <c r="M26" i="8"/>
  <c r="H26" i="8"/>
  <c r="C26" i="8"/>
  <c r="AD25" i="8"/>
  <c r="J25" i="8" s="1"/>
  <c r="AB25" i="8"/>
  <c r="Y25" i="8"/>
  <c r="X25" i="8"/>
  <c r="P25" i="8"/>
  <c r="O25" i="8"/>
  <c r="Q25" i="8" s="1"/>
  <c r="M25" i="8"/>
  <c r="H25" i="8"/>
  <c r="C25" i="8"/>
  <c r="AB24" i="8"/>
  <c r="AD24" i="8" s="1"/>
  <c r="J24" i="8" s="1"/>
  <c r="Y24" i="8"/>
  <c r="X24" i="8"/>
  <c r="P24" i="8"/>
  <c r="O24" i="8"/>
  <c r="Q24" i="8" s="1"/>
  <c r="M24" i="8"/>
  <c r="H24" i="8"/>
  <c r="C24" i="8"/>
  <c r="AD23" i="8"/>
  <c r="J23" i="8" s="1"/>
  <c r="AB23" i="8"/>
  <c r="Y23" i="8"/>
  <c r="X23" i="8"/>
  <c r="Q23" i="8"/>
  <c r="P23" i="8"/>
  <c r="O23" i="8"/>
  <c r="M23" i="8"/>
  <c r="H23" i="8"/>
  <c r="C23" i="8"/>
  <c r="AB22" i="8"/>
  <c r="AD22" i="8" s="1"/>
  <c r="J22" i="8" s="1"/>
  <c r="Y22" i="8"/>
  <c r="X22" i="8"/>
  <c r="P22" i="8"/>
  <c r="O22" i="8"/>
  <c r="Q22" i="8" s="1"/>
  <c r="M22" i="8"/>
  <c r="H22" i="8"/>
  <c r="C22" i="8"/>
  <c r="AD21" i="8"/>
  <c r="J21" i="8" s="1"/>
  <c r="K21" i="8" s="1"/>
  <c r="AB21" i="8"/>
  <c r="Y21" i="8"/>
  <c r="X21" i="8"/>
  <c r="Q21" i="8"/>
  <c r="P21" i="8"/>
  <c r="O21" i="8"/>
  <c r="M21" i="8"/>
  <c r="I21" i="8"/>
  <c r="H21" i="8"/>
  <c r="C21" i="8"/>
  <c r="AB20" i="8"/>
  <c r="AD20" i="8" s="1"/>
  <c r="J20" i="8" s="1"/>
  <c r="Y20" i="8"/>
  <c r="X20" i="8"/>
  <c r="P20" i="8"/>
  <c r="Q20" i="8" s="1"/>
  <c r="O20" i="8"/>
  <c r="M20" i="8"/>
  <c r="H20" i="8"/>
  <c r="C20" i="8"/>
  <c r="AD19" i="8"/>
  <c r="J19" i="8" s="1"/>
  <c r="I19" i="8" s="1"/>
  <c r="AB19" i="8"/>
  <c r="Y19" i="8"/>
  <c r="X19" i="8"/>
  <c r="P19" i="8"/>
  <c r="O19" i="8"/>
  <c r="Q19" i="8" s="1"/>
  <c r="M19" i="8"/>
  <c r="K19" i="8"/>
  <c r="H19" i="8"/>
  <c r="C19" i="8"/>
  <c r="AB18" i="8"/>
  <c r="AD18" i="8" s="1"/>
  <c r="J18" i="8" s="1"/>
  <c r="Y18" i="8"/>
  <c r="X18" i="8"/>
  <c r="P18" i="8"/>
  <c r="Q18" i="8" s="1"/>
  <c r="O18" i="8"/>
  <c r="M18" i="8"/>
  <c r="H18" i="8"/>
  <c r="C18" i="8"/>
  <c r="AD17" i="8"/>
  <c r="J17" i="8" s="1"/>
  <c r="AB17" i="8"/>
  <c r="Y17" i="8"/>
  <c r="X17" i="8"/>
  <c r="P17" i="8"/>
  <c r="O17" i="8"/>
  <c r="Q17" i="8" s="1"/>
  <c r="M17" i="8"/>
  <c r="H17" i="8"/>
  <c r="C17" i="8"/>
  <c r="AB16" i="8"/>
  <c r="AD16" i="8" s="1"/>
  <c r="Y16" i="8"/>
  <c r="X16" i="8"/>
  <c r="P16" i="8"/>
  <c r="O16" i="8"/>
  <c r="Q16" i="8" s="1"/>
  <c r="M16" i="8"/>
  <c r="J16" i="8"/>
  <c r="H16" i="8"/>
  <c r="C16" i="8"/>
  <c r="AD15" i="8"/>
  <c r="J15" i="8" s="1"/>
  <c r="AB15" i="8"/>
  <c r="Y15" i="8"/>
  <c r="X15" i="8"/>
  <c r="Q15" i="8"/>
  <c r="P15" i="8"/>
  <c r="O15" i="8"/>
  <c r="M15" i="8"/>
  <c r="H15" i="8"/>
  <c r="C15" i="8"/>
  <c r="AB14" i="8"/>
  <c r="AD14" i="8" s="1"/>
  <c r="J14" i="8" s="1"/>
  <c r="Y14" i="8"/>
  <c r="X14" i="8"/>
  <c r="P14" i="8"/>
  <c r="O14" i="8"/>
  <c r="Q14" i="8" s="1"/>
  <c r="M14" i="8"/>
  <c r="H14" i="8"/>
  <c r="C14" i="8"/>
  <c r="AD13" i="8"/>
  <c r="J13" i="8" s="1"/>
  <c r="K13" i="8" s="1"/>
  <c r="AB13" i="8"/>
  <c r="Y13" i="8"/>
  <c r="X13" i="8"/>
  <c r="Q13" i="8"/>
  <c r="P13" i="8"/>
  <c r="O13" i="8"/>
  <c r="M13" i="8"/>
  <c r="I13" i="8"/>
  <c r="H13" i="8"/>
  <c r="C13" i="8"/>
  <c r="AB12" i="8"/>
  <c r="AD12" i="8" s="1"/>
  <c r="J12" i="8" s="1"/>
  <c r="Y12" i="8"/>
  <c r="X12" i="8"/>
  <c r="P12" i="8"/>
  <c r="Q12" i="8" s="1"/>
  <c r="O12" i="8"/>
  <c r="M12" i="8"/>
  <c r="H12" i="8"/>
  <c r="C12" i="8"/>
  <c r="AD11" i="8"/>
  <c r="J11" i="8" s="1"/>
  <c r="I11" i="8" s="1"/>
  <c r="AB11" i="8"/>
  <c r="Y11" i="8"/>
  <c r="X11" i="8"/>
  <c r="P11" i="8"/>
  <c r="O11" i="8"/>
  <c r="Q11" i="8" s="1"/>
  <c r="M11" i="8"/>
  <c r="H11" i="8"/>
  <c r="C11" i="8"/>
  <c r="AB10" i="8"/>
  <c r="AD10" i="8" s="1"/>
  <c r="J10" i="8" s="1"/>
  <c r="Y10" i="8"/>
  <c r="X10" i="8"/>
  <c r="P10" i="8"/>
  <c r="Q10" i="8" s="1"/>
  <c r="O10" i="8"/>
  <c r="M10" i="8"/>
  <c r="H10" i="8"/>
  <c r="C10" i="8"/>
  <c r="AD9" i="8"/>
  <c r="J9" i="8" s="1"/>
  <c r="AB9" i="8"/>
  <c r="Y9" i="8"/>
  <c r="X9" i="8"/>
  <c r="P9" i="8"/>
  <c r="O9" i="8"/>
  <c r="Q9" i="8" s="1"/>
  <c r="M9" i="8"/>
  <c r="H9" i="8"/>
  <c r="C9" i="8"/>
  <c r="AB8" i="8"/>
  <c r="AD8" i="8" s="1"/>
  <c r="J8" i="8" s="1"/>
  <c r="Y8" i="8"/>
  <c r="X8" i="8"/>
  <c r="P8" i="8"/>
  <c r="O8" i="8"/>
  <c r="Q8" i="8" s="1"/>
  <c r="M8" i="8"/>
  <c r="H8" i="8"/>
  <c r="C8" i="8"/>
  <c r="AD7" i="8"/>
  <c r="J7" i="8" s="1"/>
  <c r="AB7" i="8"/>
  <c r="Y7" i="8"/>
  <c r="X7" i="8"/>
  <c r="Q7" i="8"/>
  <c r="P7" i="8"/>
  <c r="O7" i="8"/>
  <c r="M7" i="8"/>
  <c r="H7" i="8"/>
  <c r="C7" i="8"/>
  <c r="AB6" i="8"/>
  <c r="AD6" i="8" s="1"/>
  <c r="J6" i="8" s="1"/>
  <c r="Y6" i="8"/>
  <c r="X6" i="8"/>
  <c r="P6" i="8"/>
  <c r="O6" i="8"/>
  <c r="Q6" i="8" s="1"/>
  <c r="M6" i="8"/>
  <c r="H6" i="8"/>
  <c r="C6" i="8"/>
  <c r="AD5" i="8"/>
  <c r="J5" i="8" s="1"/>
  <c r="K5" i="8" s="1"/>
  <c r="AB5" i="8"/>
  <c r="Y5" i="8"/>
  <c r="X5" i="8"/>
  <c r="Q5" i="8"/>
  <c r="P5" i="8"/>
  <c r="O5" i="8"/>
  <c r="M5" i="8"/>
  <c r="H5" i="8"/>
  <c r="C5" i="8"/>
  <c r="AB4" i="8"/>
  <c r="AD4" i="8" s="1"/>
  <c r="Y4" i="8"/>
  <c r="X4" i="8"/>
  <c r="P4" i="8"/>
  <c r="Q4" i="8" s="1"/>
  <c r="O4" i="8"/>
  <c r="M4" i="8"/>
  <c r="H4" i="8"/>
  <c r="C4" i="8"/>
  <c r="AG3" i="8"/>
  <c r="AF3" i="8"/>
  <c r="W3" i="8"/>
  <c r="X3" i="8" s="1"/>
  <c r="V3" i="8"/>
  <c r="U3" i="8"/>
  <c r="T3" i="8"/>
  <c r="O3" i="8"/>
  <c r="G3" i="8"/>
  <c r="F3" i="8"/>
  <c r="H3" i="8" s="1"/>
  <c r="D3" i="8"/>
  <c r="C3" i="8"/>
  <c r="A2" i="8"/>
  <c r="A1" i="8"/>
  <c r="AB32" i="7"/>
  <c r="AD32" i="7" s="1"/>
  <c r="J32" i="7" s="1"/>
  <c r="Y32" i="7"/>
  <c r="X32" i="7"/>
  <c r="V32" i="7"/>
  <c r="U32" i="7"/>
  <c r="T32" i="7"/>
  <c r="P32" i="7"/>
  <c r="O32" i="7"/>
  <c r="Q32" i="7" s="1"/>
  <c r="M32" i="7"/>
  <c r="H32" i="7"/>
  <c r="C32" i="7"/>
  <c r="AD31" i="7"/>
  <c r="J31" i="7" s="1"/>
  <c r="AB31" i="7"/>
  <c r="Y31" i="7"/>
  <c r="X31" i="7"/>
  <c r="Q31" i="7"/>
  <c r="P31" i="7"/>
  <c r="O31" i="7"/>
  <c r="M31" i="7"/>
  <c r="H31" i="7"/>
  <c r="C31" i="7"/>
  <c r="AB30" i="7"/>
  <c r="AD30" i="7" s="1"/>
  <c r="J30" i="7" s="1"/>
  <c r="Y30" i="7"/>
  <c r="X30" i="7"/>
  <c r="P30" i="7"/>
  <c r="O30" i="7"/>
  <c r="Q30" i="7" s="1"/>
  <c r="M30" i="7"/>
  <c r="H30" i="7"/>
  <c r="C30" i="7"/>
  <c r="AD29" i="7"/>
  <c r="J29" i="7" s="1"/>
  <c r="K29" i="7" s="1"/>
  <c r="AB29" i="7"/>
  <c r="Y29" i="7"/>
  <c r="X29" i="7"/>
  <c r="P29" i="7"/>
  <c r="O29" i="7"/>
  <c r="Q29" i="7" s="1"/>
  <c r="M29" i="7"/>
  <c r="H29" i="7"/>
  <c r="C29" i="7"/>
  <c r="AB28" i="7"/>
  <c r="AD28" i="7" s="1"/>
  <c r="J28" i="7" s="1"/>
  <c r="Y28" i="7"/>
  <c r="X28" i="7"/>
  <c r="P28" i="7"/>
  <c r="Q28" i="7" s="1"/>
  <c r="O28" i="7"/>
  <c r="M28" i="7"/>
  <c r="H28" i="7"/>
  <c r="C28" i="7"/>
  <c r="AD27" i="7"/>
  <c r="J27" i="7" s="1"/>
  <c r="I27" i="7" s="1"/>
  <c r="AB27" i="7"/>
  <c r="Y27" i="7"/>
  <c r="X27" i="7"/>
  <c r="P27" i="7"/>
  <c r="O27" i="7"/>
  <c r="Q27" i="7" s="1"/>
  <c r="M27" i="7"/>
  <c r="K27" i="7"/>
  <c r="H27" i="7"/>
  <c r="C27" i="7"/>
  <c r="AB26" i="7"/>
  <c r="AD26" i="7" s="1"/>
  <c r="J26" i="7" s="1"/>
  <c r="Y26" i="7"/>
  <c r="X26" i="7"/>
  <c r="P26" i="7"/>
  <c r="Q26" i="7" s="1"/>
  <c r="O26" i="7"/>
  <c r="M26" i="7"/>
  <c r="H26" i="7"/>
  <c r="C26" i="7"/>
  <c r="AD25" i="7"/>
  <c r="J25" i="7" s="1"/>
  <c r="AB25" i="7"/>
  <c r="Y25" i="7"/>
  <c r="X25" i="7"/>
  <c r="P25" i="7"/>
  <c r="O25" i="7"/>
  <c r="Q25" i="7" s="1"/>
  <c r="M25" i="7"/>
  <c r="H25" i="7"/>
  <c r="C25" i="7"/>
  <c r="AB24" i="7"/>
  <c r="AD24" i="7" s="1"/>
  <c r="Y24" i="7"/>
  <c r="X24" i="7"/>
  <c r="P24" i="7"/>
  <c r="O24" i="7"/>
  <c r="Q24" i="7" s="1"/>
  <c r="M24" i="7"/>
  <c r="J24" i="7"/>
  <c r="H24" i="7"/>
  <c r="C24" i="7"/>
  <c r="AD23" i="7"/>
  <c r="J23" i="7" s="1"/>
  <c r="AB23" i="7"/>
  <c r="Y23" i="7"/>
  <c r="X23" i="7"/>
  <c r="Q23" i="7"/>
  <c r="P23" i="7"/>
  <c r="O23" i="7"/>
  <c r="M23" i="7"/>
  <c r="H23" i="7"/>
  <c r="C23" i="7"/>
  <c r="AB22" i="7"/>
  <c r="AD22" i="7" s="1"/>
  <c r="J22" i="7" s="1"/>
  <c r="Y22" i="7"/>
  <c r="X22" i="7"/>
  <c r="P22" i="7"/>
  <c r="O22" i="7"/>
  <c r="Q22" i="7" s="1"/>
  <c r="M22" i="7"/>
  <c r="H22" i="7"/>
  <c r="C22" i="7"/>
  <c r="AD21" i="7"/>
  <c r="J21" i="7" s="1"/>
  <c r="K21" i="7" s="1"/>
  <c r="AB21" i="7"/>
  <c r="Y21" i="7"/>
  <c r="X21" i="7"/>
  <c r="P21" i="7"/>
  <c r="O21" i="7"/>
  <c r="Q21" i="7" s="1"/>
  <c r="M21" i="7"/>
  <c r="H21" i="7"/>
  <c r="C21" i="7"/>
  <c r="AB20" i="7"/>
  <c r="AD20" i="7" s="1"/>
  <c r="J20" i="7" s="1"/>
  <c r="Y20" i="7"/>
  <c r="X20" i="7"/>
  <c r="P20" i="7"/>
  <c r="Q20" i="7" s="1"/>
  <c r="O20" i="7"/>
  <c r="M20" i="7"/>
  <c r="H20" i="7"/>
  <c r="C20" i="7"/>
  <c r="AD19" i="7"/>
  <c r="J19" i="7" s="1"/>
  <c r="I19" i="7" s="1"/>
  <c r="AB19" i="7"/>
  <c r="Y19" i="7"/>
  <c r="X19" i="7"/>
  <c r="P19" i="7"/>
  <c r="O19" i="7"/>
  <c r="Q19" i="7" s="1"/>
  <c r="M19" i="7"/>
  <c r="K19" i="7"/>
  <c r="H19" i="7"/>
  <c r="C19" i="7"/>
  <c r="AB18" i="7"/>
  <c r="AD18" i="7" s="1"/>
  <c r="J18" i="7" s="1"/>
  <c r="Y18" i="7"/>
  <c r="X18" i="7"/>
  <c r="P18" i="7"/>
  <c r="Q18" i="7" s="1"/>
  <c r="O18" i="7"/>
  <c r="M18" i="7"/>
  <c r="H18" i="7"/>
  <c r="C18" i="7"/>
  <c r="AD17" i="7"/>
  <c r="J17" i="7" s="1"/>
  <c r="AB17" i="7"/>
  <c r="Y17" i="7"/>
  <c r="X17" i="7"/>
  <c r="P17" i="7"/>
  <c r="O17" i="7"/>
  <c r="Q17" i="7" s="1"/>
  <c r="M17" i="7"/>
  <c r="H17" i="7"/>
  <c r="C17" i="7"/>
  <c r="AB16" i="7"/>
  <c r="AD16" i="7" s="1"/>
  <c r="Y16" i="7"/>
  <c r="X16" i="7"/>
  <c r="P16" i="7"/>
  <c r="O16" i="7"/>
  <c r="Q16" i="7" s="1"/>
  <c r="M16" i="7"/>
  <c r="J16" i="7"/>
  <c r="H16" i="7"/>
  <c r="C16" i="7"/>
  <c r="AD15" i="7"/>
  <c r="J15" i="7" s="1"/>
  <c r="AB15" i="7"/>
  <c r="Y15" i="7"/>
  <c r="X15" i="7"/>
  <c r="Q15" i="7"/>
  <c r="P15" i="7"/>
  <c r="O15" i="7"/>
  <c r="M15" i="7"/>
  <c r="H15" i="7"/>
  <c r="C15" i="7"/>
  <c r="AB14" i="7"/>
  <c r="AD14" i="7" s="1"/>
  <c r="J14" i="7" s="1"/>
  <c r="Y14" i="7"/>
  <c r="X14" i="7"/>
  <c r="P14" i="7"/>
  <c r="O14" i="7"/>
  <c r="Q14" i="7" s="1"/>
  <c r="M14" i="7"/>
  <c r="H14" i="7"/>
  <c r="C14" i="7"/>
  <c r="AD13" i="7"/>
  <c r="J13" i="7" s="1"/>
  <c r="K13" i="7" s="1"/>
  <c r="AB13" i="7"/>
  <c r="Y13" i="7"/>
  <c r="X13" i="7"/>
  <c r="Q13" i="7"/>
  <c r="P13" i="7"/>
  <c r="O13" i="7"/>
  <c r="M13" i="7"/>
  <c r="I13" i="7"/>
  <c r="H13" i="7"/>
  <c r="C13" i="7"/>
  <c r="AB12" i="7"/>
  <c r="AD12" i="7" s="1"/>
  <c r="J12" i="7" s="1"/>
  <c r="Y12" i="7"/>
  <c r="X12" i="7"/>
  <c r="P12" i="7"/>
  <c r="Q12" i="7" s="1"/>
  <c r="O12" i="7"/>
  <c r="M12" i="7"/>
  <c r="H12" i="7"/>
  <c r="C12" i="7"/>
  <c r="AD11" i="7"/>
  <c r="J11" i="7" s="1"/>
  <c r="I11" i="7" s="1"/>
  <c r="AB11" i="7"/>
  <c r="Y11" i="7"/>
  <c r="X11" i="7"/>
  <c r="P11" i="7"/>
  <c r="O11" i="7"/>
  <c r="Q11" i="7" s="1"/>
  <c r="M11" i="7"/>
  <c r="H11" i="7"/>
  <c r="C11" i="7"/>
  <c r="AB10" i="7"/>
  <c r="AD10" i="7" s="1"/>
  <c r="J10" i="7" s="1"/>
  <c r="Y10" i="7"/>
  <c r="X10" i="7"/>
  <c r="P10" i="7"/>
  <c r="Q10" i="7" s="1"/>
  <c r="O10" i="7"/>
  <c r="M10" i="7"/>
  <c r="H10" i="7"/>
  <c r="C10" i="7"/>
  <c r="AD9" i="7"/>
  <c r="J9" i="7" s="1"/>
  <c r="AB9" i="7"/>
  <c r="Y9" i="7"/>
  <c r="X9" i="7"/>
  <c r="P9" i="7"/>
  <c r="O9" i="7"/>
  <c r="Q9" i="7" s="1"/>
  <c r="M9" i="7"/>
  <c r="H9" i="7"/>
  <c r="C9" i="7"/>
  <c r="AB8" i="7"/>
  <c r="AD8" i="7" s="1"/>
  <c r="J8" i="7" s="1"/>
  <c r="Y8" i="7"/>
  <c r="X8" i="7"/>
  <c r="P8" i="7"/>
  <c r="O8" i="7"/>
  <c r="Q8" i="7" s="1"/>
  <c r="M8" i="7"/>
  <c r="H8" i="7"/>
  <c r="C8" i="7"/>
  <c r="AD7" i="7"/>
  <c r="J7" i="7" s="1"/>
  <c r="AB7" i="7"/>
  <c r="Y7" i="7"/>
  <c r="X7" i="7"/>
  <c r="Q7" i="7"/>
  <c r="P7" i="7"/>
  <c r="O7" i="7"/>
  <c r="M7" i="7"/>
  <c r="H7" i="7"/>
  <c r="C7" i="7"/>
  <c r="AB6" i="7"/>
  <c r="AD6" i="7" s="1"/>
  <c r="J6" i="7" s="1"/>
  <c r="Y6" i="7"/>
  <c r="X6" i="7"/>
  <c r="P6" i="7"/>
  <c r="O6" i="7"/>
  <c r="Q6" i="7" s="1"/>
  <c r="M6" i="7"/>
  <c r="H6" i="7"/>
  <c r="C6" i="7"/>
  <c r="AD5" i="7"/>
  <c r="J5" i="7" s="1"/>
  <c r="K5" i="7" s="1"/>
  <c r="AB5" i="7"/>
  <c r="Y5" i="7"/>
  <c r="X5" i="7"/>
  <c r="Q5" i="7"/>
  <c r="P5" i="7"/>
  <c r="O5" i="7"/>
  <c r="M5" i="7"/>
  <c r="H5" i="7"/>
  <c r="C5" i="7"/>
  <c r="AB4" i="7"/>
  <c r="AD4" i="7" s="1"/>
  <c r="Y4" i="7"/>
  <c r="X4" i="7"/>
  <c r="P4" i="7"/>
  <c r="Q4" i="7" s="1"/>
  <c r="O4" i="7"/>
  <c r="M4" i="7"/>
  <c r="H4" i="7"/>
  <c r="C4" i="7"/>
  <c r="AG3" i="7"/>
  <c r="AF3" i="7"/>
  <c r="W3" i="7"/>
  <c r="X3" i="7" s="1"/>
  <c r="V3" i="7"/>
  <c r="U3" i="7"/>
  <c r="T3" i="7"/>
  <c r="O3" i="7"/>
  <c r="G3" i="7"/>
  <c r="F3" i="7"/>
  <c r="H3" i="7" s="1"/>
  <c r="D3" i="7"/>
  <c r="C3" i="7"/>
  <c r="A2" i="7"/>
  <c r="A1" i="7"/>
  <c r="AB32" i="6"/>
  <c r="AD32" i="6" s="1"/>
  <c r="J32" i="6" s="1"/>
  <c r="Y32" i="6"/>
  <c r="X32" i="6"/>
  <c r="V32" i="6"/>
  <c r="U32" i="6"/>
  <c r="T32" i="6"/>
  <c r="P32" i="6"/>
  <c r="O32" i="6"/>
  <c r="Q32" i="6" s="1"/>
  <c r="M32" i="6"/>
  <c r="H32" i="6"/>
  <c r="C32" i="6"/>
  <c r="AD31" i="6"/>
  <c r="J31" i="6" s="1"/>
  <c r="AB31" i="6"/>
  <c r="Y31" i="6"/>
  <c r="X31" i="6"/>
  <c r="Q31" i="6"/>
  <c r="P31" i="6"/>
  <c r="O31" i="6"/>
  <c r="M31" i="6"/>
  <c r="H31" i="6"/>
  <c r="C31" i="6"/>
  <c r="AB30" i="6"/>
  <c r="AD30" i="6" s="1"/>
  <c r="J30" i="6" s="1"/>
  <c r="Y30" i="6"/>
  <c r="X30" i="6"/>
  <c r="P30" i="6"/>
  <c r="O30" i="6"/>
  <c r="Q30" i="6" s="1"/>
  <c r="M30" i="6"/>
  <c r="H30" i="6"/>
  <c r="C30" i="6"/>
  <c r="AD29" i="6"/>
  <c r="J29" i="6" s="1"/>
  <c r="K29" i="6" s="1"/>
  <c r="AB29" i="6"/>
  <c r="Y29" i="6"/>
  <c r="X29" i="6"/>
  <c r="P29" i="6"/>
  <c r="O29" i="6"/>
  <c r="Q29" i="6" s="1"/>
  <c r="M29" i="6"/>
  <c r="H29" i="6"/>
  <c r="C29" i="6"/>
  <c r="AB28" i="6"/>
  <c r="AD28" i="6" s="1"/>
  <c r="J28" i="6" s="1"/>
  <c r="Y28" i="6"/>
  <c r="X28" i="6"/>
  <c r="P28" i="6"/>
  <c r="Q28" i="6" s="1"/>
  <c r="O28" i="6"/>
  <c r="M28" i="6"/>
  <c r="H28" i="6"/>
  <c r="C28" i="6"/>
  <c r="AD27" i="6"/>
  <c r="J27" i="6" s="1"/>
  <c r="I27" i="6" s="1"/>
  <c r="AB27" i="6"/>
  <c r="Y27" i="6"/>
  <c r="X27" i="6"/>
  <c r="P27" i="6"/>
  <c r="O27" i="6"/>
  <c r="Q27" i="6" s="1"/>
  <c r="M27" i="6"/>
  <c r="K27" i="6"/>
  <c r="H27" i="6"/>
  <c r="C27" i="6"/>
  <c r="AB26" i="6"/>
  <c r="AD26" i="6" s="1"/>
  <c r="J26" i="6" s="1"/>
  <c r="Y26" i="6"/>
  <c r="X26" i="6"/>
  <c r="P26" i="6"/>
  <c r="Q26" i="6" s="1"/>
  <c r="O26" i="6"/>
  <c r="M26" i="6"/>
  <c r="H26" i="6"/>
  <c r="C26" i="6"/>
  <c r="AD25" i="6"/>
  <c r="J25" i="6" s="1"/>
  <c r="AB25" i="6"/>
  <c r="Y25" i="6"/>
  <c r="X25" i="6"/>
  <c r="P25" i="6"/>
  <c r="O25" i="6"/>
  <c r="Q25" i="6" s="1"/>
  <c r="M25" i="6"/>
  <c r="H25" i="6"/>
  <c r="C25" i="6"/>
  <c r="AB24" i="6"/>
  <c r="AD24" i="6" s="1"/>
  <c r="Y24" i="6"/>
  <c r="X24" i="6"/>
  <c r="P24" i="6"/>
  <c r="O24" i="6"/>
  <c r="Q24" i="6" s="1"/>
  <c r="M24" i="6"/>
  <c r="J24" i="6"/>
  <c r="H24" i="6"/>
  <c r="C24" i="6"/>
  <c r="AD23" i="6"/>
  <c r="J23" i="6" s="1"/>
  <c r="K23" i="6" s="1"/>
  <c r="AB23" i="6"/>
  <c r="Y23" i="6"/>
  <c r="X23" i="6"/>
  <c r="Q23" i="6"/>
  <c r="P23" i="6"/>
  <c r="O23" i="6"/>
  <c r="M23" i="6"/>
  <c r="I23" i="6"/>
  <c r="H23" i="6"/>
  <c r="C23" i="6"/>
  <c r="AB22" i="6"/>
  <c r="AD22" i="6" s="1"/>
  <c r="J22" i="6" s="1"/>
  <c r="Y22" i="6"/>
  <c r="X22" i="6"/>
  <c r="P22" i="6"/>
  <c r="O22" i="6"/>
  <c r="Q22" i="6" s="1"/>
  <c r="M22" i="6"/>
  <c r="H22" i="6"/>
  <c r="C22" i="6"/>
  <c r="AD21" i="6"/>
  <c r="J21" i="6" s="1"/>
  <c r="I21" i="6" s="1"/>
  <c r="AB21" i="6"/>
  <c r="Y21" i="6"/>
  <c r="X21" i="6"/>
  <c r="P21" i="6"/>
  <c r="O21" i="6"/>
  <c r="Q21" i="6" s="1"/>
  <c r="M21" i="6"/>
  <c r="H21" i="6"/>
  <c r="C21" i="6"/>
  <c r="AB20" i="6"/>
  <c r="AD20" i="6" s="1"/>
  <c r="J20" i="6" s="1"/>
  <c r="Y20" i="6"/>
  <c r="X20" i="6"/>
  <c r="P20" i="6"/>
  <c r="Q20" i="6" s="1"/>
  <c r="O20" i="6"/>
  <c r="M20" i="6"/>
  <c r="H20" i="6"/>
  <c r="C20" i="6"/>
  <c r="AD19" i="6"/>
  <c r="J19" i="6" s="1"/>
  <c r="I19" i="6" s="1"/>
  <c r="AB19" i="6"/>
  <c r="Y19" i="6"/>
  <c r="X19" i="6"/>
  <c r="P19" i="6"/>
  <c r="O19" i="6"/>
  <c r="Q19" i="6" s="1"/>
  <c r="M19" i="6"/>
  <c r="K19" i="6"/>
  <c r="H19" i="6"/>
  <c r="C19" i="6"/>
  <c r="AB18" i="6"/>
  <c r="AD18" i="6" s="1"/>
  <c r="J18" i="6" s="1"/>
  <c r="Y18" i="6"/>
  <c r="X18" i="6"/>
  <c r="P18" i="6"/>
  <c r="Q18" i="6" s="1"/>
  <c r="O18" i="6"/>
  <c r="M18" i="6"/>
  <c r="H18" i="6"/>
  <c r="C18" i="6"/>
  <c r="AD17" i="6"/>
  <c r="J17" i="6" s="1"/>
  <c r="AB17" i="6"/>
  <c r="Y17" i="6"/>
  <c r="X17" i="6"/>
  <c r="Q17" i="6"/>
  <c r="P17" i="6"/>
  <c r="O17" i="6"/>
  <c r="M17" i="6"/>
  <c r="H17" i="6"/>
  <c r="C17" i="6"/>
  <c r="AB16" i="6"/>
  <c r="AD16" i="6" s="1"/>
  <c r="J16" i="6" s="1"/>
  <c r="Y16" i="6"/>
  <c r="X16" i="6"/>
  <c r="P16" i="6"/>
  <c r="O16" i="6"/>
  <c r="Q16" i="6" s="1"/>
  <c r="M16" i="6"/>
  <c r="H16" i="6"/>
  <c r="C16" i="6"/>
  <c r="AD15" i="6"/>
  <c r="J15" i="6" s="1"/>
  <c r="K15" i="6" s="1"/>
  <c r="AB15" i="6"/>
  <c r="Y15" i="6"/>
  <c r="X15" i="6"/>
  <c r="Q15" i="6"/>
  <c r="P15" i="6"/>
  <c r="O15" i="6"/>
  <c r="M15" i="6"/>
  <c r="I15" i="6"/>
  <c r="H15" i="6"/>
  <c r="C15" i="6"/>
  <c r="AB14" i="6"/>
  <c r="AD14" i="6" s="1"/>
  <c r="J14" i="6" s="1"/>
  <c r="Y14" i="6"/>
  <c r="X14" i="6"/>
  <c r="P14" i="6"/>
  <c r="O14" i="6"/>
  <c r="Q14" i="6" s="1"/>
  <c r="M14" i="6"/>
  <c r="H14" i="6"/>
  <c r="C14" i="6"/>
  <c r="AD13" i="6"/>
  <c r="J13" i="6" s="1"/>
  <c r="K13" i="6" s="1"/>
  <c r="AB13" i="6"/>
  <c r="Y13" i="6"/>
  <c r="X13" i="6"/>
  <c r="P13" i="6"/>
  <c r="O13" i="6"/>
  <c r="Q13" i="6" s="1"/>
  <c r="M13" i="6"/>
  <c r="I13" i="6"/>
  <c r="H13" i="6"/>
  <c r="C13" i="6"/>
  <c r="AB12" i="6"/>
  <c r="AD12" i="6" s="1"/>
  <c r="J12" i="6" s="1"/>
  <c r="Y12" i="6"/>
  <c r="X12" i="6"/>
  <c r="P12" i="6"/>
  <c r="Q12" i="6" s="1"/>
  <c r="O12" i="6"/>
  <c r="M12" i="6"/>
  <c r="H12" i="6"/>
  <c r="C12" i="6"/>
  <c r="AD11" i="6"/>
  <c r="J11" i="6" s="1"/>
  <c r="I11" i="6" s="1"/>
  <c r="AB11" i="6"/>
  <c r="Y11" i="6"/>
  <c r="X11" i="6"/>
  <c r="P11" i="6"/>
  <c r="O11" i="6"/>
  <c r="Q11" i="6" s="1"/>
  <c r="M11" i="6"/>
  <c r="H11" i="6"/>
  <c r="C11" i="6"/>
  <c r="AB10" i="6"/>
  <c r="AD10" i="6" s="1"/>
  <c r="Y10" i="6"/>
  <c r="X10" i="6"/>
  <c r="P10" i="6"/>
  <c r="Q10" i="6" s="1"/>
  <c r="O10" i="6"/>
  <c r="M10" i="6"/>
  <c r="J10" i="6"/>
  <c r="H10" i="6"/>
  <c r="C10" i="6"/>
  <c r="AD9" i="6"/>
  <c r="J9" i="6" s="1"/>
  <c r="AB9" i="6"/>
  <c r="Y9" i="6"/>
  <c r="X9" i="6"/>
  <c r="P9" i="6"/>
  <c r="O9" i="6"/>
  <c r="Q9" i="6" s="1"/>
  <c r="M9" i="6"/>
  <c r="H9" i="6"/>
  <c r="C9" i="6"/>
  <c r="AB8" i="6"/>
  <c r="AD8" i="6" s="1"/>
  <c r="J8" i="6" s="1"/>
  <c r="Y8" i="6"/>
  <c r="X8" i="6"/>
  <c r="P8" i="6"/>
  <c r="O8" i="6"/>
  <c r="Q8" i="6" s="1"/>
  <c r="M8" i="6"/>
  <c r="H8" i="6"/>
  <c r="C8" i="6"/>
  <c r="AD7" i="6"/>
  <c r="J7" i="6" s="1"/>
  <c r="K7" i="6" s="1"/>
  <c r="AB7" i="6"/>
  <c r="Y7" i="6"/>
  <c r="X7" i="6"/>
  <c r="Q7" i="6"/>
  <c r="P7" i="6"/>
  <c r="O7" i="6"/>
  <c r="M7" i="6"/>
  <c r="I7" i="6"/>
  <c r="H7" i="6"/>
  <c r="C7" i="6"/>
  <c r="AB6" i="6"/>
  <c r="AD6" i="6" s="1"/>
  <c r="J6" i="6" s="1"/>
  <c r="Y6" i="6"/>
  <c r="X6" i="6"/>
  <c r="P6" i="6"/>
  <c r="O6" i="6"/>
  <c r="Q6" i="6" s="1"/>
  <c r="M6" i="6"/>
  <c r="H6" i="6"/>
  <c r="C6" i="6"/>
  <c r="AD5" i="6"/>
  <c r="J5" i="6" s="1"/>
  <c r="I5" i="6" s="1"/>
  <c r="AB5" i="6"/>
  <c r="Y5" i="6"/>
  <c r="X5" i="6"/>
  <c r="P5" i="6"/>
  <c r="O5" i="6"/>
  <c r="Q5" i="6" s="1"/>
  <c r="M5" i="6"/>
  <c r="H5" i="6"/>
  <c r="C5" i="6"/>
  <c r="AB4" i="6"/>
  <c r="AD4" i="6" s="1"/>
  <c r="Y4" i="6"/>
  <c r="X4" i="6"/>
  <c r="P4" i="6"/>
  <c r="Q4" i="6" s="1"/>
  <c r="O4" i="6"/>
  <c r="M4" i="6"/>
  <c r="H4" i="6"/>
  <c r="C4" i="6"/>
  <c r="AG3" i="6"/>
  <c r="AF3" i="6"/>
  <c r="W3" i="6"/>
  <c r="X3" i="6" s="1"/>
  <c r="V3" i="6"/>
  <c r="U3" i="6"/>
  <c r="T3" i="6"/>
  <c r="O3" i="6"/>
  <c r="G3" i="6"/>
  <c r="F3" i="6"/>
  <c r="H3" i="6" s="1"/>
  <c r="D3" i="6"/>
  <c r="C3" i="6"/>
  <c r="A2" i="6"/>
  <c r="A1" i="6"/>
  <c r="AB32" i="5"/>
  <c r="AD32" i="5" s="1"/>
  <c r="J32" i="5" s="1"/>
  <c r="Y32" i="5"/>
  <c r="X32" i="5"/>
  <c r="V32" i="5"/>
  <c r="U32" i="5"/>
  <c r="T32" i="5"/>
  <c r="P32" i="5"/>
  <c r="O32" i="5"/>
  <c r="Q32" i="5" s="1"/>
  <c r="M32" i="5"/>
  <c r="H32" i="5"/>
  <c r="C32" i="5"/>
  <c r="AD31" i="5"/>
  <c r="J31" i="5" s="1"/>
  <c r="K31" i="5" s="1"/>
  <c r="AB31" i="5"/>
  <c r="Y31" i="5"/>
  <c r="X31" i="5"/>
  <c r="Q31" i="5"/>
  <c r="P31" i="5"/>
  <c r="O31" i="5"/>
  <c r="M31" i="5"/>
  <c r="I31" i="5"/>
  <c r="H31" i="5"/>
  <c r="C31" i="5"/>
  <c r="AB30" i="5"/>
  <c r="AD30" i="5" s="1"/>
  <c r="J30" i="5" s="1"/>
  <c r="Y30" i="5"/>
  <c r="X30" i="5"/>
  <c r="P30" i="5"/>
  <c r="O30" i="5"/>
  <c r="Q30" i="5" s="1"/>
  <c r="M30" i="5"/>
  <c r="H30" i="5"/>
  <c r="C30" i="5"/>
  <c r="AD29" i="5"/>
  <c r="J29" i="5" s="1"/>
  <c r="I29" i="5" s="1"/>
  <c r="AB29" i="5"/>
  <c r="Y29" i="5"/>
  <c r="X29" i="5"/>
  <c r="P29" i="5"/>
  <c r="O29" i="5"/>
  <c r="Q29" i="5" s="1"/>
  <c r="M29" i="5"/>
  <c r="H29" i="5"/>
  <c r="C29" i="5"/>
  <c r="AB28" i="5"/>
  <c r="AD28" i="5" s="1"/>
  <c r="J28" i="5" s="1"/>
  <c r="Y28" i="5"/>
  <c r="X28" i="5"/>
  <c r="P28" i="5"/>
  <c r="Q28" i="5" s="1"/>
  <c r="O28" i="5"/>
  <c r="M28" i="5"/>
  <c r="H28" i="5"/>
  <c r="C28" i="5"/>
  <c r="AD27" i="5"/>
  <c r="J27" i="5" s="1"/>
  <c r="I27" i="5" s="1"/>
  <c r="AB27" i="5"/>
  <c r="Y27" i="5"/>
  <c r="X27" i="5"/>
  <c r="P27" i="5"/>
  <c r="O27" i="5"/>
  <c r="Q27" i="5" s="1"/>
  <c r="M27" i="5"/>
  <c r="K27" i="5"/>
  <c r="H27" i="5"/>
  <c r="C27" i="5"/>
  <c r="AB26" i="5"/>
  <c r="AD26" i="5" s="1"/>
  <c r="J26" i="5" s="1"/>
  <c r="Y26" i="5"/>
  <c r="X26" i="5"/>
  <c r="P26" i="5"/>
  <c r="Q26" i="5" s="1"/>
  <c r="O26" i="5"/>
  <c r="M26" i="5"/>
  <c r="H26" i="5"/>
  <c r="C26" i="5"/>
  <c r="AD25" i="5"/>
  <c r="J25" i="5" s="1"/>
  <c r="AB25" i="5"/>
  <c r="Y25" i="5"/>
  <c r="X25" i="5"/>
  <c r="P25" i="5"/>
  <c r="O25" i="5"/>
  <c r="Q25" i="5" s="1"/>
  <c r="M25" i="5"/>
  <c r="H25" i="5"/>
  <c r="C25" i="5"/>
  <c r="AB24" i="5"/>
  <c r="AD24" i="5" s="1"/>
  <c r="J24" i="5" s="1"/>
  <c r="Y24" i="5"/>
  <c r="X24" i="5"/>
  <c r="P24" i="5"/>
  <c r="O24" i="5"/>
  <c r="Q24" i="5" s="1"/>
  <c r="M24" i="5"/>
  <c r="H24" i="5"/>
  <c r="C24" i="5"/>
  <c r="AD23" i="5"/>
  <c r="J23" i="5" s="1"/>
  <c r="K23" i="5" s="1"/>
  <c r="AB23" i="5"/>
  <c r="Y23" i="5"/>
  <c r="X23" i="5"/>
  <c r="Q23" i="5"/>
  <c r="P23" i="5"/>
  <c r="O23" i="5"/>
  <c r="M23" i="5"/>
  <c r="I23" i="5"/>
  <c r="H23" i="5"/>
  <c r="C23" i="5"/>
  <c r="AB22" i="5"/>
  <c r="AD22" i="5" s="1"/>
  <c r="J22" i="5" s="1"/>
  <c r="Y22" i="5"/>
  <c r="X22" i="5"/>
  <c r="P22" i="5"/>
  <c r="O22" i="5"/>
  <c r="Q22" i="5" s="1"/>
  <c r="M22" i="5"/>
  <c r="H22" i="5"/>
  <c r="C22" i="5"/>
  <c r="AD21" i="5"/>
  <c r="J21" i="5" s="1"/>
  <c r="K21" i="5" s="1"/>
  <c r="AB21" i="5"/>
  <c r="Y21" i="5"/>
  <c r="X21" i="5"/>
  <c r="P21" i="5"/>
  <c r="O21" i="5"/>
  <c r="Q21" i="5" s="1"/>
  <c r="M21" i="5"/>
  <c r="I21" i="5"/>
  <c r="H21" i="5"/>
  <c r="C21" i="5"/>
  <c r="AB20" i="5"/>
  <c r="AD20" i="5" s="1"/>
  <c r="J20" i="5" s="1"/>
  <c r="Y20" i="5"/>
  <c r="X20" i="5"/>
  <c r="P20" i="5"/>
  <c r="Q20" i="5" s="1"/>
  <c r="O20" i="5"/>
  <c r="M20" i="5"/>
  <c r="H20" i="5"/>
  <c r="C20" i="5"/>
  <c r="AD19" i="5"/>
  <c r="J19" i="5" s="1"/>
  <c r="I19" i="5" s="1"/>
  <c r="AB19" i="5"/>
  <c r="Y19" i="5"/>
  <c r="X19" i="5"/>
  <c r="P19" i="5"/>
  <c r="O19" i="5"/>
  <c r="Q19" i="5" s="1"/>
  <c r="M19" i="5"/>
  <c r="H19" i="5"/>
  <c r="C19" i="5"/>
  <c r="AB18" i="5"/>
  <c r="AD18" i="5" s="1"/>
  <c r="Y18" i="5"/>
  <c r="X18" i="5"/>
  <c r="P18" i="5"/>
  <c r="Q18" i="5" s="1"/>
  <c r="O18" i="5"/>
  <c r="M18" i="5"/>
  <c r="J18" i="5"/>
  <c r="H18" i="5"/>
  <c r="C18" i="5"/>
  <c r="AD17" i="5"/>
  <c r="J17" i="5" s="1"/>
  <c r="AB17" i="5"/>
  <c r="Y17" i="5"/>
  <c r="X17" i="5"/>
  <c r="P17" i="5"/>
  <c r="O17" i="5"/>
  <c r="Q17" i="5" s="1"/>
  <c r="M17" i="5"/>
  <c r="H17" i="5"/>
  <c r="C17" i="5"/>
  <c r="AB16" i="5"/>
  <c r="AD16" i="5" s="1"/>
  <c r="J16" i="5" s="1"/>
  <c r="Y16" i="5"/>
  <c r="X16" i="5"/>
  <c r="P16" i="5"/>
  <c r="O16" i="5"/>
  <c r="Q16" i="5" s="1"/>
  <c r="M16" i="5"/>
  <c r="H16" i="5"/>
  <c r="C16" i="5"/>
  <c r="AD15" i="5"/>
  <c r="J15" i="5" s="1"/>
  <c r="K15" i="5" s="1"/>
  <c r="AB15" i="5"/>
  <c r="Y15" i="5"/>
  <c r="X15" i="5"/>
  <c r="Q15" i="5"/>
  <c r="P15" i="5"/>
  <c r="O15" i="5"/>
  <c r="M15" i="5"/>
  <c r="I15" i="5"/>
  <c r="H15" i="5"/>
  <c r="C15" i="5"/>
  <c r="AB14" i="5"/>
  <c r="AD14" i="5" s="1"/>
  <c r="J14" i="5" s="1"/>
  <c r="Y14" i="5"/>
  <c r="X14" i="5"/>
  <c r="P14" i="5"/>
  <c r="O14" i="5"/>
  <c r="Q14" i="5" s="1"/>
  <c r="M14" i="5"/>
  <c r="H14" i="5"/>
  <c r="C14" i="5"/>
  <c r="AD13" i="5"/>
  <c r="J13" i="5" s="1"/>
  <c r="I13" i="5" s="1"/>
  <c r="AB13" i="5"/>
  <c r="Y13" i="5"/>
  <c r="X13" i="5"/>
  <c r="P13" i="5"/>
  <c r="O13" i="5"/>
  <c r="Q13" i="5" s="1"/>
  <c r="M13" i="5"/>
  <c r="H13" i="5"/>
  <c r="C13" i="5"/>
  <c r="AB12" i="5"/>
  <c r="AD12" i="5" s="1"/>
  <c r="J12" i="5" s="1"/>
  <c r="Y12" i="5"/>
  <c r="X12" i="5"/>
  <c r="P12" i="5"/>
  <c r="Q12" i="5" s="1"/>
  <c r="O12" i="5"/>
  <c r="M12" i="5"/>
  <c r="H12" i="5"/>
  <c r="C12" i="5"/>
  <c r="AD11" i="5"/>
  <c r="J11" i="5" s="1"/>
  <c r="I11" i="5" s="1"/>
  <c r="AB11" i="5"/>
  <c r="Y11" i="5"/>
  <c r="X11" i="5"/>
  <c r="P11" i="5"/>
  <c r="O11" i="5"/>
  <c r="Q11" i="5" s="1"/>
  <c r="M11" i="5"/>
  <c r="K11" i="5"/>
  <c r="H11" i="5"/>
  <c r="C11" i="5"/>
  <c r="AB10" i="5"/>
  <c r="AD10" i="5" s="1"/>
  <c r="J10" i="5" s="1"/>
  <c r="Y10" i="5"/>
  <c r="X10" i="5"/>
  <c r="P10" i="5"/>
  <c r="Q10" i="5" s="1"/>
  <c r="O10" i="5"/>
  <c r="M10" i="5"/>
  <c r="H10" i="5"/>
  <c r="C10" i="5"/>
  <c r="AD9" i="5"/>
  <c r="J9" i="5" s="1"/>
  <c r="AB9" i="5"/>
  <c r="Y9" i="5"/>
  <c r="X9" i="5"/>
  <c r="P9" i="5"/>
  <c r="O9" i="5"/>
  <c r="Q9" i="5" s="1"/>
  <c r="M9" i="5"/>
  <c r="H9" i="5"/>
  <c r="C9" i="5"/>
  <c r="AB8" i="5"/>
  <c r="AD8" i="5" s="1"/>
  <c r="J8" i="5" s="1"/>
  <c r="Y8" i="5"/>
  <c r="X8" i="5"/>
  <c r="P8" i="5"/>
  <c r="O8" i="5"/>
  <c r="Q8" i="5" s="1"/>
  <c r="M8" i="5"/>
  <c r="H8" i="5"/>
  <c r="C8" i="5"/>
  <c r="AD7" i="5"/>
  <c r="J7" i="5" s="1"/>
  <c r="K7" i="5" s="1"/>
  <c r="AB7" i="5"/>
  <c r="Y7" i="5"/>
  <c r="X7" i="5"/>
  <c r="Q7" i="5"/>
  <c r="P7" i="5"/>
  <c r="O7" i="5"/>
  <c r="M7" i="5"/>
  <c r="I7" i="5"/>
  <c r="H7" i="5"/>
  <c r="C7" i="5"/>
  <c r="AB6" i="5"/>
  <c r="AD6" i="5" s="1"/>
  <c r="J6" i="5" s="1"/>
  <c r="Y6" i="5"/>
  <c r="X6" i="5"/>
  <c r="P6" i="5"/>
  <c r="O6" i="5"/>
  <c r="Q6" i="5" s="1"/>
  <c r="M6" i="5"/>
  <c r="H6" i="5"/>
  <c r="C6" i="5"/>
  <c r="AD5" i="5"/>
  <c r="J5" i="5" s="1"/>
  <c r="K5" i="5" s="1"/>
  <c r="AB5" i="5"/>
  <c r="Y5" i="5"/>
  <c r="X5" i="5"/>
  <c r="P5" i="5"/>
  <c r="O5" i="5"/>
  <c r="Q5" i="5" s="1"/>
  <c r="M5" i="5"/>
  <c r="I5" i="5"/>
  <c r="H5" i="5"/>
  <c r="C5" i="5"/>
  <c r="AB4" i="5"/>
  <c r="AD4" i="5" s="1"/>
  <c r="Y4" i="5"/>
  <c r="X4" i="5"/>
  <c r="P4" i="5"/>
  <c r="Q4" i="5" s="1"/>
  <c r="O4" i="5"/>
  <c r="M4" i="5"/>
  <c r="H4" i="5"/>
  <c r="C4" i="5"/>
  <c r="AG3" i="5"/>
  <c r="AF3" i="5"/>
  <c r="W3" i="5"/>
  <c r="X3" i="5" s="1"/>
  <c r="V3" i="5"/>
  <c r="U3" i="5"/>
  <c r="T3" i="5"/>
  <c r="O3" i="5"/>
  <c r="G3" i="5"/>
  <c r="F3" i="5"/>
  <c r="H3" i="5" s="1"/>
  <c r="D3" i="5"/>
  <c r="C3" i="5"/>
  <c r="A2" i="5"/>
  <c r="A1" i="5"/>
  <c r="AB32" i="4"/>
  <c r="AD32" i="4" s="1"/>
  <c r="J32" i="4" s="1"/>
  <c r="Y32" i="4"/>
  <c r="X32" i="4"/>
  <c r="V32" i="4"/>
  <c r="U32" i="4"/>
  <c r="T32" i="4"/>
  <c r="P32" i="4"/>
  <c r="O32" i="4"/>
  <c r="Q32" i="4" s="1"/>
  <c r="M32" i="4"/>
  <c r="H32" i="4"/>
  <c r="C32" i="4"/>
  <c r="AD31" i="4"/>
  <c r="J31" i="4" s="1"/>
  <c r="K31" i="4" s="1"/>
  <c r="AB31" i="4"/>
  <c r="Y31" i="4"/>
  <c r="X31" i="4"/>
  <c r="Q31" i="4"/>
  <c r="P31" i="4"/>
  <c r="O31" i="4"/>
  <c r="M31" i="4"/>
  <c r="I31" i="4"/>
  <c r="H31" i="4"/>
  <c r="C31" i="4"/>
  <c r="AB30" i="4"/>
  <c r="AD30" i="4" s="1"/>
  <c r="J30" i="4" s="1"/>
  <c r="Y30" i="4"/>
  <c r="X30" i="4"/>
  <c r="P30" i="4"/>
  <c r="O30" i="4"/>
  <c r="Q30" i="4" s="1"/>
  <c r="M30" i="4"/>
  <c r="H30" i="4"/>
  <c r="C30" i="4"/>
  <c r="AD29" i="4"/>
  <c r="J29" i="4" s="1"/>
  <c r="K29" i="4" s="1"/>
  <c r="AB29" i="4"/>
  <c r="Y29" i="4"/>
  <c r="X29" i="4"/>
  <c r="P29" i="4"/>
  <c r="O29" i="4"/>
  <c r="Q29" i="4" s="1"/>
  <c r="M29" i="4"/>
  <c r="I29" i="4"/>
  <c r="H29" i="4"/>
  <c r="C29" i="4"/>
  <c r="AB28" i="4"/>
  <c r="AD28" i="4" s="1"/>
  <c r="J28" i="4" s="1"/>
  <c r="Y28" i="4"/>
  <c r="X28" i="4"/>
  <c r="P28" i="4"/>
  <c r="Q28" i="4" s="1"/>
  <c r="O28" i="4"/>
  <c r="M28" i="4"/>
  <c r="H28" i="4"/>
  <c r="C28" i="4"/>
  <c r="AD27" i="4"/>
  <c r="J27" i="4" s="1"/>
  <c r="I27" i="4" s="1"/>
  <c r="AB27" i="4"/>
  <c r="Y27" i="4"/>
  <c r="X27" i="4"/>
  <c r="Q27" i="4"/>
  <c r="P27" i="4"/>
  <c r="O27" i="4"/>
  <c r="M27" i="4"/>
  <c r="H27" i="4"/>
  <c r="C27" i="4"/>
  <c r="AB26" i="4"/>
  <c r="AD26" i="4" s="1"/>
  <c r="J26" i="4" s="1"/>
  <c r="Y26" i="4"/>
  <c r="X26" i="4"/>
  <c r="P26" i="4"/>
  <c r="Q26" i="4" s="1"/>
  <c r="O26" i="4"/>
  <c r="M26" i="4"/>
  <c r="H26" i="4"/>
  <c r="C26" i="4"/>
  <c r="AD25" i="4"/>
  <c r="J25" i="4" s="1"/>
  <c r="AB25" i="4"/>
  <c r="Y25" i="4"/>
  <c r="X25" i="4"/>
  <c r="P25" i="4"/>
  <c r="O25" i="4"/>
  <c r="Q25" i="4" s="1"/>
  <c r="M25" i="4"/>
  <c r="K25" i="4"/>
  <c r="I25" i="4"/>
  <c r="H25" i="4"/>
  <c r="C25" i="4"/>
  <c r="AD24" i="4"/>
  <c r="AB24" i="4"/>
  <c r="Y24" i="4"/>
  <c r="X24" i="4"/>
  <c r="P24" i="4"/>
  <c r="O24" i="4"/>
  <c r="Q24" i="4" s="1"/>
  <c r="M24" i="4"/>
  <c r="J24" i="4"/>
  <c r="I24" i="4" s="1"/>
  <c r="H24" i="4"/>
  <c r="C24" i="4"/>
  <c r="AD23" i="4"/>
  <c r="J23" i="4" s="1"/>
  <c r="I23" i="4" s="1"/>
  <c r="AB23" i="4"/>
  <c r="Y23" i="4"/>
  <c r="X23" i="4"/>
  <c r="Q23" i="4"/>
  <c r="P23" i="4"/>
  <c r="O23" i="4"/>
  <c r="M23" i="4"/>
  <c r="K23" i="4"/>
  <c r="H23" i="4"/>
  <c r="C23" i="4"/>
  <c r="AB22" i="4"/>
  <c r="AD22" i="4" s="1"/>
  <c r="Y22" i="4"/>
  <c r="X22" i="4"/>
  <c r="P22" i="4"/>
  <c r="O22" i="4"/>
  <c r="M22" i="4"/>
  <c r="J22" i="4"/>
  <c r="H22" i="4"/>
  <c r="C22" i="4"/>
  <c r="AD21" i="4"/>
  <c r="J21" i="4" s="1"/>
  <c r="AB21" i="4"/>
  <c r="Y21" i="4"/>
  <c r="X21" i="4"/>
  <c r="P21" i="4"/>
  <c r="O21" i="4"/>
  <c r="Q21" i="4" s="1"/>
  <c r="M21" i="4"/>
  <c r="H21" i="4"/>
  <c r="C21" i="4"/>
  <c r="AB20" i="4"/>
  <c r="AD20" i="4" s="1"/>
  <c r="J20" i="4" s="1"/>
  <c r="Y20" i="4"/>
  <c r="X20" i="4"/>
  <c r="P20" i="4"/>
  <c r="O20" i="4"/>
  <c r="Q20" i="4" s="1"/>
  <c r="M20" i="4"/>
  <c r="H20" i="4"/>
  <c r="C20" i="4"/>
  <c r="AB19" i="4"/>
  <c r="AD19" i="4" s="1"/>
  <c r="J19" i="4" s="1"/>
  <c r="Y19" i="4"/>
  <c r="X19" i="4"/>
  <c r="P19" i="4"/>
  <c r="O19" i="4"/>
  <c r="Q19" i="4" s="1"/>
  <c r="M19" i="4"/>
  <c r="H19" i="4"/>
  <c r="C19" i="4"/>
  <c r="AB18" i="4"/>
  <c r="AD18" i="4" s="1"/>
  <c r="Y18" i="4"/>
  <c r="X18" i="4"/>
  <c r="P18" i="4"/>
  <c r="Q18" i="4" s="1"/>
  <c r="O18" i="4"/>
  <c r="M18" i="4"/>
  <c r="J18" i="4"/>
  <c r="K18" i="4" s="1"/>
  <c r="H18" i="4"/>
  <c r="C18" i="4"/>
  <c r="AD17" i="4"/>
  <c r="J17" i="4" s="1"/>
  <c r="AB17" i="4"/>
  <c r="Y17" i="4"/>
  <c r="X17" i="4"/>
  <c r="P17" i="4"/>
  <c r="O17" i="4"/>
  <c r="Q17" i="4" s="1"/>
  <c r="M17" i="4"/>
  <c r="K17" i="4"/>
  <c r="I17" i="4"/>
  <c r="H17" i="4"/>
  <c r="C17" i="4"/>
  <c r="AD16" i="4"/>
  <c r="AB16" i="4"/>
  <c r="Y16" i="4"/>
  <c r="X16" i="4"/>
  <c r="P16" i="4"/>
  <c r="O16" i="4"/>
  <c r="Q16" i="4" s="1"/>
  <c r="M16" i="4"/>
  <c r="K16" i="4"/>
  <c r="J16" i="4"/>
  <c r="I16" i="4" s="1"/>
  <c r="H16" i="4"/>
  <c r="C16" i="4"/>
  <c r="AD15" i="4"/>
  <c r="J15" i="4" s="1"/>
  <c r="AB15" i="4"/>
  <c r="Y15" i="4"/>
  <c r="X15" i="4"/>
  <c r="P15" i="4"/>
  <c r="O15" i="4"/>
  <c r="Q15" i="4" s="1"/>
  <c r="M15" i="4"/>
  <c r="K15" i="4"/>
  <c r="I15" i="4"/>
  <c r="H15" i="4"/>
  <c r="C15" i="4"/>
  <c r="AD14" i="4"/>
  <c r="AB14" i="4"/>
  <c r="Y14" i="4"/>
  <c r="X14" i="4"/>
  <c r="P14" i="4"/>
  <c r="O14" i="4"/>
  <c r="Q14" i="4" s="1"/>
  <c r="M14" i="4"/>
  <c r="K14" i="4"/>
  <c r="J14" i="4"/>
  <c r="I14" i="4" s="1"/>
  <c r="H14" i="4"/>
  <c r="C14" i="4"/>
  <c r="AD13" i="4"/>
  <c r="J13" i="4" s="1"/>
  <c r="AB13" i="4"/>
  <c r="Y13" i="4"/>
  <c r="X13" i="4"/>
  <c r="Q13" i="4"/>
  <c r="P13" i="4"/>
  <c r="O13" i="4"/>
  <c r="M13" i="4"/>
  <c r="H13" i="4"/>
  <c r="C13" i="4"/>
  <c r="AB12" i="4"/>
  <c r="AD12" i="4" s="1"/>
  <c r="Y12" i="4"/>
  <c r="X12" i="4"/>
  <c r="Q12" i="4"/>
  <c r="P12" i="4"/>
  <c r="O12" i="4"/>
  <c r="M12" i="4"/>
  <c r="J12" i="4"/>
  <c r="H12" i="4"/>
  <c r="C12" i="4"/>
  <c r="AB11" i="4"/>
  <c r="AD11" i="4" s="1"/>
  <c r="J11" i="4" s="1"/>
  <c r="Y11" i="4"/>
  <c r="X11" i="4"/>
  <c r="P11" i="4"/>
  <c r="O11" i="4"/>
  <c r="Q11" i="4" s="1"/>
  <c r="M11" i="4"/>
  <c r="H11" i="4"/>
  <c r="C11" i="4"/>
  <c r="AB10" i="4"/>
  <c r="AD10" i="4" s="1"/>
  <c r="J10" i="4" s="1"/>
  <c r="Y10" i="4"/>
  <c r="X10" i="4"/>
  <c r="P10" i="4"/>
  <c r="Q10" i="4" s="1"/>
  <c r="O10" i="4"/>
  <c r="M10" i="4"/>
  <c r="H10" i="4"/>
  <c r="C10" i="4"/>
  <c r="AD9" i="4"/>
  <c r="J9" i="4" s="1"/>
  <c r="AB9" i="4"/>
  <c r="Y9" i="4"/>
  <c r="X9" i="4"/>
  <c r="P9" i="4"/>
  <c r="O9" i="4"/>
  <c r="Q9" i="4" s="1"/>
  <c r="M9" i="4"/>
  <c r="K9" i="4"/>
  <c r="I9" i="4"/>
  <c r="H9" i="4"/>
  <c r="C9" i="4"/>
  <c r="AB8" i="4"/>
  <c r="AD8" i="4" s="1"/>
  <c r="J8" i="4" s="1"/>
  <c r="Y8" i="4"/>
  <c r="X8" i="4"/>
  <c r="P8" i="4"/>
  <c r="O8" i="4"/>
  <c r="Q8" i="4" s="1"/>
  <c r="M8" i="4"/>
  <c r="H8" i="4"/>
  <c r="C8" i="4"/>
  <c r="AD7" i="4"/>
  <c r="J7" i="4" s="1"/>
  <c r="AB7" i="4"/>
  <c r="Y7" i="4"/>
  <c r="X7" i="4"/>
  <c r="P7" i="4"/>
  <c r="O7" i="4"/>
  <c r="Q7" i="4" s="1"/>
  <c r="M7" i="4"/>
  <c r="K7" i="4"/>
  <c r="I7" i="4"/>
  <c r="H7" i="4"/>
  <c r="C7" i="4"/>
  <c r="AB6" i="4"/>
  <c r="AD6" i="4" s="1"/>
  <c r="J6" i="4" s="1"/>
  <c r="Y6" i="4"/>
  <c r="X6" i="4"/>
  <c r="P6" i="4"/>
  <c r="Q6" i="4" s="1"/>
  <c r="O6" i="4"/>
  <c r="M6" i="4"/>
  <c r="H6" i="4"/>
  <c r="C6" i="4"/>
  <c r="AB5" i="4"/>
  <c r="AD5" i="4" s="1"/>
  <c r="J5" i="4" s="1"/>
  <c r="Y5" i="4"/>
  <c r="X5" i="4"/>
  <c r="P5" i="4"/>
  <c r="O5" i="4"/>
  <c r="Q5" i="4" s="1"/>
  <c r="M5" i="4"/>
  <c r="H5" i="4"/>
  <c r="C5" i="4"/>
  <c r="AB4" i="4"/>
  <c r="AD4" i="4" s="1"/>
  <c r="Y4" i="4"/>
  <c r="X4" i="4"/>
  <c r="P4" i="4"/>
  <c r="Q4" i="4" s="1"/>
  <c r="O4" i="4"/>
  <c r="M4" i="4"/>
  <c r="H4" i="4"/>
  <c r="C4" i="4"/>
  <c r="AG3" i="4"/>
  <c r="AF3" i="4"/>
  <c r="W3" i="4"/>
  <c r="V3" i="4"/>
  <c r="U3" i="4"/>
  <c r="T3" i="4"/>
  <c r="O3" i="4"/>
  <c r="G3" i="4"/>
  <c r="H3" i="4" s="1"/>
  <c r="F3" i="4"/>
  <c r="D3" i="4"/>
  <c r="C3" i="4"/>
  <c r="A2" i="4"/>
  <c r="A1" i="4"/>
  <c r="AB32" i="3"/>
  <c r="AD32" i="3" s="1"/>
  <c r="J32" i="3" s="1"/>
  <c r="Y32" i="3"/>
  <c r="X32" i="3"/>
  <c r="V32" i="3"/>
  <c r="U32" i="3"/>
  <c r="T32" i="3"/>
  <c r="P32" i="3"/>
  <c r="O32" i="3"/>
  <c r="Q32" i="3" s="1"/>
  <c r="M32" i="3"/>
  <c r="H32" i="3"/>
  <c r="C32" i="3"/>
  <c r="AB31" i="3"/>
  <c r="AD31" i="3" s="1"/>
  <c r="J31" i="3" s="1"/>
  <c r="Y31" i="3"/>
  <c r="X31" i="3"/>
  <c r="P31" i="3"/>
  <c r="O31" i="3"/>
  <c r="Q31" i="3" s="1"/>
  <c r="M31" i="3"/>
  <c r="H31" i="3"/>
  <c r="C31" i="3"/>
  <c r="AD30" i="3"/>
  <c r="J30" i="3" s="1"/>
  <c r="AB30" i="3"/>
  <c r="Y30" i="3"/>
  <c r="X30" i="3"/>
  <c r="Q30" i="3"/>
  <c r="P30" i="3"/>
  <c r="O30" i="3"/>
  <c r="M30" i="3"/>
  <c r="H30" i="3"/>
  <c r="C30" i="3"/>
  <c r="AD29" i="3"/>
  <c r="J29" i="3" s="1"/>
  <c r="AB29" i="3"/>
  <c r="Y29" i="3"/>
  <c r="X29" i="3"/>
  <c r="Q29" i="3"/>
  <c r="P29" i="3"/>
  <c r="O29" i="3"/>
  <c r="M29" i="3"/>
  <c r="H29" i="3"/>
  <c r="C29" i="3"/>
  <c r="AB28" i="3"/>
  <c r="AD28" i="3" s="1"/>
  <c r="Y28" i="3"/>
  <c r="X28" i="3"/>
  <c r="Q28" i="3"/>
  <c r="P28" i="3"/>
  <c r="O28" i="3"/>
  <c r="M28" i="3"/>
  <c r="J28" i="3"/>
  <c r="K28" i="3" s="1"/>
  <c r="H28" i="3"/>
  <c r="C28" i="3"/>
  <c r="AD27" i="3"/>
  <c r="J27" i="3" s="1"/>
  <c r="AB27" i="3"/>
  <c r="Y27" i="3"/>
  <c r="X27" i="3"/>
  <c r="Q27" i="3"/>
  <c r="P27" i="3"/>
  <c r="O27" i="3"/>
  <c r="M27" i="3"/>
  <c r="H27" i="3"/>
  <c r="C27" i="3"/>
  <c r="AD26" i="3"/>
  <c r="J26" i="3" s="1"/>
  <c r="AB26" i="3"/>
  <c r="Y26" i="3"/>
  <c r="X26" i="3"/>
  <c r="P26" i="3"/>
  <c r="O26" i="3"/>
  <c r="Q26" i="3" s="1"/>
  <c r="M26" i="3"/>
  <c r="H26" i="3"/>
  <c r="C26" i="3"/>
  <c r="AD25" i="3"/>
  <c r="J25" i="3" s="1"/>
  <c r="AB25" i="3"/>
  <c r="Y25" i="3"/>
  <c r="X25" i="3"/>
  <c r="P25" i="3"/>
  <c r="O25" i="3"/>
  <c r="Q25" i="3" s="1"/>
  <c r="M25" i="3"/>
  <c r="H25" i="3"/>
  <c r="C25" i="3"/>
  <c r="AB24" i="3"/>
  <c r="AD24" i="3" s="1"/>
  <c r="J24" i="3" s="1"/>
  <c r="Y24" i="3"/>
  <c r="X24" i="3"/>
  <c r="P24" i="3"/>
  <c r="O24" i="3"/>
  <c r="Q24" i="3" s="1"/>
  <c r="M24" i="3"/>
  <c r="H24" i="3"/>
  <c r="C24" i="3"/>
  <c r="AD23" i="3"/>
  <c r="J23" i="3" s="1"/>
  <c r="AB23" i="3"/>
  <c r="Y23" i="3"/>
  <c r="X23" i="3"/>
  <c r="Q23" i="3"/>
  <c r="P23" i="3"/>
  <c r="O23" i="3"/>
  <c r="M23" i="3"/>
  <c r="H23" i="3"/>
  <c r="C23" i="3"/>
  <c r="AB22" i="3"/>
  <c r="AD22" i="3" s="1"/>
  <c r="J22" i="3" s="1"/>
  <c r="Y22" i="3"/>
  <c r="X22" i="3"/>
  <c r="P22" i="3"/>
  <c r="O22" i="3"/>
  <c r="Q22" i="3" s="1"/>
  <c r="M22" i="3"/>
  <c r="H22" i="3"/>
  <c r="C22" i="3"/>
  <c r="AB21" i="3"/>
  <c r="AD21" i="3" s="1"/>
  <c r="J21" i="3" s="1"/>
  <c r="Y21" i="3"/>
  <c r="X21" i="3"/>
  <c r="P21" i="3"/>
  <c r="O21" i="3"/>
  <c r="Q21" i="3" s="1"/>
  <c r="M21" i="3"/>
  <c r="H21" i="3"/>
  <c r="C21" i="3"/>
  <c r="AB20" i="3"/>
  <c r="AD20" i="3" s="1"/>
  <c r="J20" i="3" s="1"/>
  <c r="Y20" i="3"/>
  <c r="X20" i="3"/>
  <c r="P20" i="3"/>
  <c r="Q20" i="3" s="1"/>
  <c r="O20" i="3"/>
  <c r="M20" i="3"/>
  <c r="H20" i="3"/>
  <c r="C20" i="3"/>
  <c r="AD19" i="3"/>
  <c r="J19" i="3" s="1"/>
  <c r="AB19" i="3"/>
  <c r="Y19" i="3"/>
  <c r="X19" i="3"/>
  <c r="Q19" i="3"/>
  <c r="P19" i="3"/>
  <c r="O19" i="3"/>
  <c r="M19" i="3"/>
  <c r="H19" i="3"/>
  <c r="C19" i="3"/>
  <c r="AD18" i="3"/>
  <c r="J18" i="3" s="1"/>
  <c r="AB18" i="3"/>
  <c r="Y18" i="3"/>
  <c r="X18" i="3"/>
  <c r="P18" i="3"/>
  <c r="O18" i="3"/>
  <c r="Q18" i="3" s="1"/>
  <c r="M18" i="3"/>
  <c r="H18" i="3"/>
  <c r="C18" i="3"/>
  <c r="AD17" i="3"/>
  <c r="J17" i="3" s="1"/>
  <c r="AB17" i="3"/>
  <c r="Y17" i="3"/>
  <c r="X17" i="3"/>
  <c r="P17" i="3"/>
  <c r="O17" i="3"/>
  <c r="Q17" i="3" s="1"/>
  <c r="M17" i="3"/>
  <c r="H17" i="3"/>
  <c r="C17" i="3"/>
  <c r="AB16" i="3"/>
  <c r="AD16" i="3" s="1"/>
  <c r="J16" i="3" s="1"/>
  <c r="Y16" i="3"/>
  <c r="X16" i="3"/>
  <c r="P16" i="3"/>
  <c r="O16" i="3"/>
  <c r="Q16" i="3" s="1"/>
  <c r="M16" i="3"/>
  <c r="H16" i="3"/>
  <c r="C16" i="3"/>
  <c r="AD15" i="3"/>
  <c r="J15" i="3" s="1"/>
  <c r="AB15" i="3"/>
  <c r="Y15" i="3"/>
  <c r="X15" i="3"/>
  <c r="Q15" i="3"/>
  <c r="P15" i="3"/>
  <c r="O15" i="3"/>
  <c r="M15" i="3"/>
  <c r="H15" i="3"/>
  <c r="C15" i="3"/>
  <c r="AB14" i="3"/>
  <c r="AD14" i="3" s="1"/>
  <c r="J14" i="3" s="1"/>
  <c r="Y14" i="3"/>
  <c r="X14" i="3"/>
  <c r="P14" i="3"/>
  <c r="O14" i="3"/>
  <c r="Q14" i="3" s="1"/>
  <c r="M14" i="3"/>
  <c r="H14" i="3"/>
  <c r="C14" i="3"/>
  <c r="AB13" i="3"/>
  <c r="AD13" i="3" s="1"/>
  <c r="J13" i="3" s="1"/>
  <c r="Y13" i="3"/>
  <c r="X13" i="3"/>
  <c r="P13" i="3"/>
  <c r="O13" i="3"/>
  <c r="Q13" i="3" s="1"/>
  <c r="M13" i="3"/>
  <c r="H13" i="3"/>
  <c r="C13" i="3"/>
  <c r="AB12" i="3"/>
  <c r="AD12" i="3" s="1"/>
  <c r="J12" i="3" s="1"/>
  <c r="Y12" i="3"/>
  <c r="X12" i="3"/>
  <c r="P12" i="3"/>
  <c r="Q12" i="3" s="1"/>
  <c r="O12" i="3"/>
  <c r="M12" i="3"/>
  <c r="H12" i="3"/>
  <c r="C12" i="3"/>
  <c r="AD11" i="3"/>
  <c r="J11" i="3" s="1"/>
  <c r="AB11" i="3"/>
  <c r="Y11" i="3"/>
  <c r="X11" i="3"/>
  <c r="Q11" i="3"/>
  <c r="P11" i="3"/>
  <c r="O11" i="3"/>
  <c r="M11" i="3"/>
  <c r="H11" i="3"/>
  <c r="C11" i="3"/>
  <c r="AD10" i="3"/>
  <c r="J10" i="3" s="1"/>
  <c r="AB10" i="3"/>
  <c r="Y10" i="3"/>
  <c r="X10" i="3"/>
  <c r="P10" i="3"/>
  <c r="O10" i="3"/>
  <c r="Q10" i="3" s="1"/>
  <c r="M10" i="3"/>
  <c r="H10" i="3"/>
  <c r="C10" i="3"/>
  <c r="AD9" i="3"/>
  <c r="J9" i="3" s="1"/>
  <c r="AB9" i="3"/>
  <c r="Y9" i="3"/>
  <c r="X9" i="3"/>
  <c r="P9" i="3"/>
  <c r="O9" i="3"/>
  <c r="Q9" i="3" s="1"/>
  <c r="M9" i="3"/>
  <c r="H9" i="3"/>
  <c r="C9" i="3"/>
  <c r="AB8" i="3"/>
  <c r="AD8" i="3" s="1"/>
  <c r="J8" i="3" s="1"/>
  <c r="Y8" i="3"/>
  <c r="X8" i="3"/>
  <c r="P8" i="3"/>
  <c r="O8" i="3"/>
  <c r="Q8" i="3" s="1"/>
  <c r="M8" i="3"/>
  <c r="H8" i="3"/>
  <c r="C8" i="3"/>
  <c r="AD7" i="3"/>
  <c r="J7" i="3" s="1"/>
  <c r="AB7" i="3"/>
  <c r="Y7" i="3"/>
  <c r="X7" i="3"/>
  <c r="Q7" i="3"/>
  <c r="P7" i="3"/>
  <c r="O7" i="3"/>
  <c r="M7" i="3"/>
  <c r="H7" i="3"/>
  <c r="C7" i="3"/>
  <c r="AB6" i="3"/>
  <c r="AD6" i="3" s="1"/>
  <c r="J6" i="3" s="1"/>
  <c r="Y6" i="3"/>
  <c r="X6" i="3"/>
  <c r="P6" i="3"/>
  <c r="O6" i="3"/>
  <c r="Q6" i="3" s="1"/>
  <c r="M6" i="3"/>
  <c r="H6" i="3"/>
  <c r="C6" i="3"/>
  <c r="AB5" i="3"/>
  <c r="AD5" i="3" s="1"/>
  <c r="J5" i="3" s="1"/>
  <c r="Y5" i="3"/>
  <c r="X5" i="3"/>
  <c r="P5" i="3"/>
  <c r="O5" i="3"/>
  <c r="Q5" i="3" s="1"/>
  <c r="M5" i="3"/>
  <c r="H5" i="3"/>
  <c r="C5" i="3"/>
  <c r="AB4" i="3"/>
  <c r="AD4" i="3" s="1"/>
  <c r="Y4" i="3"/>
  <c r="X4" i="3"/>
  <c r="P4" i="3"/>
  <c r="Q4" i="3" s="1"/>
  <c r="O4" i="3"/>
  <c r="M4" i="3"/>
  <c r="H4" i="3"/>
  <c r="C4" i="3"/>
  <c r="AG3" i="3"/>
  <c r="AF3" i="3"/>
  <c r="W3" i="3"/>
  <c r="X3" i="3" s="1"/>
  <c r="V3" i="3"/>
  <c r="U3" i="3"/>
  <c r="T3" i="3"/>
  <c r="O3" i="3"/>
  <c r="H3" i="3"/>
  <c r="G3" i="3"/>
  <c r="F3" i="3"/>
  <c r="D3" i="3"/>
  <c r="C3" i="3"/>
  <c r="A2" i="3"/>
  <c r="A1" i="3"/>
  <c r="AB32" i="2"/>
  <c r="AD32" i="2" s="1"/>
  <c r="J32" i="2" s="1"/>
  <c r="Y32" i="2"/>
  <c r="X32" i="2"/>
  <c r="V32" i="2"/>
  <c r="U32" i="2"/>
  <c r="T32" i="2"/>
  <c r="P32" i="2"/>
  <c r="O32" i="2"/>
  <c r="Q32" i="2" s="1"/>
  <c r="M32" i="2"/>
  <c r="H32" i="2"/>
  <c r="C32" i="2"/>
  <c r="AD31" i="2"/>
  <c r="AD3" i="2" s="1"/>
  <c r="AB31" i="2"/>
  <c r="Y31" i="2"/>
  <c r="X31" i="2"/>
  <c r="Q31" i="2"/>
  <c r="P31" i="2"/>
  <c r="O31" i="2"/>
  <c r="M31" i="2"/>
  <c r="H31" i="2"/>
  <c r="C31" i="2"/>
  <c r="AG3" i="2"/>
  <c r="AF3" i="2"/>
  <c r="W3" i="2"/>
  <c r="V3" i="2"/>
  <c r="U3" i="2"/>
  <c r="T3" i="2"/>
  <c r="O3" i="2"/>
  <c r="G3" i="2"/>
  <c r="F3" i="2"/>
  <c r="H3" i="2" s="1"/>
  <c r="D3" i="2"/>
  <c r="X3" i="2" s="1"/>
  <c r="C3" i="2"/>
  <c r="A2" i="2"/>
  <c r="A1" i="2"/>
  <c r="AD32" i="1"/>
  <c r="J32" i="1" s="1"/>
  <c r="AB32" i="1"/>
  <c r="Y32" i="1"/>
  <c r="X32" i="1"/>
  <c r="V32" i="1"/>
  <c r="U32" i="1"/>
  <c r="T32" i="1"/>
  <c r="Q32" i="1"/>
  <c r="P32" i="1"/>
  <c r="O32" i="1"/>
  <c r="M32" i="1"/>
  <c r="H32" i="1"/>
  <c r="C32" i="1"/>
  <c r="AD31" i="1"/>
  <c r="J31" i="1" s="1"/>
  <c r="AB31" i="1"/>
  <c r="Y31" i="1"/>
  <c r="X31" i="1"/>
  <c r="P31" i="1"/>
  <c r="Q31" i="1" s="1"/>
  <c r="O31" i="1"/>
  <c r="M31" i="1"/>
  <c r="H31" i="1"/>
  <c r="C31" i="1"/>
  <c r="AG3" i="1"/>
  <c r="AF3" i="1"/>
  <c r="AD3" i="1"/>
  <c r="W3" i="1"/>
  <c r="X3" i="1" s="1"/>
  <c r="V3" i="1"/>
  <c r="U3" i="1"/>
  <c r="T3" i="1"/>
  <c r="O3" i="1"/>
  <c r="G3" i="1"/>
  <c r="H3" i="1" s="1"/>
  <c r="F3" i="1"/>
  <c r="D3" i="1"/>
  <c r="C3" i="1"/>
  <c r="A2" i="1"/>
  <c r="A1" i="1"/>
  <c r="I16" i="5" l="1"/>
  <c r="K16" i="5"/>
  <c r="I24" i="5"/>
  <c r="K24" i="5"/>
  <c r="I8" i="7"/>
  <c r="K8" i="7"/>
  <c r="I8" i="9"/>
  <c r="K8" i="9"/>
  <c r="I24" i="10"/>
  <c r="K24" i="10"/>
  <c r="I13" i="3"/>
  <c r="K13" i="3"/>
  <c r="I32" i="7"/>
  <c r="K32" i="7"/>
  <c r="I32" i="6"/>
  <c r="K32" i="6"/>
  <c r="K12" i="3"/>
  <c r="I12" i="3"/>
  <c r="I29" i="3"/>
  <c r="K29" i="3"/>
  <c r="I5" i="3"/>
  <c r="K5" i="3"/>
  <c r="K15" i="3"/>
  <c r="I15" i="3"/>
  <c r="I31" i="3"/>
  <c r="K31" i="3"/>
  <c r="K19" i="4"/>
  <c r="I19" i="4"/>
  <c r="K20" i="4"/>
  <c r="I20" i="4"/>
  <c r="K10" i="5"/>
  <c r="I10" i="5"/>
  <c r="I8" i="8"/>
  <c r="K8" i="8"/>
  <c r="I24" i="8"/>
  <c r="K24" i="8"/>
  <c r="K23" i="3"/>
  <c r="I23" i="3"/>
  <c r="K25" i="3"/>
  <c r="I25" i="3"/>
  <c r="AD3" i="4"/>
  <c r="K21" i="4"/>
  <c r="I21" i="4"/>
  <c r="I32" i="5"/>
  <c r="K32" i="5"/>
  <c r="I16" i="10"/>
  <c r="K16" i="10"/>
  <c r="I27" i="16"/>
  <c r="K27" i="16"/>
  <c r="I24" i="3"/>
  <c r="K24" i="3"/>
  <c r="I11" i="4"/>
  <c r="K11" i="4"/>
  <c r="K26" i="5"/>
  <c r="I26" i="5"/>
  <c r="K6" i="3"/>
  <c r="I6" i="3"/>
  <c r="J3" i="1"/>
  <c r="K31" i="1"/>
  <c r="I31" i="1"/>
  <c r="I5" i="4"/>
  <c r="K5" i="4"/>
  <c r="I8" i="3"/>
  <c r="K8" i="3"/>
  <c r="K18" i="3"/>
  <c r="I18" i="3"/>
  <c r="I27" i="3"/>
  <c r="K27" i="3"/>
  <c r="K26" i="4"/>
  <c r="I26" i="4"/>
  <c r="I8" i="6"/>
  <c r="K8" i="6"/>
  <c r="I16" i="6"/>
  <c r="K16" i="6"/>
  <c r="I24" i="9"/>
  <c r="K24" i="9"/>
  <c r="I32" i="4"/>
  <c r="K32" i="4"/>
  <c r="K14" i="3"/>
  <c r="I14" i="3"/>
  <c r="K10" i="4"/>
  <c r="I10" i="4"/>
  <c r="I8" i="5"/>
  <c r="K8" i="5"/>
  <c r="AD3" i="3"/>
  <c r="J4" i="3"/>
  <c r="I16" i="3"/>
  <c r="K16" i="3"/>
  <c r="K26" i="3"/>
  <c r="I26" i="3"/>
  <c r="I30" i="3"/>
  <c r="K30" i="3"/>
  <c r="K17" i="3"/>
  <c r="I17" i="3"/>
  <c r="I6" i="4"/>
  <c r="K6" i="4"/>
  <c r="I32" i="2"/>
  <c r="K32" i="2"/>
  <c r="K7" i="3"/>
  <c r="I7" i="3"/>
  <c r="K9" i="3"/>
  <c r="I9" i="3"/>
  <c r="I13" i="4"/>
  <c r="K13" i="4"/>
  <c r="I11" i="3"/>
  <c r="K11" i="3"/>
  <c r="K32" i="1"/>
  <c r="I32" i="1"/>
  <c r="K10" i="3"/>
  <c r="I10" i="3"/>
  <c r="I19" i="3"/>
  <c r="K19" i="3"/>
  <c r="K20" i="3"/>
  <c r="I20" i="3"/>
  <c r="I21" i="3"/>
  <c r="K21" i="3"/>
  <c r="K22" i="3"/>
  <c r="I22" i="3"/>
  <c r="K32" i="3"/>
  <c r="I32" i="3"/>
  <c r="K8" i="4"/>
  <c r="I8" i="4"/>
  <c r="K28" i="4"/>
  <c r="I28" i="4"/>
  <c r="K18" i="6"/>
  <c r="I18" i="6"/>
  <c r="I16" i="9"/>
  <c r="K16" i="9"/>
  <c r="I32" i="9"/>
  <c r="K32" i="9"/>
  <c r="I8" i="10"/>
  <c r="K8" i="10"/>
  <c r="K27" i="4"/>
  <c r="K14" i="5"/>
  <c r="I14" i="5"/>
  <c r="I5" i="7"/>
  <c r="K22" i="10"/>
  <c r="I22" i="10"/>
  <c r="K19" i="17"/>
  <c r="K24" i="21"/>
  <c r="I24" i="21"/>
  <c r="K22" i="4"/>
  <c r="I22" i="4"/>
  <c r="AD3" i="5"/>
  <c r="J4" i="5"/>
  <c r="K13" i="5"/>
  <c r="K18" i="5"/>
  <c r="I18" i="5"/>
  <c r="K20" i="5"/>
  <c r="I20" i="5"/>
  <c r="K29" i="5"/>
  <c r="K5" i="6"/>
  <c r="K10" i="6"/>
  <c r="I10" i="6"/>
  <c r="K12" i="6"/>
  <c r="I12" i="6"/>
  <c r="K21" i="6"/>
  <c r="K30" i="6"/>
  <c r="I30" i="6"/>
  <c r="K14" i="7"/>
  <c r="I14" i="7"/>
  <c r="K22" i="7"/>
  <c r="I22" i="7"/>
  <c r="K30" i="7"/>
  <c r="I30" i="7"/>
  <c r="K14" i="8"/>
  <c r="I14" i="8"/>
  <c r="K27" i="8"/>
  <c r="K11" i="9"/>
  <c r="K19" i="9"/>
  <c r="K27" i="9"/>
  <c r="I5" i="10"/>
  <c r="I13" i="10"/>
  <c r="I21" i="10"/>
  <c r="I29" i="10"/>
  <c r="I32" i="12"/>
  <c r="J3" i="12"/>
  <c r="K32" i="12"/>
  <c r="I28" i="15"/>
  <c r="K28" i="15"/>
  <c r="K20" i="16"/>
  <c r="I20" i="16"/>
  <c r="I11" i="18"/>
  <c r="K11" i="18"/>
  <c r="J3" i="19"/>
  <c r="K32" i="19"/>
  <c r="I32" i="19"/>
  <c r="I13" i="40"/>
  <c r="K13" i="40"/>
  <c r="K22" i="45"/>
  <c r="I22" i="45"/>
  <c r="K6" i="46"/>
  <c r="I6" i="46"/>
  <c r="K21" i="54"/>
  <c r="I21" i="54"/>
  <c r="K22" i="54"/>
  <c r="I22" i="54"/>
  <c r="AD3" i="11"/>
  <c r="J32" i="11"/>
  <c r="K24" i="16"/>
  <c r="I24" i="16"/>
  <c r="I18" i="4"/>
  <c r="K9" i="5"/>
  <c r="I9" i="5"/>
  <c r="K19" i="5"/>
  <c r="K25" i="5"/>
  <c r="I25" i="5"/>
  <c r="K11" i="6"/>
  <c r="K17" i="6"/>
  <c r="I17" i="6"/>
  <c r="I29" i="6"/>
  <c r="K7" i="7"/>
  <c r="I7" i="7"/>
  <c r="I21" i="7"/>
  <c r="I29" i="7"/>
  <c r="K7" i="8"/>
  <c r="I7" i="8"/>
  <c r="K22" i="8"/>
  <c r="I22" i="8"/>
  <c r="K6" i="9"/>
  <c r="I6" i="9"/>
  <c r="K14" i="9"/>
  <c r="I14" i="9"/>
  <c r="K22" i="9"/>
  <c r="I22" i="9"/>
  <c r="K30" i="9"/>
  <c r="I30" i="9"/>
  <c r="K7" i="10"/>
  <c r="I7" i="10"/>
  <c r="Q12" i="10"/>
  <c r="K15" i="10"/>
  <c r="I15" i="10"/>
  <c r="K23" i="10"/>
  <c r="I23" i="10"/>
  <c r="K31" i="10"/>
  <c r="I31" i="10"/>
  <c r="I13" i="15"/>
  <c r="I19" i="15"/>
  <c r="K19" i="15"/>
  <c r="K8" i="17"/>
  <c r="I8" i="17"/>
  <c r="I7" i="20"/>
  <c r="K7" i="20"/>
  <c r="K30" i="20"/>
  <c r="I30" i="20"/>
  <c r="I19" i="21"/>
  <c r="K19" i="21"/>
  <c r="J3" i="23"/>
  <c r="K32" i="23"/>
  <c r="I32" i="23"/>
  <c r="K8" i="21"/>
  <c r="I8" i="21"/>
  <c r="J31" i="2"/>
  <c r="I28" i="3"/>
  <c r="Q22" i="4"/>
  <c r="K31" i="6"/>
  <c r="I31" i="6"/>
  <c r="K15" i="7"/>
  <c r="I15" i="7"/>
  <c r="K23" i="7"/>
  <c r="I23" i="7"/>
  <c r="K31" i="7"/>
  <c r="I31" i="7"/>
  <c r="K15" i="8"/>
  <c r="I15" i="8"/>
  <c r="K30" i="8"/>
  <c r="I30" i="8"/>
  <c r="K18" i="15"/>
  <c r="I18" i="15"/>
  <c r="K16" i="16"/>
  <c r="I16" i="16"/>
  <c r="J3" i="17"/>
  <c r="K4" i="17"/>
  <c r="I4" i="17"/>
  <c r="K28" i="17"/>
  <c r="I28" i="17"/>
  <c r="K25" i="18"/>
  <c r="I25" i="18"/>
  <c r="I23" i="20"/>
  <c r="K23" i="20"/>
  <c r="K24" i="20"/>
  <c r="I24" i="20"/>
  <c r="I31" i="20"/>
  <c r="K31" i="20"/>
  <c r="K21" i="25"/>
  <c r="I21" i="25"/>
  <c r="K22" i="25"/>
  <c r="I22" i="25"/>
  <c r="K25" i="32"/>
  <c r="I25" i="32"/>
  <c r="K29" i="34"/>
  <c r="I29" i="34"/>
  <c r="K30" i="5"/>
  <c r="I30" i="5"/>
  <c r="I32" i="8"/>
  <c r="K32" i="8"/>
  <c r="K6" i="10"/>
  <c r="I6" i="10"/>
  <c r="K14" i="10"/>
  <c r="I14" i="10"/>
  <c r="K30" i="10"/>
  <c r="I30" i="10"/>
  <c r="K13" i="18"/>
  <c r="I13" i="18"/>
  <c r="K12" i="4"/>
  <c r="I12" i="4"/>
  <c r="K30" i="4"/>
  <c r="I30" i="4"/>
  <c r="K6" i="5"/>
  <c r="I6" i="5"/>
  <c r="K22" i="5"/>
  <c r="I22" i="5"/>
  <c r="K14" i="6"/>
  <c r="I14" i="6"/>
  <c r="K9" i="7"/>
  <c r="I9" i="7"/>
  <c r="K10" i="7"/>
  <c r="I10" i="7"/>
  <c r="K9" i="8"/>
  <c r="I9" i="8"/>
  <c r="K10" i="8"/>
  <c r="I10" i="8"/>
  <c r="K23" i="8"/>
  <c r="I23" i="8"/>
  <c r="K7" i="9"/>
  <c r="I7" i="9"/>
  <c r="K15" i="9"/>
  <c r="I15" i="9"/>
  <c r="K23" i="9"/>
  <c r="I23" i="9"/>
  <c r="K31" i="9"/>
  <c r="I31" i="9"/>
  <c r="K9" i="10"/>
  <c r="I9" i="10"/>
  <c r="K10" i="10"/>
  <c r="I10" i="10"/>
  <c r="K17" i="10"/>
  <c r="I17" i="10"/>
  <c r="K18" i="10"/>
  <c r="I18" i="10"/>
  <c r="K25" i="10"/>
  <c r="I25" i="10"/>
  <c r="K26" i="10"/>
  <c r="I26" i="10"/>
  <c r="AD3" i="13"/>
  <c r="J32" i="13"/>
  <c r="J9" i="15"/>
  <c r="AD3" i="15"/>
  <c r="K32" i="15"/>
  <c r="I32" i="15"/>
  <c r="K8" i="16"/>
  <c r="I8" i="16"/>
  <c r="K28" i="16"/>
  <c r="I28" i="16"/>
  <c r="K16" i="17"/>
  <c r="I16" i="17"/>
  <c r="I27" i="17"/>
  <c r="K27" i="17"/>
  <c r="I6" i="18"/>
  <c r="K6" i="18"/>
  <c r="K13" i="21"/>
  <c r="I13" i="21"/>
  <c r="I31" i="21"/>
  <c r="K31" i="21"/>
  <c r="I20" i="25"/>
  <c r="K20" i="25"/>
  <c r="K23" i="25"/>
  <c r="I23" i="25"/>
  <c r="I18" i="29"/>
  <c r="K18" i="29"/>
  <c r="K22" i="6"/>
  <c r="I22" i="6"/>
  <c r="K6" i="7"/>
  <c r="I6" i="7"/>
  <c r="K6" i="8"/>
  <c r="I6" i="8"/>
  <c r="K28" i="8"/>
  <c r="I28" i="8"/>
  <c r="K12" i="9"/>
  <c r="I12" i="9"/>
  <c r="K20" i="17"/>
  <c r="I20" i="17"/>
  <c r="J4" i="4"/>
  <c r="K12" i="5"/>
  <c r="I12" i="5"/>
  <c r="K28" i="5"/>
  <c r="I28" i="5"/>
  <c r="AD3" i="6"/>
  <c r="J4" i="6"/>
  <c r="K20" i="6"/>
  <c r="I20" i="6"/>
  <c r="K25" i="6"/>
  <c r="I25" i="6"/>
  <c r="K26" i="6"/>
  <c r="I26" i="6"/>
  <c r="AD3" i="7"/>
  <c r="J4" i="7"/>
  <c r="K17" i="7"/>
  <c r="I17" i="7"/>
  <c r="K18" i="7"/>
  <c r="I18" i="7"/>
  <c r="K25" i="7"/>
  <c r="I25" i="7"/>
  <c r="K26" i="7"/>
  <c r="I26" i="7"/>
  <c r="AD3" i="8"/>
  <c r="J4" i="8"/>
  <c r="K17" i="8"/>
  <c r="I17" i="8"/>
  <c r="K18" i="8"/>
  <c r="I18" i="8"/>
  <c r="K31" i="8"/>
  <c r="I31" i="8"/>
  <c r="I32" i="10"/>
  <c r="K32" i="10"/>
  <c r="K32" i="16"/>
  <c r="I32" i="16"/>
  <c r="I11" i="17"/>
  <c r="K11" i="17"/>
  <c r="K12" i="17"/>
  <c r="I12" i="17"/>
  <c r="J3" i="18"/>
  <c r="K4" i="18"/>
  <c r="I4" i="18"/>
  <c r="K12" i="25"/>
  <c r="I12" i="25"/>
  <c r="K17" i="25"/>
  <c r="I17" i="25"/>
  <c r="K28" i="9"/>
  <c r="I28" i="9"/>
  <c r="X3" i="4"/>
  <c r="K17" i="5"/>
  <c r="I17" i="5"/>
  <c r="K9" i="6"/>
  <c r="I9" i="6"/>
  <c r="I24" i="6"/>
  <c r="K24" i="6"/>
  <c r="K12" i="7"/>
  <c r="I12" i="7"/>
  <c r="I16" i="7"/>
  <c r="K16" i="7"/>
  <c r="I24" i="7"/>
  <c r="K24" i="7"/>
  <c r="K12" i="8"/>
  <c r="I12" i="8"/>
  <c r="I16" i="8"/>
  <c r="K16" i="8"/>
  <c r="K25" i="8"/>
  <c r="I25" i="8"/>
  <c r="K26" i="8"/>
  <c r="I26" i="8"/>
  <c r="K9" i="9"/>
  <c r="I9" i="9"/>
  <c r="K10" i="9"/>
  <c r="I10" i="9"/>
  <c r="K17" i="9"/>
  <c r="I17" i="9"/>
  <c r="K18" i="9"/>
  <c r="I18" i="9"/>
  <c r="K25" i="9"/>
  <c r="I25" i="9"/>
  <c r="K26" i="9"/>
  <c r="I26" i="9"/>
  <c r="AD3" i="10"/>
  <c r="J4" i="10"/>
  <c r="K12" i="10"/>
  <c r="I12" i="10"/>
  <c r="K20" i="10"/>
  <c r="I20" i="10"/>
  <c r="K28" i="10"/>
  <c r="I28" i="10"/>
  <c r="AD3" i="14"/>
  <c r="J32" i="14"/>
  <c r="K21" i="15"/>
  <c r="I21" i="15"/>
  <c r="K25" i="15"/>
  <c r="I25" i="15"/>
  <c r="I30" i="15"/>
  <c r="I27" i="18"/>
  <c r="K27" i="18"/>
  <c r="I7" i="25"/>
  <c r="K7" i="25"/>
  <c r="I18" i="25"/>
  <c r="K18" i="25"/>
  <c r="I30" i="27"/>
  <c r="K30" i="27"/>
  <c r="K6" i="6"/>
  <c r="I6" i="6"/>
  <c r="I5" i="8"/>
  <c r="K20" i="9"/>
  <c r="I20" i="9"/>
  <c r="K12" i="18"/>
  <c r="I12" i="18"/>
  <c r="AD3" i="20"/>
  <c r="J4" i="20"/>
  <c r="K24" i="4"/>
  <c r="K28" i="6"/>
  <c r="I28" i="6"/>
  <c r="K11" i="7"/>
  <c r="K20" i="7"/>
  <c r="I20" i="7"/>
  <c r="K28" i="7"/>
  <c r="I28" i="7"/>
  <c r="K11" i="8"/>
  <c r="K20" i="8"/>
  <c r="I20" i="8"/>
  <c r="AD3" i="9"/>
  <c r="J4" i="9"/>
  <c r="K11" i="10"/>
  <c r="K19" i="10"/>
  <c r="K27" i="10"/>
  <c r="I12" i="15"/>
  <c r="K12" i="15"/>
  <c r="K16" i="15"/>
  <c r="I16" i="15"/>
  <c r="I11" i="16"/>
  <c r="K11" i="16"/>
  <c r="K12" i="16"/>
  <c r="I12" i="16"/>
  <c r="K24" i="17"/>
  <c r="I24" i="17"/>
  <c r="K20" i="18"/>
  <c r="I20" i="18"/>
  <c r="K32" i="20"/>
  <c r="I32" i="20"/>
  <c r="K16" i="21"/>
  <c r="I16" i="21"/>
  <c r="I26" i="21"/>
  <c r="K26" i="21"/>
  <c r="I13" i="26"/>
  <c r="K13" i="26"/>
  <c r="K14" i="26"/>
  <c r="I14" i="26"/>
  <c r="I23" i="26"/>
  <c r="K23" i="26"/>
  <c r="K11" i="62"/>
  <c r="I11" i="62"/>
  <c r="K12" i="62"/>
  <c r="I12" i="62"/>
  <c r="K18" i="62"/>
  <c r="I18" i="62"/>
  <c r="K19" i="62"/>
  <c r="I19" i="62"/>
  <c r="K9" i="65"/>
  <c r="I9" i="65"/>
  <c r="I25" i="66"/>
  <c r="K25" i="66"/>
  <c r="Q20" i="15"/>
  <c r="I24" i="15"/>
  <c r="K16" i="20"/>
  <c r="I16" i="20"/>
  <c r="K25" i="20"/>
  <c r="I25" i="20"/>
  <c r="K14" i="21"/>
  <c r="I14" i="21"/>
  <c r="K10" i="27"/>
  <c r="I10" i="27"/>
  <c r="K32" i="28"/>
  <c r="I32" i="28"/>
  <c r="K6" i="29"/>
  <c r="I6" i="29"/>
  <c r="I31" i="30"/>
  <c r="K31" i="30"/>
  <c r="AD3" i="37"/>
  <c r="J12" i="37"/>
  <c r="I19" i="18"/>
  <c r="K19" i="18"/>
  <c r="K21" i="18"/>
  <c r="I21" i="18"/>
  <c r="K26" i="18"/>
  <c r="I26" i="18"/>
  <c r="K6" i="20"/>
  <c r="I6" i="20"/>
  <c r="I7" i="21"/>
  <c r="K7" i="21"/>
  <c r="K9" i="21"/>
  <c r="I9" i="21"/>
  <c r="K32" i="21"/>
  <c r="I32" i="21"/>
  <c r="K4" i="26"/>
  <c r="I4" i="26"/>
  <c r="J3" i="26"/>
  <c r="K19" i="27"/>
  <c r="I19" i="27"/>
  <c r="I10" i="28"/>
  <c r="K10" i="28"/>
  <c r="I7" i="32"/>
  <c r="K7" i="32"/>
  <c r="K28" i="32"/>
  <c r="I28" i="32"/>
  <c r="K8" i="35"/>
  <c r="I8" i="35"/>
  <c r="I17" i="36"/>
  <c r="K17" i="36"/>
  <c r="J5" i="41"/>
  <c r="AD3" i="41"/>
  <c r="K14" i="41"/>
  <c r="I14" i="41"/>
  <c r="Q13" i="15"/>
  <c r="Q21" i="15"/>
  <c r="K10" i="16"/>
  <c r="I10" i="16"/>
  <c r="I13" i="16"/>
  <c r="Q4" i="17"/>
  <c r="K10" i="17"/>
  <c r="I10" i="17"/>
  <c r="I13" i="17"/>
  <c r="K7" i="18"/>
  <c r="K14" i="18"/>
  <c r="I5" i="20"/>
  <c r="I20" i="21"/>
  <c r="K22" i="21"/>
  <c r="I22" i="21"/>
  <c r="K27" i="21"/>
  <c r="I8" i="25"/>
  <c r="K10" i="25"/>
  <c r="I10" i="25"/>
  <c r="J5" i="26"/>
  <c r="AD3" i="26"/>
  <c r="K6" i="26"/>
  <c r="I6" i="26"/>
  <c r="K26" i="26"/>
  <c r="I26" i="26"/>
  <c r="I13" i="27"/>
  <c r="K13" i="27"/>
  <c r="I13" i="29"/>
  <c r="K13" i="29"/>
  <c r="K14" i="29"/>
  <c r="I14" i="29"/>
  <c r="I8" i="32"/>
  <c r="K8" i="32"/>
  <c r="I23" i="32"/>
  <c r="K23" i="32"/>
  <c r="I10" i="40"/>
  <c r="K10" i="40"/>
  <c r="K26" i="15"/>
  <c r="I26" i="15"/>
  <c r="I9" i="16"/>
  <c r="K18" i="16"/>
  <c r="I18" i="16"/>
  <c r="I9" i="17"/>
  <c r="K18" i="17"/>
  <c r="I18" i="17"/>
  <c r="I32" i="17"/>
  <c r="I12" i="20"/>
  <c r="K14" i="20"/>
  <c r="I14" i="20"/>
  <c r="I15" i="21"/>
  <c r="K15" i="21"/>
  <c r="K17" i="21"/>
  <c r="I17" i="21"/>
  <c r="I21" i="21"/>
  <c r="AD3" i="24"/>
  <c r="J32" i="24"/>
  <c r="AD3" i="25"/>
  <c r="K5" i="25"/>
  <c r="I5" i="25"/>
  <c r="I29" i="25"/>
  <c r="K29" i="25"/>
  <c r="I10" i="26"/>
  <c r="K10" i="26"/>
  <c r="I21" i="26"/>
  <c r="K21" i="26"/>
  <c r="K32" i="26"/>
  <c r="I32" i="26"/>
  <c r="K6" i="28"/>
  <c r="I6" i="28"/>
  <c r="I25" i="28"/>
  <c r="K25" i="28"/>
  <c r="I29" i="28"/>
  <c r="K29" i="28"/>
  <c r="K7" i="29"/>
  <c r="I7" i="29"/>
  <c r="I21" i="29"/>
  <c r="K21" i="29"/>
  <c r="I25" i="29"/>
  <c r="K25" i="29"/>
  <c r="K31" i="33"/>
  <c r="I31" i="33"/>
  <c r="K31" i="38"/>
  <c r="I31" i="38"/>
  <c r="I17" i="15"/>
  <c r="K14" i="16"/>
  <c r="Q20" i="16"/>
  <c r="K26" i="16"/>
  <c r="I26" i="16"/>
  <c r="I29" i="16"/>
  <c r="I17" i="17"/>
  <c r="Q20" i="17"/>
  <c r="I25" i="17"/>
  <c r="K26" i="17"/>
  <c r="I26" i="17"/>
  <c r="I29" i="17"/>
  <c r="I8" i="18"/>
  <c r="K10" i="18"/>
  <c r="I10" i="18"/>
  <c r="K15" i="18"/>
  <c r="K22" i="18"/>
  <c r="K29" i="18"/>
  <c r="I29" i="18"/>
  <c r="K9" i="20"/>
  <c r="I9" i="20"/>
  <c r="I13" i="20"/>
  <c r="AD3" i="21"/>
  <c r="J4" i="21"/>
  <c r="K10" i="21"/>
  <c r="I28" i="21"/>
  <c r="K30" i="21"/>
  <c r="I30" i="21"/>
  <c r="K24" i="25"/>
  <c r="K31" i="25"/>
  <c r="I31" i="25"/>
  <c r="I8" i="26"/>
  <c r="K8" i="26"/>
  <c r="I21" i="27"/>
  <c r="K21" i="27"/>
  <c r="I31" i="32"/>
  <c r="K31" i="32"/>
  <c r="K20" i="33"/>
  <c r="I20" i="33"/>
  <c r="K22" i="38"/>
  <c r="I22" i="38"/>
  <c r="K23" i="38"/>
  <c r="I23" i="38"/>
  <c r="AD3" i="40"/>
  <c r="J4" i="40"/>
  <c r="X3" i="14"/>
  <c r="I8" i="15"/>
  <c r="K10" i="15"/>
  <c r="I10" i="15"/>
  <c r="Q28" i="15"/>
  <c r="Q28" i="16"/>
  <c r="Q28" i="17"/>
  <c r="AD3" i="18"/>
  <c r="K5" i="18"/>
  <c r="I5" i="18"/>
  <c r="I9" i="18"/>
  <c r="K22" i="20"/>
  <c r="I22" i="20"/>
  <c r="I23" i="21"/>
  <c r="K23" i="21"/>
  <c r="K25" i="21"/>
  <c r="I25" i="21"/>
  <c r="I29" i="21"/>
  <c r="AD3" i="22"/>
  <c r="J32" i="22"/>
  <c r="J4" i="25"/>
  <c r="I11" i="25"/>
  <c r="K11" i="25"/>
  <c r="K13" i="25"/>
  <c r="I13" i="25"/>
  <c r="K14" i="25"/>
  <c r="I14" i="25"/>
  <c r="K15" i="25"/>
  <c r="I15" i="25"/>
  <c r="I16" i="25"/>
  <c r="K16" i="25"/>
  <c r="I7" i="26"/>
  <c r="I29" i="26"/>
  <c r="K29" i="26"/>
  <c r="I17" i="29"/>
  <c r="K17" i="29"/>
  <c r="I20" i="32"/>
  <c r="K20" i="32"/>
  <c r="K21" i="32"/>
  <c r="I21" i="32"/>
  <c r="K17" i="33"/>
  <c r="I17" i="33"/>
  <c r="J3" i="16"/>
  <c r="I4" i="16"/>
  <c r="AD3" i="16"/>
  <c r="Q32" i="16"/>
  <c r="AD3" i="17"/>
  <c r="K18" i="18"/>
  <c r="I18" i="18"/>
  <c r="K28" i="18"/>
  <c r="I28" i="18"/>
  <c r="K8" i="20"/>
  <c r="I8" i="20"/>
  <c r="I15" i="20"/>
  <c r="K15" i="20"/>
  <c r="K17" i="20"/>
  <c r="I17" i="20"/>
  <c r="K6" i="21"/>
  <c r="I6" i="21"/>
  <c r="K30" i="25"/>
  <c r="I30" i="25"/>
  <c r="K22" i="26"/>
  <c r="I22" i="26"/>
  <c r="I28" i="26"/>
  <c r="K28" i="26"/>
  <c r="I29" i="29"/>
  <c r="K29" i="29"/>
  <c r="I15" i="32"/>
  <c r="K15" i="32"/>
  <c r="I16" i="32"/>
  <c r="K16" i="32"/>
  <c r="K17" i="32"/>
  <c r="I17" i="32"/>
  <c r="I19" i="35"/>
  <c r="K19" i="35"/>
  <c r="K27" i="35"/>
  <c r="I27" i="35"/>
  <c r="K8" i="36"/>
  <c r="I8" i="36"/>
  <c r="K27" i="36"/>
  <c r="I27" i="36"/>
  <c r="K32" i="36"/>
  <c r="I32" i="36"/>
  <c r="K11" i="28"/>
  <c r="I11" i="28"/>
  <c r="K30" i="28"/>
  <c r="I30" i="28"/>
  <c r="K31" i="28"/>
  <c r="I31" i="28"/>
  <c r="I9" i="29"/>
  <c r="K9" i="29"/>
  <c r="I24" i="32"/>
  <c r="K24" i="32"/>
  <c r="I32" i="32"/>
  <c r="K32" i="32"/>
  <c r="I26" i="34"/>
  <c r="K26" i="34"/>
  <c r="K14" i="36"/>
  <c r="I14" i="36"/>
  <c r="K28" i="38"/>
  <c r="I28" i="38"/>
  <c r="K25" i="40"/>
  <c r="I25" i="40"/>
  <c r="I26" i="40"/>
  <c r="K26" i="40"/>
  <c r="I25" i="45"/>
  <c r="K25" i="45"/>
  <c r="I18" i="50"/>
  <c r="K18" i="50"/>
  <c r="K19" i="50"/>
  <c r="I19" i="50"/>
  <c r="K13" i="52"/>
  <c r="I13" i="52"/>
  <c r="K16" i="26"/>
  <c r="K6" i="27"/>
  <c r="I25" i="27"/>
  <c r="I21" i="28"/>
  <c r="K21" i="28"/>
  <c r="K11" i="29"/>
  <c r="I11" i="29"/>
  <c r="K15" i="29"/>
  <c r="I15" i="29"/>
  <c r="K32" i="29"/>
  <c r="I32" i="29"/>
  <c r="AD3" i="32"/>
  <c r="J4" i="32"/>
  <c r="K5" i="32"/>
  <c r="I5" i="32"/>
  <c r="K29" i="32"/>
  <c r="I29" i="32"/>
  <c r="K5" i="33"/>
  <c r="I5" i="33"/>
  <c r="K13" i="45"/>
  <c r="K14" i="45"/>
  <c r="I14" i="45"/>
  <c r="K15" i="45"/>
  <c r="I15" i="45"/>
  <c r="K11" i="47"/>
  <c r="I11" i="47"/>
  <c r="K12" i="47"/>
  <c r="I12" i="47"/>
  <c r="Q18" i="25"/>
  <c r="I11" i="26"/>
  <c r="K24" i="26"/>
  <c r="AD3" i="27"/>
  <c r="K22" i="27"/>
  <c r="I22" i="27"/>
  <c r="I7" i="28"/>
  <c r="I20" i="28"/>
  <c r="K22" i="28"/>
  <c r="I22" i="28"/>
  <c r="H3" i="29"/>
  <c r="AD3" i="29"/>
  <c r="J4" i="29"/>
  <c r="K30" i="29"/>
  <c r="I30" i="29"/>
  <c r="K12" i="32"/>
  <c r="I12" i="32"/>
  <c r="K12" i="33"/>
  <c r="I12" i="33"/>
  <c r="I27" i="33"/>
  <c r="K27" i="33"/>
  <c r="K18" i="34"/>
  <c r="I18" i="34"/>
  <c r="I23" i="37"/>
  <c r="K23" i="37"/>
  <c r="K28" i="37"/>
  <c r="I28" i="37"/>
  <c r="I31" i="39"/>
  <c r="K31" i="39"/>
  <c r="K17" i="40"/>
  <c r="I17" i="40"/>
  <c r="K21" i="46"/>
  <c r="I21" i="46"/>
  <c r="Q26" i="25"/>
  <c r="I27" i="25"/>
  <c r="Q16" i="26"/>
  <c r="Q18" i="26"/>
  <c r="J3" i="27"/>
  <c r="K7" i="27"/>
  <c r="I11" i="27"/>
  <c r="K26" i="27"/>
  <c r="K27" i="27"/>
  <c r="I27" i="27"/>
  <c r="AD3" i="28"/>
  <c r="Q6" i="28"/>
  <c r="K12" i="28"/>
  <c r="I13" i="28"/>
  <c r="K13" i="28"/>
  <c r="I5" i="29"/>
  <c r="K5" i="29"/>
  <c r="I10" i="29"/>
  <c r="K26" i="29"/>
  <c r="I26" i="29"/>
  <c r="K27" i="29"/>
  <c r="I27" i="29"/>
  <c r="K11" i="33"/>
  <c r="K31" i="34"/>
  <c r="I31" i="34"/>
  <c r="K16" i="35"/>
  <c r="I16" i="35"/>
  <c r="K26" i="35"/>
  <c r="I26" i="35"/>
  <c r="K7" i="40"/>
  <c r="I7" i="40"/>
  <c r="I9" i="46"/>
  <c r="K9" i="46"/>
  <c r="K32" i="25"/>
  <c r="X3" i="26"/>
  <c r="I20" i="26"/>
  <c r="Q11" i="27"/>
  <c r="K17" i="28"/>
  <c r="I17" i="28"/>
  <c r="K26" i="28"/>
  <c r="I26" i="28"/>
  <c r="Q15" i="29"/>
  <c r="Q29" i="32"/>
  <c r="K12" i="38"/>
  <c r="I12" i="38"/>
  <c r="K11" i="42"/>
  <c r="I11" i="42"/>
  <c r="I5" i="27"/>
  <c r="K5" i="27"/>
  <c r="Q22" i="27"/>
  <c r="I29" i="27"/>
  <c r="K29" i="27"/>
  <c r="Q8" i="28"/>
  <c r="K28" i="28"/>
  <c r="I28" i="28"/>
  <c r="K23" i="29"/>
  <c r="I23" i="29"/>
  <c r="Q30" i="29"/>
  <c r="K32" i="30"/>
  <c r="I32" i="30"/>
  <c r="J3" i="31"/>
  <c r="I32" i="31"/>
  <c r="X3" i="32"/>
  <c r="I7" i="33"/>
  <c r="K7" i="33"/>
  <c r="K8" i="33"/>
  <c r="I8" i="33"/>
  <c r="I15" i="33"/>
  <c r="K15" i="33"/>
  <c r="K16" i="33"/>
  <c r="I16" i="33"/>
  <c r="K7" i="34"/>
  <c r="I7" i="34"/>
  <c r="K8" i="34"/>
  <c r="I8" i="34"/>
  <c r="K22" i="35"/>
  <c r="I22" i="35"/>
  <c r="K11" i="36"/>
  <c r="I11" i="36"/>
  <c r="K17" i="37"/>
  <c r="I17" i="37"/>
  <c r="I18" i="37"/>
  <c r="K18" i="37"/>
  <c r="K25" i="39"/>
  <c r="I25" i="39"/>
  <c r="I26" i="39"/>
  <c r="K26" i="39"/>
  <c r="K6" i="36"/>
  <c r="I6" i="36"/>
  <c r="K29" i="36"/>
  <c r="I29" i="36"/>
  <c r="K30" i="36"/>
  <c r="I30" i="36"/>
  <c r="K32" i="37"/>
  <c r="I32" i="37"/>
  <c r="K14" i="38"/>
  <c r="I14" i="38"/>
  <c r="K15" i="38"/>
  <c r="I15" i="38"/>
  <c r="K7" i="41"/>
  <c r="I7" i="41"/>
  <c r="I17" i="41"/>
  <c r="K17" i="41"/>
  <c r="K15" i="49"/>
  <c r="I15" i="49"/>
  <c r="K6" i="51"/>
  <c r="I6" i="51"/>
  <c r="K22" i="51"/>
  <c r="I22" i="51"/>
  <c r="I32" i="51"/>
  <c r="K32" i="51"/>
  <c r="I8" i="52"/>
  <c r="K8" i="52"/>
  <c r="K18" i="33"/>
  <c r="AD3" i="34"/>
  <c r="J4" i="34"/>
  <c r="K14" i="34"/>
  <c r="K20" i="34"/>
  <c r="I20" i="34"/>
  <c r="K21" i="34"/>
  <c r="I21" i="34"/>
  <c r="I5" i="36"/>
  <c r="K22" i="36"/>
  <c r="K23" i="36"/>
  <c r="I23" i="36"/>
  <c r="K28" i="36"/>
  <c r="K31" i="36"/>
  <c r="I31" i="36"/>
  <c r="K24" i="37"/>
  <c r="I24" i="37"/>
  <c r="K7" i="38"/>
  <c r="K8" i="38"/>
  <c r="I8" i="38"/>
  <c r="K13" i="38"/>
  <c r="K16" i="38"/>
  <c r="I16" i="38"/>
  <c r="K9" i="40"/>
  <c r="I9" i="40"/>
  <c r="K19" i="40"/>
  <c r="I19" i="40"/>
  <c r="I32" i="40"/>
  <c r="K32" i="40"/>
  <c r="I17" i="42"/>
  <c r="K17" i="42"/>
  <c r="I31" i="27"/>
  <c r="J4" i="28"/>
  <c r="I15" i="28"/>
  <c r="I19" i="29"/>
  <c r="Q31" i="29"/>
  <c r="J29" i="30"/>
  <c r="I9" i="32"/>
  <c r="Q13" i="32"/>
  <c r="Q5" i="33"/>
  <c r="I9" i="33"/>
  <c r="K28" i="33"/>
  <c r="I28" i="33"/>
  <c r="K32" i="33"/>
  <c r="I32" i="33"/>
  <c r="K19" i="34"/>
  <c r="K24" i="34"/>
  <c r="I14" i="35"/>
  <c r="K28" i="35"/>
  <c r="K24" i="36"/>
  <c r="I24" i="36"/>
  <c r="I9" i="37"/>
  <c r="I10" i="37"/>
  <c r="K10" i="37"/>
  <c r="K19" i="37"/>
  <c r="I19" i="37"/>
  <c r="AD3" i="38"/>
  <c r="J4" i="38"/>
  <c r="K9" i="38"/>
  <c r="I9" i="38"/>
  <c r="K17" i="38"/>
  <c r="I17" i="38"/>
  <c r="I18" i="38"/>
  <c r="K18" i="38"/>
  <c r="I6" i="39"/>
  <c r="I12" i="39"/>
  <c r="I17" i="39"/>
  <c r="I18" i="39"/>
  <c r="K18" i="39"/>
  <c r="K27" i="39"/>
  <c r="I27" i="39"/>
  <c r="K18" i="40"/>
  <c r="K20" i="40"/>
  <c r="I20" i="40"/>
  <c r="K28" i="40"/>
  <c r="I28" i="40"/>
  <c r="I29" i="41"/>
  <c r="K29" i="41"/>
  <c r="I31" i="42"/>
  <c r="K7" i="46"/>
  <c r="I7" i="46"/>
  <c r="K24" i="35"/>
  <c r="I24" i="35"/>
  <c r="K32" i="35"/>
  <c r="I32" i="35"/>
  <c r="AD3" i="36"/>
  <c r="I20" i="36"/>
  <c r="K20" i="36"/>
  <c r="K20" i="37"/>
  <c r="I20" i="37"/>
  <c r="I5" i="38"/>
  <c r="K5" i="38"/>
  <c r="K28" i="39"/>
  <c r="I28" i="39"/>
  <c r="K3" i="43"/>
  <c r="I3" i="43"/>
  <c r="I19" i="28"/>
  <c r="Q31" i="28"/>
  <c r="Q23" i="29"/>
  <c r="Q29" i="30"/>
  <c r="Q21" i="32"/>
  <c r="K10" i="33"/>
  <c r="K23" i="33"/>
  <c r="I23" i="33"/>
  <c r="K17" i="34"/>
  <c r="I17" i="34"/>
  <c r="I6" i="35"/>
  <c r="I11" i="35"/>
  <c r="J3" i="36"/>
  <c r="I30" i="37"/>
  <c r="I25" i="38"/>
  <c r="I26" i="38"/>
  <c r="K26" i="38"/>
  <c r="K22" i="40"/>
  <c r="I22" i="40"/>
  <c r="K23" i="40"/>
  <c r="I23" i="40"/>
  <c r="K9" i="41"/>
  <c r="I9" i="41"/>
  <c r="I23" i="41"/>
  <c r="K24" i="41"/>
  <c r="I24" i="41"/>
  <c r="K24" i="42"/>
  <c r="I24" i="42"/>
  <c r="H3" i="43"/>
  <c r="Q7" i="27"/>
  <c r="Q19" i="29"/>
  <c r="Q9" i="32"/>
  <c r="J3" i="33"/>
  <c r="AD3" i="33"/>
  <c r="Q12" i="33"/>
  <c r="I13" i="33"/>
  <c r="K11" i="34"/>
  <c r="K16" i="34"/>
  <c r="Q10" i="35"/>
  <c r="I17" i="35"/>
  <c r="K17" i="35"/>
  <c r="K30" i="35"/>
  <c r="K31" i="35"/>
  <c r="I31" i="35"/>
  <c r="I9" i="36"/>
  <c r="K9" i="36"/>
  <c r="K16" i="36"/>
  <c r="I16" i="36"/>
  <c r="K26" i="36"/>
  <c r="I26" i="36"/>
  <c r="K27" i="37"/>
  <c r="I27" i="37"/>
  <c r="K11" i="38"/>
  <c r="I11" i="38"/>
  <c r="K32" i="38"/>
  <c r="I32" i="38"/>
  <c r="J3" i="39"/>
  <c r="K4" i="39"/>
  <c r="I4" i="39"/>
  <c r="K15" i="40"/>
  <c r="K16" i="40"/>
  <c r="I16" i="40"/>
  <c r="K21" i="40"/>
  <c r="K24" i="40"/>
  <c r="I24" i="40"/>
  <c r="K29" i="40"/>
  <c r="Q19" i="41"/>
  <c r="I25" i="41"/>
  <c r="K25" i="41"/>
  <c r="I26" i="41"/>
  <c r="K26" i="41"/>
  <c r="Q18" i="42"/>
  <c r="I23" i="42"/>
  <c r="K7" i="45"/>
  <c r="I7" i="45"/>
  <c r="J9" i="45"/>
  <c r="AD3" i="45"/>
  <c r="I6" i="47"/>
  <c r="K6" i="47"/>
  <c r="I15" i="34"/>
  <c r="Q19" i="34"/>
  <c r="X3" i="35"/>
  <c r="K23" i="35"/>
  <c r="I23" i="35"/>
  <c r="K18" i="36"/>
  <c r="I18" i="36"/>
  <c r="K16" i="37"/>
  <c r="I16" i="37"/>
  <c r="K24" i="39"/>
  <c r="I24" i="39"/>
  <c r="K11" i="40"/>
  <c r="I11" i="40"/>
  <c r="K30" i="41"/>
  <c r="I30" i="41"/>
  <c r="K8" i="42"/>
  <c r="I8" i="42"/>
  <c r="I25" i="42"/>
  <c r="K25" i="42"/>
  <c r="K11" i="45"/>
  <c r="I11" i="45"/>
  <c r="J3" i="46"/>
  <c r="K31" i="49"/>
  <c r="I31" i="49"/>
  <c r="K6" i="50"/>
  <c r="I6" i="50"/>
  <c r="I21" i="33"/>
  <c r="Q24" i="33"/>
  <c r="X3" i="34"/>
  <c r="I13" i="34"/>
  <c r="I23" i="34"/>
  <c r="I9" i="35"/>
  <c r="K18" i="35"/>
  <c r="I18" i="35"/>
  <c r="Q28" i="35"/>
  <c r="I29" i="35"/>
  <c r="K15" i="36"/>
  <c r="I15" i="36"/>
  <c r="K11" i="37"/>
  <c r="I11" i="37"/>
  <c r="K13" i="37"/>
  <c r="Q21" i="37"/>
  <c r="I22" i="37"/>
  <c r="I25" i="37"/>
  <c r="I31" i="37"/>
  <c r="I7" i="39"/>
  <c r="K19" i="39"/>
  <c r="I19" i="39"/>
  <c r="K21" i="39"/>
  <c r="Q29" i="39"/>
  <c r="I30" i="39"/>
  <c r="K8" i="40"/>
  <c r="I8" i="40"/>
  <c r="Q29" i="40"/>
  <c r="I30" i="40"/>
  <c r="I18" i="41"/>
  <c r="K18" i="41"/>
  <c r="J3" i="42"/>
  <c r="I7" i="42"/>
  <c r="I9" i="42"/>
  <c r="K9" i="42"/>
  <c r="X3" i="44"/>
  <c r="K6" i="45"/>
  <c r="I6" i="45"/>
  <c r="I14" i="46"/>
  <c r="K14" i="46"/>
  <c r="K31" i="48"/>
  <c r="I31" i="48"/>
  <c r="I18" i="49"/>
  <c r="K18" i="49"/>
  <c r="K23" i="49"/>
  <c r="I23" i="49"/>
  <c r="K25" i="49"/>
  <c r="I25" i="49"/>
  <c r="K15" i="35"/>
  <c r="I15" i="35"/>
  <c r="K10" i="36"/>
  <c r="I10" i="36"/>
  <c r="K8" i="37"/>
  <c r="I8" i="37"/>
  <c r="K27" i="38"/>
  <c r="I27" i="38"/>
  <c r="AD3" i="39"/>
  <c r="K16" i="39"/>
  <c r="I16" i="39"/>
  <c r="K32" i="39"/>
  <c r="I32" i="39"/>
  <c r="K6" i="41"/>
  <c r="I6" i="41"/>
  <c r="I10" i="41"/>
  <c r="K10" i="41"/>
  <c r="K27" i="41"/>
  <c r="I27" i="41"/>
  <c r="I18" i="42"/>
  <c r="K18" i="42"/>
  <c r="K30" i="42"/>
  <c r="I30" i="42"/>
  <c r="K32" i="44"/>
  <c r="I32" i="44"/>
  <c r="J3" i="44"/>
  <c r="J3" i="45"/>
  <c r="I18" i="45"/>
  <c r="K18" i="45"/>
  <c r="I26" i="45"/>
  <c r="K26" i="45"/>
  <c r="K19" i="47"/>
  <c r="I19" i="47"/>
  <c r="J3" i="48"/>
  <c r="I10" i="49"/>
  <c r="K10" i="49"/>
  <c r="H3" i="34"/>
  <c r="K10" i="35"/>
  <c r="I10" i="35"/>
  <c r="K12" i="35"/>
  <c r="I21" i="35"/>
  <c r="K7" i="36"/>
  <c r="I7" i="36"/>
  <c r="K5" i="37"/>
  <c r="I14" i="37"/>
  <c r="K24" i="38"/>
  <c r="I24" i="38"/>
  <c r="K10" i="39"/>
  <c r="K11" i="39"/>
  <c r="I11" i="39"/>
  <c r="K13" i="39"/>
  <c r="I22" i="39"/>
  <c r="K31" i="40"/>
  <c r="K31" i="41"/>
  <c r="I31" i="41"/>
  <c r="I17" i="45"/>
  <c r="K17" i="45"/>
  <c r="I10" i="46"/>
  <c r="K10" i="46"/>
  <c r="K7" i="47"/>
  <c r="I7" i="47"/>
  <c r="I22" i="47"/>
  <c r="K22" i="47"/>
  <c r="I27" i="47"/>
  <c r="K29" i="47"/>
  <c r="I29" i="47"/>
  <c r="K9" i="34"/>
  <c r="I9" i="34"/>
  <c r="Q27" i="34"/>
  <c r="I28" i="34"/>
  <c r="AD3" i="35"/>
  <c r="J5" i="35"/>
  <c r="K4" i="36"/>
  <c r="Q12" i="36"/>
  <c r="I13" i="36"/>
  <c r="K19" i="38"/>
  <c r="I19" i="38"/>
  <c r="K21" i="38"/>
  <c r="Q29" i="38"/>
  <c r="I30" i="38"/>
  <c r="K8" i="39"/>
  <c r="I8" i="39"/>
  <c r="Q5" i="40"/>
  <c r="I6" i="40"/>
  <c r="K4" i="41"/>
  <c r="I4" i="41"/>
  <c r="K15" i="41"/>
  <c r="I15" i="41"/>
  <c r="K22" i="41"/>
  <c r="I22" i="41"/>
  <c r="H3" i="42"/>
  <c r="AD3" i="42"/>
  <c r="K26" i="42"/>
  <c r="K8" i="45"/>
  <c r="I8" i="45"/>
  <c r="K23" i="45"/>
  <c r="I23" i="45"/>
  <c r="K30" i="45"/>
  <c r="I30" i="45"/>
  <c r="K15" i="46"/>
  <c r="I15" i="46"/>
  <c r="K21" i="47"/>
  <c r="I21" i="47"/>
  <c r="K18" i="46"/>
  <c r="I18" i="46"/>
  <c r="K11" i="49"/>
  <c r="I11" i="49"/>
  <c r="K20" i="49"/>
  <c r="I20" i="49"/>
  <c r="K32" i="41"/>
  <c r="I32" i="41"/>
  <c r="K4" i="46"/>
  <c r="K27" i="46"/>
  <c r="I27" i="46"/>
  <c r="I9" i="47"/>
  <c r="K9" i="47"/>
  <c r="I14" i="47"/>
  <c r="K14" i="47"/>
  <c r="I24" i="47"/>
  <c r="I21" i="50"/>
  <c r="K21" i="50"/>
  <c r="K31" i="50"/>
  <c r="I31" i="50"/>
  <c r="AD3" i="55"/>
  <c r="J5" i="55"/>
  <c r="K6" i="55"/>
  <c r="I6" i="55"/>
  <c r="K16" i="41"/>
  <c r="I16" i="41"/>
  <c r="I27" i="42"/>
  <c r="K32" i="42"/>
  <c r="I32" i="42"/>
  <c r="K24" i="45"/>
  <c r="I24" i="45"/>
  <c r="H3" i="46"/>
  <c r="K8" i="46"/>
  <c r="I8" i="46"/>
  <c r="K29" i="46"/>
  <c r="I29" i="46"/>
  <c r="J29" i="48"/>
  <c r="AD3" i="48"/>
  <c r="K7" i="50"/>
  <c r="I7" i="50"/>
  <c r="K9" i="50"/>
  <c r="I9" i="50"/>
  <c r="K23" i="50"/>
  <c r="I23" i="50"/>
  <c r="Q27" i="41"/>
  <c r="I6" i="42"/>
  <c r="I15" i="42"/>
  <c r="K16" i="42"/>
  <c r="I16" i="42"/>
  <c r="AD3" i="46"/>
  <c r="K16" i="46"/>
  <c r="I16" i="46"/>
  <c r="AD3" i="47"/>
  <c r="J5" i="47"/>
  <c r="AD3" i="50"/>
  <c r="K16" i="50"/>
  <c r="I16" i="50"/>
  <c r="I16" i="51"/>
  <c r="K16" i="51"/>
  <c r="K30" i="51"/>
  <c r="I30" i="51"/>
  <c r="K31" i="51"/>
  <c r="I31" i="51"/>
  <c r="K8" i="41"/>
  <c r="I8" i="41"/>
  <c r="Q18" i="41"/>
  <c r="Q27" i="42"/>
  <c r="K16" i="45"/>
  <c r="I16" i="45"/>
  <c r="Q26" i="45"/>
  <c r="I27" i="45"/>
  <c r="K32" i="45"/>
  <c r="I32" i="45"/>
  <c r="Q10" i="46"/>
  <c r="I11" i="46"/>
  <c r="K20" i="47"/>
  <c r="I20" i="47"/>
  <c r="K7" i="49"/>
  <c r="I7" i="49"/>
  <c r="K22" i="49"/>
  <c r="I22" i="49"/>
  <c r="K32" i="49"/>
  <c r="I32" i="49"/>
  <c r="I15" i="50"/>
  <c r="I26" i="50"/>
  <c r="K26" i="50"/>
  <c r="K15" i="47"/>
  <c r="I15" i="47"/>
  <c r="K8" i="49"/>
  <c r="I8" i="49"/>
  <c r="K17" i="50"/>
  <c r="I17" i="50"/>
  <c r="K27" i="50"/>
  <c r="I27" i="50"/>
  <c r="K7" i="51"/>
  <c r="I7" i="51"/>
  <c r="I8" i="51"/>
  <c r="K8" i="51"/>
  <c r="K21" i="51"/>
  <c r="I21" i="51"/>
  <c r="K23" i="51"/>
  <c r="I23" i="51"/>
  <c r="I24" i="51"/>
  <c r="K24" i="51"/>
  <c r="K14" i="52"/>
  <c r="I14" i="52"/>
  <c r="K30" i="52"/>
  <c r="I30" i="52"/>
  <c r="K6" i="53"/>
  <c r="I6" i="53"/>
  <c r="I24" i="54"/>
  <c r="K24" i="54"/>
  <c r="K13" i="56"/>
  <c r="I13" i="56"/>
  <c r="K30" i="57"/>
  <c r="I30" i="57"/>
  <c r="K31" i="57"/>
  <c r="I31" i="57"/>
  <c r="Q19" i="46"/>
  <c r="I20" i="46"/>
  <c r="Q25" i="46"/>
  <c r="K23" i="47"/>
  <c r="I23" i="47"/>
  <c r="Q25" i="47"/>
  <c r="K32" i="48"/>
  <c r="I32" i="48"/>
  <c r="AD3" i="49"/>
  <c r="K9" i="49"/>
  <c r="I9" i="49"/>
  <c r="K13" i="49"/>
  <c r="K19" i="49"/>
  <c r="I19" i="49"/>
  <c r="I28" i="49"/>
  <c r="H3" i="50"/>
  <c r="I12" i="50"/>
  <c r="K22" i="50"/>
  <c r="I22" i="50"/>
  <c r="K15" i="52"/>
  <c r="I15" i="52"/>
  <c r="I16" i="52"/>
  <c r="K16" i="52"/>
  <c r="I24" i="52"/>
  <c r="K24" i="52"/>
  <c r="I8" i="53"/>
  <c r="K8" i="53"/>
  <c r="K15" i="54"/>
  <c r="I15" i="54"/>
  <c r="I16" i="54"/>
  <c r="K16" i="54"/>
  <c r="K23" i="46"/>
  <c r="I23" i="46"/>
  <c r="K31" i="46"/>
  <c r="I31" i="46"/>
  <c r="K4" i="47"/>
  <c r="I4" i="47"/>
  <c r="K31" i="47"/>
  <c r="I31" i="47"/>
  <c r="K27" i="48"/>
  <c r="I27" i="48"/>
  <c r="Q29" i="48"/>
  <c r="K14" i="49"/>
  <c r="I14" i="49"/>
  <c r="K24" i="49"/>
  <c r="I24" i="49"/>
  <c r="Q27" i="49"/>
  <c r="K8" i="50"/>
  <c r="I8" i="50"/>
  <c r="Q11" i="50"/>
  <c r="K13" i="51"/>
  <c r="I13" i="51"/>
  <c r="K14" i="51"/>
  <c r="I14" i="51"/>
  <c r="K29" i="51"/>
  <c r="I29" i="51"/>
  <c r="X3" i="52"/>
  <c r="K23" i="52"/>
  <c r="I23" i="52"/>
  <c r="I8" i="54"/>
  <c r="K8" i="54"/>
  <c r="K30" i="49"/>
  <c r="I30" i="49"/>
  <c r="K14" i="50"/>
  <c r="I14" i="50"/>
  <c r="K24" i="50"/>
  <c r="I24" i="50"/>
  <c r="I19" i="52"/>
  <c r="K19" i="52"/>
  <c r="I8" i="55"/>
  <c r="K8" i="55"/>
  <c r="K28" i="46"/>
  <c r="I28" i="46"/>
  <c r="X3" i="47"/>
  <c r="Q23" i="47"/>
  <c r="K28" i="47"/>
  <c r="I28" i="47"/>
  <c r="K6" i="49"/>
  <c r="I6" i="49"/>
  <c r="K16" i="49"/>
  <c r="I16" i="49"/>
  <c r="Q19" i="49"/>
  <c r="K25" i="50"/>
  <c r="I25" i="50"/>
  <c r="K29" i="50"/>
  <c r="K32" i="50"/>
  <c r="I32" i="50"/>
  <c r="AD3" i="51"/>
  <c r="K15" i="51"/>
  <c r="I15" i="51"/>
  <c r="I11" i="52"/>
  <c r="I19" i="53"/>
  <c r="K19" i="53"/>
  <c r="I24" i="53"/>
  <c r="K24" i="53"/>
  <c r="K26" i="53"/>
  <c r="I26" i="53"/>
  <c r="Q31" i="46"/>
  <c r="K13" i="47"/>
  <c r="I13" i="47"/>
  <c r="Q31" i="47"/>
  <c r="K17" i="49"/>
  <c r="I17" i="49"/>
  <c r="K27" i="49"/>
  <c r="I27" i="49"/>
  <c r="K11" i="50"/>
  <c r="I11" i="50"/>
  <c r="K30" i="50"/>
  <c r="I30" i="50"/>
  <c r="AD3" i="52"/>
  <c r="J4" i="49"/>
  <c r="J4" i="50"/>
  <c r="J4" i="51"/>
  <c r="I5" i="52"/>
  <c r="K25" i="52"/>
  <c r="I25" i="52"/>
  <c r="K31" i="52"/>
  <c r="I31" i="52"/>
  <c r="K7" i="53"/>
  <c r="I7" i="53"/>
  <c r="K20" i="53"/>
  <c r="I20" i="53"/>
  <c r="K9" i="54"/>
  <c r="I9" i="54"/>
  <c r="K23" i="54"/>
  <c r="I23" i="54"/>
  <c r="K30" i="54"/>
  <c r="I30" i="54"/>
  <c r="K7" i="55"/>
  <c r="I7" i="55"/>
  <c r="K14" i="55"/>
  <c r="I14" i="55"/>
  <c r="K29" i="55"/>
  <c r="I29" i="55"/>
  <c r="K30" i="55"/>
  <c r="I30" i="55"/>
  <c r="K7" i="56"/>
  <c r="I7" i="56"/>
  <c r="K18" i="59"/>
  <c r="I18" i="59"/>
  <c r="K26" i="52"/>
  <c r="I26" i="52"/>
  <c r="K14" i="53"/>
  <c r="I14" i="53"/>
  <c r="I32" i="53"/>
  <c r="K32" i="53"/>
  <c r="K10" i="54"/>
  <c r="I10" i="54"/>
  <c r="K17" i="54"/>
  <c r="I17" i="54"/>
  <c r="I29" i="54"/>
  <c r="K31" i="54"/>
  <c r="I31" i="54"/>
  <c r="I13" i="55"/>
  <c r="I9" i="57"/>
  <c r="K9" i="57"/>
  <c r="K16" i="57"/>
  <c r="I16" i="57"/>
  <c r="I17" i="57"/>
  <c r="K17" i="57"/>
  <c r="K11" i="59"/>
  <c r="I11" i="59"/>
  <c r="I13" i="59"/>
  <c r="K13" i="59"/>
  <c r="J3" i="52"/>
  <c r="K9" i="52"/>
  <c r="I20" i="52"/>
  <c r="K9" i="53"/>
  <c r="I9" i="53"/>
  <c r="K15" i="53"/>
  <c r="I15" i="53"/>
  <c r="K27" i="53"/>
  <c r="K28" i="53"/>
  <c r="I28" i="53"/>
  <c r="K4" i="54"/>
  <c r="I4" i="54"/>
  <c r="K18" i="54"/>
  <c r="I18" i="54"/>
  <c r="K25" i="54"/>
  <c r="I25" i="54"/>
  <c r="K9" i="55"/>
  <c r="I9" i="55"/>
  <c r="I9" i="56"/>
  <c r="K9" i="56"/>
  <c r="K6" i="52"/>
  <c r="I6" i="52"/>
  <c r="K17" i="52"/>
  <c r="I17" i="52"/>
  <c r="I32" i="52"/>
  <c r="K32" i="52"/>
  <c r="K10" i="53"/>
  <c r="I10" i="53"/>
  <c r="K22" i="53"/>
  <c r="I22" i="53"/>
  <c r="K26" i="54"/>
  <c r="I26" i="54"/>
  <c r="K10" i="55"/>
  <c r="I10" i="55"/>
  <c r="K29" i="58"/>
  <c r="I29" i="58"/>
  <c r="Q9" i="52"/>
  <c r="I21" i="52"/>
  <c r="K22" i="52"/>
  <c r="I22" i="52"/>
  <c r="K27" i="52"/>
  <c r="K28" i="52"/>
  <c r="I28" i="52"/>
  <c r="K4" i="53"/>
  <c r="I4" i="53"/>
  <c r="K17" i="53"/>
  <c r="I17" i="53"/>
  <c r="K23" i="53"/>
  <c r="I23" i="53"/>
  <c r="AD3" i="54"/>
  <c r="J5" i="54"/>
  <c r="K11" i="54"/>
  <c r="K12" i="54"/>
  <c r="I12" i="54"/>
  <c r="I32" i="54"/>
  <c r="K32" i="54"/>
  <c r="K21" i="58"/>
  <c r="I21" i="58"/>
  <c r="Q17" i="51"/>
  <c r="K7" i="52"/>
  <c r="I7" i="52"/>
  <c r="I16" i="53"/>
  <c r="K16" i="53"/>
  <c r="K18" i="53"/>
  <c r="I18" i="53"/>
  <c r="K30" i="53"/>
  <c r="I30" i="53"/>
  <c r="K6" i="54"/>
  <c r="I6" i="54"/>
  <c r="K20" i="54"/>
  <c r="I20" i="54"/>
  <c r="J3" i="55"/>
  <c r="K4" i="55"/>
  <c r="I4" i="55"/>
  <c r="K21" i="55"/>
  <c r="I21" i="55"/>
  <c r="K22" i="55"/>
  <c r="I22" i="55"/>
  <c r="I25" i="56"/>
  <c r="K25" i="56"/>
  <c r="K27" i="56"/>
  <c r="I27" i="56"/>
  <c r="K13" i="58"/>
  <c r="I13" i="58"/>
  <c r="K18" i="52"/>
  <c r="AD3" i="53"/>
  <c r="J5" i="53"/>
  <c r="K11" i="53"/>
  <c r="K12" i="53"/>
  <c r="I12" i="53"/>
  <c r="K25" i="53"/>
  <c r="I25" i="53"/>
  <c r="K31" i="53"/>
  <c r="I31" i="53"/>
  <c r="K7" i="54"/>
  <c r="I7" i="54"/>
  <c r="K14" i="54"/>
  <c r="I14" i="54"/>
  <c r="K27" i="54"/>
  <c r="K28" i="54"/>
  <c r="I28" i="54"/>
  <c r="K11" i="55"/>
  <c r="K12" i="55"/>
  <c r="I12" i="55"/>
  <c r="J4" i="58"/>
  <c r="AD3" i="58"/>
  <c r="K5" i="58"/>
  <c r="I5" i="58"/>
  <c r="K15" i="56"/>
  <c r="I15" i="56"/>
  <c r="K10" i="57"/>
  <c r="I10" i="57"/>
  <c r="K24" i="57"/>
  <c r="I24" i="57"/>
  <c r="K7" i="58"/>
  <c r="I7" i="58"/>
  <c r="K15" i="58"/>
  <c r="I15" i="58"/>
  <c r="K23" i="58"/>
  <c r="I23" i="58"/>
  <c r="K31" i="58"/>
  <c r="I31" i="58"/>
  <c r="J5" i="59"/>
  <c r="AD3" i="59"/>
  <c r="I6" i="59"/>
  <c r="K6" i="59"/>
  <c r="K7" i="59"/>
  <c r="I7" i="59"/>
  <c r="K27" i="59"/>
  <c r="I27" i="59"/>
  <c r="K11" i="61"/>
  <c r="I11" i="61"/>
  <c r="K12" i="61"/>
  <c r="I12" i="61"/>
  <c r="K18" i="61"/>
  <c r="I18" i="61"/>
  <c r="K19" i="61"/>
  <c r="I19" i="61"/>
  <c r="I15" i="55"/>
  <c r="K8" i="56"/>
  <c r="I8" i="56"/>
  <c r="K21" i="56"/>
  <c r="I21" i="56"/>
  <c r="K32" i="56"/>
  <c r="I32" i="56"/>
  <c r="K11" i="57"/>
  <c r="I11" i="57"/>
  <c r="K18" i="57"/>
  <c r="I18" i="57"/>
  <c r="AD3" i="61"/>
  <c r="J4" i="61"/>
  <c r="K10" i="56"/>
  <c r="I10" i="56"/>
  <c r="I14" i="56"/>
  <c r="K16" i="56"/>
  <c r="I16" i="56"/>
  <c r="K23" i="56"/>
  <c r="I23" i="56"/>
  <c r="K29" i="56"/>
  <c r="I29" i="56"/>
  <c r="K19" i="57"/>
  <c r="I19" i="57"/>
  <c r="K26" i="57"/>
  <c r="I26" i="57"/>
  <c r="I6" i="58"/>
  <c r="K8" i="58"/>
  <c r="I8" i="58"/>
  <c r="I14" i="58"/>
  <c r="K16" i="58"/>
  <c r="I16" i="58"/>
  <c r="I22" i="58"/>
  <c r="K24" i="58"/>
  <c r="I24" i="58"/>
  <c r="I30" i="58"/>
  <c r="I21" i="59"/>
  <c r="K21" i="59"/>
  <c r="I22" i="59"/>
  <c r="K22" i="59"/>
  <c r="K9" i="60"/>
  <c r="I9" i="60"/>
  <c r="K17" i="60"/>
  <c r="I17" i="60"/>
  <c r="K25" i="60"/>
  <c r="I25" i="60"/>
  <c r="I5" i="62"/>
  <c r="K5" i="62"/>
  <c r="K17" i="55"/>
  <c r="K25" i="55"/>
  <c r="K31" i="56"/>
  <c r="I31" i="56"/>
  <c r="J4" i="57"/>
  <c r="AD3" i="57"/>
  <c r="K5" i="57"/>
  <c r="I5" i="57"/>
  <c r="I25" i="57"/>
  <c r="K25" i="57"/>
  <c r="K27" i="57"/>
  <c r="I27" i="57"/>
  <c r="I31" i="62"/>
  <c r="K31" i="62"/>
  <c r="K23" i="55"/>
  <c r="I23" i="55"/>
  <c r="K31" i="55"/>
  <c r="I31" i="55"/>
  <c r="K11" i="56"/>
  <c r="I11" i="56"/>
  <c r="K18" i="56"/>
  <c r="I18" i="56"/>
  <c r="I22" i="56"/>
  <c r="K24" i="56"/>
  <c r="I24" i="56"/>
  <c r="K7" i="57"/>
  <c r="I7" i="57"/>
  <c r="K13" i="57"/>
  <c r="I13" i="57"/>
  <c r="K10" i="58"/>
  <c r="I10" i="58"/>
  <c r="K11" i="58"/>
  <c r="I11" i="58"/>
  <c r="K18" i="58"/>
  <c r="I18" i="58"/>
  <c r="K19" i="58"/>
  <c r="I19" i="58"/>
  <c r="K26" i="58"/>
  <c r="I26" i="58"/>
  <c r="K27" i="58"/>
  <c r="I27" i="58"/>
  <c r="K10" i="59"/>
  <c r="I10" i="59"/>
  <c r="K25" i="62"/>
  <c r="I25" i="62"/>
  <c r="I13" i="64"/>
  <c r="K13" i="64"/>
  <c r="J4" i="56"/>
  <c r="AD3" i="56"/>
  <c r="K5" i="56"/>
  <c r="I5" i="56"/>
  <c r="I17" i="56"/>
  <c r="K17" i="56"/>
  <c r="K15" i="57"/>
  <c r="I15" i="57"/>
  <c r="K21" i="57"/>
  <c r="I21" i="57"/>
  <c r="K32" i="57"/>
  <c r="I32" i="57"/>
  <c r="I9" i="58"/>
  <c r="K9" i="58"/>
  <c r="I17" i="58"/>
  <c r="K17" i="58"/>
  <c r="I25" i="58"/>
  <c r="K25" i="58"/>
  <c r="K26" i="61"/>
  <c r="I26" i="61"/>
  <c r="K27" i="61"/>
  <c r="I27" i="61"/>
  <c r="K15" i="63"/>
  <c r="I15" i="63"/>
  <c r="I19" i="55"/>
  <c r="I27" i="55"/>
  <c r="K19" i="56"/>
  <c r="I19" i="56"/>
  <c r="K26" i="56"/>
  <c r="I26" i="56"/>
  <c r="I6" i="57"/>
  <c r="K8" i="57"/>
  <c r="I8" i="57"/>
  <c r="K23" i="57"/>
  <c r="I23" i="57"/>
  <c r="K29" i="57"/>
  <c r="I29" i="57"/>
  <c r="K32" i="58"/>
  <c r="I32" i="58"/>
  <c r="K25" i="59"/>
  <c r="I25" i="59"/>
  <c r="K10" i="60"/>
  <c r="I10" i="60"/>
  <c r="K18" i="60"/>
  <c r="I18" i="60"/>
  <c r="K26" i="60"/>
  <c r="I26" i="60"/>
  <c r="I5" i="61"/>
  <c r="K5" i="61"/>
  <c r="I13" i="61"/>
  <c r="K13" i="61"/>
  <c r="K20" i="61"/>
  <c r="I20" i="61"/>
  <c r="K28" i="61"/>
  <c r="I28" i="61"/>
  <c r="I13" i="62"/>
  <c r="K13" i="62"/>
  <c r="K20" i="62"/>
  <c r="I20" i="62"/>
  <c r="K26" i="62"/>
  <c r="I26" i="62"/>
  <c r="I8" i="64"/>
  <c r="K8" i="64"/>
  <c r="K31" i="64"/>
  <c r="I31" i="64"/>
  <c r="I32" i="59"/>
  <c r="AD3" i="60"/>
  <c r="J4" i="60"/>
  <c r="K12" i="60"/>
  <c r="I12" i="60"/>
  <c r="K20" i="60"/>
  <c r="I20" i="60"/>
  <c r="K28" i="60"/>
  <c r="I28" i="60"/>
  <c r="I21" i="61"/>
  <c r="K21" i="61"/>
  <c r="I29" i="61"/>
  <c r="K29" i="61"/>
  <c r="K7" i="62"/>
  <c r="I7" i="62"/>
  <c r="I21" i="62"/>
  <c r="K21" i="62"/>
  <c r="K13" i="63"/>
  <c r="I14" i="63"/>
  <c r="K14" i="63"/>
  <c r="K10" i="64"/>
  <c r="I10" i="64"/>
  <c r="I13" i="65"/>
  <c r="K13" i="65"/>
  <c r="I30" i="66"/>
  <c r="K30" i="66"/>
  <c r="Q15" i="59"/>
  <c r="I19" i="59"/>
  <c r="K20" i="59"/>
  <c r="I20" i="59"/>
  <c r="I26" i="59"/>
  <c r="Q31" i="59"/>
  <c r="I5" i="60"/>
  <c r="K5" i="60"/>
  <c r="I13" i="60"/>
  <c r="K13" i="60"/>
  <c r="I21" i="60"/>
  <c r="K21" i="60"/>
  <c r="I29" i="60"/>
  <c r="K29" i="60"/>
  <c r="K7" i="61"/>
  <c r="I7" i="61"/>
  <c r="K15" i="61"/>
  <c r="I15" i="61"/>
  <c r="K6" i="62"/>
  <c r="K15" i="62"/>
  <c r="I15" i="62"/>
  <c r="K26" i="63"/>
  <c r="I26" i="63"/>
  <c r="I29" i="63"/>
  <c r="K29" i="63"/>
  <c r="I21" i="64"/>
  <c r="K21" i="64"/>
  <c r="K22" i="64"/>
  <c r="I22" i="64"/>
  <c r="K28" i="65"/>
  <c r="I28" i="65"/>
  <c r="I14" i="66"/>
  <c r="K14" i="66"/>
  <c r="K28" i="59"/>
  <c r="I28" i="59"/>
  <c r="K11" i="60"/>
  <c r="I11" i="60"/>
  <c r="K19" i="60"/>
  <c r="I19" i="60"/>
  <c r="K27" i="60"/>
  <c r="I27" i="60"/>
  <c r="K23" i="61"/>
  <c r="I23" i="61"/>
  <c r="K31" i="61"/>
  <c r="I31" i="61"/>
  <c r="K23" i="62"/>
  <c r="I23" i="62"/>
  <c r="K27" i="62"/>
  <c r="I27" i="62"/>
  <c r="I5" i="65"/>
  <c r="K5" i="65"/>
  <c r="I8" i="59"/>
  <c r="Q22" i="59"/>
  <c r="I23" i="59"/>
  <c r="I29" i="59"/>
  <c r="K29" i="59"/>
  <c r="K7" i="60"/>
  <c r="I7" i="60"/>
  <c r="K15" i="60"/>
  <c r="I15" i="60"/>
  <c r="K23" i="60"/>
  <c r="I23" i="60"/>
  <c r="K31" i="60"/>
  <c r="I31" i="60"/>
  <c r="K22" i="61"/>
  <c r="K30" i="61"/>
  <c r="I8" i="62"/>
  <c r="K22" i="62"/>
  <c r="I5" i="63"/>
  <c r="K5" i="63"/>
  <c r="J3" i="63"/>
  <c r="I6" i="63"/>
  <c r="K6" i="63"/>
  <c r="K14" i="64"/>
  <c r="I14" i="64"/>
  <c r="K18" i="65"/>
  <c r="I18" i="65"/>
  <c r="K19" i="65"/>
  <c r="I19" i="65"/>
  <c r="K9" i="61"/>
  <c r="I9" i="61"/>
  <c r="K9" i="62"/>
  <c r="I9" i="62"/>
  <c r="K10" i="63"/>
  <c r="I10" i="63"/>
  <c r="I21" i="65"/>
  <c r="K21" i="65"/>
  <c r="I22" i="66"/>
  <c r="K22" i="66"/>
  <c r="K12" i="59"/>
  <c r="I12" i="59"/>
  <c r="K14" i="59"/>
  <c r="Q23" i="59"/>
  <c r="K31" i="59"/>
  <c r="I31" i="59"/>
  <c r="Q7" i="61"/>
  <c r="K10" i="61"/>
  <c r="I10" i="61"/>
  <c r="Q15" i="61"/>
  <c r="K17" i="61"/>
  <c r="I17" i="61"/>
  <c r="I24" i="61"/>
  <c r="K25" i="61"/>
  <c r="I25" i="61"/>
  <c r="I32" i="61"/>
  <c r="AD3" i="62"/>
  <c r="J4" i="62"/>
  <c r="K10" i="62"/>
  <c r="I10" i="62"/>
  <c r="Q15" i="62"/>
  <c r="K17" i="62"/>
  <c r="I17" i="62"/>
  <c r="I24" i="62"/>
  <c r="I29" i="62"/>
  <c r="I30" i="62"/>
  <c r="K30" i="62"/>
  <c r="K12" i="63"/>
  <c r="I12" i="63"/>
  <c r="I20" i="63"/>
  <c r="I5" i="64"/>
  <c r="K5" i="64"/>
  <c r="Q32" i="62"/>
  <c r="I18" i="63"/>
  <c r="K28" i="63"/>
  <c r="I28" i="63"/>
  <c r="K9" i="64"/>
  <c r="I9" i="64"/>
  <c r="K12" i="65"/>
  <c r="I12" i="65"/>
  <c r="K22" i="65"/>
  <c r="I22" i="65"/>
  <c r="K31" i="65"/>
  <c r="I31" i="65"/>
  <c r="X3" i="66"/>
  <c r="K18" i="66"/>
  <c r="I18" i="66"/>
  <c r="K28" i="66"/>
  <c r="I28" i="66"/>
  <c r="AD3" i="65"/>
  <c r="J4" i="65"/>
  <c r="K14" i="65"/>
  <c r="I14" i="65"/>
  <c r="K23" i="65"/>
  <c r="I23" i="65"/>
  <c r="I29" i="65"/>
  <c r="K29" i="65"/>
  <c r="K20" i="66"/>
  <c r="I20" i="66"/>
  <c r="K29" i="66"/>
  <c r="I29" i="66"/>
  <c r="K21" i="63"/>
  <c r="K22" i="63"/>
  <c r="I22" i="63"/>
  <c r="K30" i="63"/>
  <c r="I30" i="63"/>
  <c r="K6" i="64"/>
  <c r="I6" i="64"/>
  <c r="K11" i="64"/>
  <c r="I11" i="64"/>
  <c r="K24" i="64"/>
  <c r="K25" i="64"/>
  <c r="I25" i="64"/>
  <c r="K6" i="65"/>
  <c r="I6" i="65"/>
  <c r="K15" i="65"/>
  <c r="I15" i="65"/>
  <c r="K21" i="66"/>
  <c r="I21" i="66"/>
  <c r="I27" i="66"/>
  <c r="K12" i="64"/>
  <c r="I12" i="64"/>
  <c r="K16" i="64"/>
  <c r="K17" i="64"/>
  <c r="I17" i="64"/>
  <c r="K27" i="64"/>
  <c r="I27" i="64"/>
  <c r="K7" i="65"/>
  <c r="I7" i="65"/>
  <c r="AD3" i="66"/>
  <c r="J13" i="66"/>
  <c r="I19" i="66"/>
  <c r="K23" i="66"/>
  <c r="I23" i="66"/>
  <c r="K31" i="66"/>
  <c r="I31" i="66"/>
  <c r="I4" i="63"/>
  <c r="Q16" i="63"/>
  <c r="X3" i="64"/>
  <c r="K19" i="64"/>
  <c r="I19" i="64"/>
  <c r="K28" i="64"/>
  <c r="I28" i="64"/>
  <c r="K24" i="65"/>
  <c r="K25" i="65"/>
  <c r="I25" i="65"/>
  <c r="K15" i="66"/>
  <c r="I15" i="66"/>
  <c r="K24" i="66"/>
  <c r="I24" i="66"/>
  <c r="K27" i="63"/>
  <c r="I27" i="63"/>
  <c r="I7" i="64"/>
  <c r="K20" i="64"/>
  <c r="I20" i="64"/>
  <c r="I26" i="64"/>
  <c r="K30" i="64"/>
  <c r="I30" i="64"/>
  <c r="K16" i="65"/>
  <c r="K17" i="65"/>
  <c r="I17" i="65"/>
  <c r="K27" i="65"/>
  <c r="I27" i="65"/>
  <c r="K16" i="66"/>
  <c r="I16" i="66"/>
  <c r="AD3" i="63"/>
  <c r="I11" i="63"/>
  <c r="K32" i="63"/>
  <c r="AD3" i="64"/>
  <c r="J4" i="64"/>
  <c r="K23" i="64"/>
  <c r="I23" i="64"/>
  <c r="I29" i="64"/>
  <c r="K29" i="64"/>
  <c r="K11" i="65"/>
  <c r="I11" i="65"/>
  <c r="K20" i="65"/>
  <c r="I20" i="65"/>
  <c r="K30" i="65"/>
  <c r="I30" i="65"/>
  <c r="K26" i="66"/>
  <c r="I26" i="66"/>
  <c r="K32" i="66"/>
  <c r="I32" i="66"/>
  <c r="K3" i="33" l="1"/>
  <c r="I3" i="33"/>
  <c r="J3" i="62"/>
  <c r="K4" i="62"/>
  <c r="I4" i="62"/>
  <c r="I4" i="57"/>
  <c r="J3" i="57"/>
  <c r="K4" i="57"/>
  <c r="J3" i="61"/>
  <c r="K4" i="61"/>
  <c r="I4" i="61"/>
  <c r="K5" i="53"/>
  <c r="I5" i="53"/>
  <c r="K3" i="52"/>
  <c r="I3" i="52"/>
  <c r="I3" i="48"/>
  <c r="K3" i="48"/>
  <c r="I3" i="44"/>
  <c r="K3" i="44"/>
  <c r="J3" i="34"/>
  <c r="K4" i="34"/>
  <c r="I4" i="34"/>
  <c r="J3" i="29"/>
  <c r="K4" i="29"/>
  <c r="I4" i="29"/>
  <c r="I3" i="17"/>
  <c r="K3" i="17"/>
  <c r="I3" i="23"/>
  <c r="K3" i="23"/>
  <c r="J3" i="66"/>
  <c r="K13" i="66"/>
  <c r="I13" i="66"/>
  <c r="J3" i="64"/>
  <c r="K4" i="64"/>
  <c r="I4" i="64"/>
  <c r="J3" i="38"/>
  <c r="I4" i="38"/>
  <c r="K4" i="38"/>
  <c r="J3" i="20"/>
  <c r="K4" i="20"/>
  <c r="I4" i="20"/>
  <c r="J3" i="8"/>
  <c r="K4" i="8"/>
  <c r="I4" i="8"/>
  <c r="K4" i="4"/>
  <c r="J3" i="4"/>
  <c r="I4" i="4"/>
  <c r="J3" i="11"/>
  <c r="K32" i="11"/>
  <c r="I32" i="11"/>
  <c r="J3" i="3"/>
  <c r="K4" i="3"/>
  <c r="I4" i="3"/>
  <c r="J3" i="60"/>
  <c r="K4" i="60"/>
  <c r="I4" i="60"/>
  <c r="J3" i="35"/>
  <c r="K5" i="35"/>
  <c r="I5" i="35"/>
  <c r="J3" i="40"/>
  <c r="I4" i="40"/>
  <c r="K4" i="40"/>
  <c r="K3" i="26"/>
  <c r="I3" i="26"/>
  <c r="I12" i="37"/>
  <c r="J3" i="37"/>
  <c r="K12" i="37"/>
  <c r="J3" i="7"/>
  <c r="K4" i="7"/>
  <c r="I4" i="7"/>
  <c r="J3" i="6"/>
  <c r="K4" i="6"/>
  <c r="I4" i="6"/>
  <c r="J3" i="2"/>
  <c r="K31" i="2"/>
  <c r="I31" i="2"/>
  <c r="K5" i="59"/>
  <c r="I5" i="59"/>
  <c r="J3" i="59"/>
  <c r="K5" i="54"/>
  <c r="I5" i="54"/>
  <c r="J3" i="53"/>
  <c r="J3" i="51"/>
  <c r="K4" i="51"/>
  <c r="I4" i="51"/>
  <c r="J3" i="32"/>
  <c r="K4" i="32"/>
  <c r="I4" i="32"/>
  <c r="J3" i="9"/>
  <c r="K4" i="9"/>
  <c r="I4" i="9"/>
  <c r="K3" i="39"/>
  <c r="I3" i="39"/>
  <c r="I3" i="63"/>
  <c r="K3" i="63"/>
  <c r="I4" i="56"/>
  <c r="J3" i="56"/>
  <c r="K4" i="56"/>
  <c r="J3" i="50"/>
  <c r="K4" i="50"/>
  <c r="I4" i="50"/>
  <c r="K5" i="47"/>
  <c r="I5" i="47"/>
  <c r="J3" i="47"/>
  <c r="K5" i="55"/>
  <c r="I5" i="55"/>
  <c r="J3" i="25"/>
  <c r="K4" i="25"/>
  <c r="I4" i="25"/>
  <c r="K5" i="41"/>
  <c r="J3" i="41"/>
  <c r="I5" i="41"/>
  <c r="K9" i="15"/>
  <c r="J3" i="15"/>
  <c r="I9" i="15"/>
  <c r="J3" i="28"/>
  <c r="K4" i="28"/>
  <c r="I4" i="28"/>
  <c r="J3" i="24"/>
  <c r="K32" i="24"/>
  <c r="I32" i="24"/>
  <c r="I4" i="58"/>
  <c r="J3" i="58"/>
  <c r="K4" i="58"/>
  <c r="J3" i="54"/>
  <c r="J3" i="49"/>
  <c r="K4" i="49"/>
  <c r="I4" i="49"/>
  <c r="I29" i="48"/>
  <c r="K29" i="48"/>
  <c r="K3" i="46"/>
  <c r="I3" i="46"/>
  <c r="K3" i="36"/>
  <c r="I3" i="36"/>
  <c r="K29" i="30"/>
  <c r="J3" i="30"/>
  <c r="I29" i="30"/>
  <c r="J3" i="22"/>
  <c r="K32" i="22"/>
  <c r="I32" i="22"/>
  <c r="I5" i="26"/>
  <c r="K5" i="26"/>
  <c r="J3" i="13"/>
  <c r="K32" i="13"/>
  <c r="I32" i="13"/>
  <c r="K3" i="1"/>
  <c r="I3" i="1"/>
  <c r="K3" i="42"/>
  <c r="I3" i="42"/>
  <c r="I3" i="18"/>
  <c r="K3" i="18"/>
  <c r="J3" i="65"/>
  <c r="K4" i="65"/>
  <c r="I4" i="65"/>
  <c r="K3" i="55"/>
  <c r="I3" i="55"/>
  <c r="K3" i="45"/>
  <c r="I3" i="45"/>
  <c r="I9" i="45"/>
  <c r="K9" i="45"/>
  <c r="K3" i="31"/>
  <c r="I3" i="31"/>
  <c r="I3" i="27"/>
  <c r="K3" i="27"/>
  <c r="K3" i="16"/>
  <c r="I3" i="16"/>
  <c r="J3" i="21"/>
  <c r="K4" i="21"/>
  <c r="I4" i="21"/>
  <c r="K32" i="14"/>
  <c r="I32" i="14"/>
  <c r="J3" i="14"/>
  <c r="J3" i="10"/>
  <c r="K4" i="10"/>
  <c r="I4" i="10"/>
  <c r="I3" i="19"/>
  <c r="K3" i="19"/>
  <c r="K3" i="12"/>
  <c r="I3" i="12"/>
  <c r="J3" i="5"/>
  <c r="K4" i="5"/>
  <c r="I4" i="5"/>
  <c r="I3" i="47" l="1"/>
  <c r="K3" i="47"/>
  <c r="K3" i="24"/>
  <c r="I3" i="24"/>
  <c r="K3" i="6"/>
  <c r="I3" i="6"/>
  <c r="K3" i="20"/>
  <c r="I3" i="20"/>
  <c r="K3" i="29"/>
  <c r="I3" i="29"/>
  <c r="K3" i="57"/>
  <c r="I3" i="57"/>
  <c r="K3" i="49"/>
  <c r="I3" i="49"/>
  <c r="K3" i="32"/>
  <c r="I3" i="32"/>
  <c r="I3" i="60"/>
  <c r="K3" i="60"/>
  <c r="I3" i="4"/>
  <c r="K3" i="4"/>
  <c r="K3" i="66"/>
  <c r="I3" i="66"/>
  <c r="I3" i="14"/>
  <c r="K3" i="14"/>
  <c r="K3" i="28"/>
  <c r="I3" i="28"/>
  <c r="K3" i="7"/>
  <c r="I3" i="7"/>
  <c r="K3" i="40"/>
  <c r="I3" i="40"/>
  <c r="K3" i="38"/>
  <c r="I3" i="38"/>
  <c r="I3" i="34"/>
  <c r="K3" i="34"/>
  <c r="K3" i="65"/>
  <c r="I3" i="65"/>
  <c r="K3" i="11"/>
  <c r="I3" i="11"/>
  <c r="K3" i="21"/>
  <c r="I3" i="21"/>
  <c r="K3" i="41"/>
  <c r="I3" i="41"/>
  <c r="K3" i="10"/>
  <c r="I3" i="10"/>
  <c r="K3" i="5"/>
  <c r="I3" i="5"/>
  <c r="K3" i="58"/>
  <c r="I3" i="58"/>
  <c r="I3" i="25"/>
  <c r="K3" i="25"/>
  <c r="K3" i="50"/>
  <c r="I3" i="50"/>
  <c r="K3" i="51"/>
  <c r="I3" i="51"/>
  <c r="K3" i="3"/>
  <c r="I3" i="3"/>
  <c r="I3" i="62"/>
  <c r="K3" i="62"/>
  <c r="I3" i="30"/>
  <c r="K3" i="30"/>
  <c r="K3" i="13"/>
  <c r="I3" i="13"/>
  <c r="K3" i="59"/>
  <c r="I3" i="59"/>
  <c r="K3" i="54"/>
  <c r="I3" i="54"/>
  <c r="K3" i="22"/>
  <c r="I3" i="22"/>
  <c r="K3" i="15"/>
  <c r="I3" i="15"/>
  <c r="K3" i="53"/>
  <c r="I3" i="53"/>
  <c r="K3" i="2"/>
  <c r="I3" i="2"/>
  <c r="K3" i="37"/>
  <c r="I3" i="37"/>
  <c r="K3" i="8"/>
  <c r="I3" i="8"/>
  <c r="K3" i="56"/>
  <c r="I3" i="56"/>
  <c r="K3" i="9"/>
  <c r="I3" i="9"/>
  <c r="I3" i="35"/>
  <c r="K3" i="35"/>
  <c r="K3" i="64"/>
  <c r="I3" i="64"/>
  <c r="I3" i="61"/>
  <c r="K3" i="6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1"/>
            <color rgb="FF000000"/>
            <rFont val="Calibri"/>
          </rPr>
          <t>sold 70 units according to sellics during week of 4/20-4/27
	-Pam Galeone
----
sold 96 units according to sellics during 4/20 to 4/27
	-Pam Galeone
----
sold 70 units according to sellics during week of 4/20-4/27
	-Pam Galeone
----
sold 96 units according to sellics during 4/20 to 4/27
	-Pam Galeone
----
sold 70 units according to sellics during week of 4/20-4/27
	-Pam Galeone
----
sold 96 units according to sellics during 4/20 to 4/27
	-Pam Galeone
----
none incoming; probably want to inventory stretch
	-Pam Galeone
----
Low DOH.  Pause PPC?
	-Bryan Mercer
----
Try to get to 20% margin
	-Bryan Mercer
----
I would cut ppc and raise price to slow.  More will arrive late June but that needs to last through mid Aug
	-Bryan Mercer
----
lets try to increase margin
	-Bryan Mercer
----
now that these are selling, maybe try to move to profitability
	-Bryan Mercer
----
have -CP sku
	-Pam Galeone
----
have -CP sku
	-Pam Galeone
----
on separate listing
	-Pam Galeone
----
on separate listing
	-Pam Galeone
----
on separate listing
	-Pam Galeone
----
on separate listing
	-Pam Galeone
----
on separate listing
	-Pam Galeone
----
on separate listing
	-Pam Galeone
----
If we don't have more in production, we need to increase price.
	-Bryan Mercer
----
none incoming; probably want to inventory stretch
	-Pam Galeone
----
Low DOH.  Pause PPC?
	-Bryan Mercer
----
Try to get to 20% margin
	-Bryan Mercer
----
I would cut ppc and raise price to slow.  More will arrive late June but that needs to last through mid Aug
	-Bryan Mercer
----
lets try to increase margin
	-Bryan Mercer
----
now that these are selling, maybe try to move to profitability
	-Bryan Mercer
----
have -CP sku
	-Pam Galeone
----
have -CP sku
	-Pam Galeone
----
on separate listing
	-Pam Galeone
----
on separate listing
	-Pam Galeone
----
on separate listing
	-Pam Galeone
----
on separate listing
	-Pam Galeone
----
on separate listing
	-Pam Galeone
----
on separate listing
	-Pam Galeone
----
If we don't have more in production, we need to increase price.
	-Bryan Mercer</t>
        </r>
      </text>
    </comment>
    <comment ref="C3" authorId="0" shapeId="0" xr:uid="{00000000-0006-0000-0000-000002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1"/>
            <color rgb="FF000000"/>
            <rFont val="Calibri"/>
          </rPr>
          <t>sold 70 units according to sellics during week of 4/20-4/27
	-Pam Galeone
----
sold 96 units according to sellics during 4/20 to 4/27
	-Pam Galeone
----
sold 70 units according to sellics during week of 4/20-4/27
	-Pam Galeone
----
sold 96 units according to sellics during 4/20 to 4/27
	-Pam Galeone
----
sold 70 units according to sellics during week of 4/20-4/27
	-Pam Galeone
----
sold 96 units according to sellics during 4/20 to 4/27
	-Pam Galeone</t>
        </r>
      </text>
    </comment>
    <comment ref="C3" authorId="0" shapeId="0" xr:uid="{00000000-0006-0000-0100-000002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200-000001000000}">
      <text>
        <r>
          <rPr>
            <sz val="11"/>
            <color rgb="FF000000"/>
            <rFont val="Calibri"/>
          </rPr>
          <t>sold 70 units according to sellics during week of 4/20-4/27
	-Pam Galeone
----
sold 96 units according to sellics during 4/20 to 4/27
	-Pam Galeone
----
sold 70 units according to sellics during week of 4/20-4/27
	-Pam Galeone
----
sold 96 units according to sellics during 4/20 to 4/27
	-Pam Galeone
----
sold 70 units according to sellics during week of 4/20-4/27
	-Pam Galeone
----
sold 96 units according to sellics during 4/20 to 4/27
	-Pam Galeone</t>
        </r>
      </text>
    </comment>
    <comment ref="C3" authorId="0" shapeId="0" xr:uid="{00000000-0006-0000-0200-000002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sharedStrings.xml><?xml version="1.0" encoding="utf-8"?>
<sst xmlns="http://schemas.openxmlformats.org/spreadsheetml/2006/main" count="7391" uniqueCount="962">
  <si>
    <t>Price</t>
  </si>
  <si>
    <t>AMZ
Sales</t>
  </si>
  <si>
    <t>Non-AMZ 
Sales</t>
  </si>
  <si>
    <t>Revenue</t>
  </si>
  <si>
    <t>PPC Spend</t>
  </si>
  <si>
    <t>% 
Ad Spend</t>
  </si>
  <si>
    <t>Margin
(Incl. Storage)</t>
  </si>
  <si>
    <t>Net Profit 
(Incl. Storage)</t>
  </si>
  <si>
    <t>Profit / 
Piece</t>
  </si>
  <si>
    <t>Sessions</t>
  </si>
  <si>
    <t>Conversion
Rate</t>
  </si>
  <si>
    <t>QTY</t>
  </si>
  <si>
    <t>AMZ
7D Velocity</t>
  </si>
  <si>
    <t>Non-AMZ
7D Velocity</t>
  </si>
  <si>
    <t>DOH</t>
  </si>
  <si>
    <t>DOH of Comp Inv</t>
  </si>
  <si>
    <t>Sell
Through</t>
  </si>
  <si>
    <t>In 
Transit</t>
  </si>
  <si>
    <t>Arrival Date</t>
  </si>
  <si>
    <t xml:space="preserve">PPC
Sales </t>
  </si>
  <si>
    <t>% PPC Sales</t>
  </si>
  <si>
    <t>Cost per PPC Sale</t>
  </si>
  <si>
    <t>PPC Sales 
(Other SKUs)</t>
  </si>
  <si>
    <t>Size Tier</t>
  </si>
  <si>
    <t>Storage Per 
Cubic Ft.</t>
  </si>
  <si>
    <t xml:space="preserve">Volume </t>
  </si>
  <si>
    <t>Storage
Cost</t>
  </si>
  <si>
    <t>FBA 
Fee</t>
  </si>
  <si>
    <t>Blended 
Landed Cost</t>
  </si>
  <si>
    <t>Coupons</t>
  </si>
  <si>
    <t>PL-PP-CHC-BBALL-CP</t>
  </si>
  <si>
    <t>Totals</t>
  </si>
  <si>
    <t>12/28 to 1/3</t>
  </si>
  <si>
    <t>1/4 to 1/10</t>
  </si>
  <si>
    <t>1/11 to 1/17</t>
  </si>
  <si>
    <t>1/18 to 1/24</t>
  </si>
  <si>
    <t>1/25 to 1/31</t>
  </si>
  <si>
    <t>2/1 to 2/7</t>
  </si>
  <si>
    <t>2/8 to 2/14</t>
  </si>
  <si>
    <t>2/15 to 2/21</t>
  </si>
  <si>
    <t>2/22 to 2/28</t>
  </si>
  <si>
    <t>3/1 to 3/7</t>
  </si>
  <si>
    <t>3/8 to 3/14</t>
  </si>
  <si>
    <t>3/15 to 3/21</t>
  </si>
  <si>
    <t>3/22 to 3/28</t>
  </si>
  <si>
    <t>3/29 to 4/4</t>
  </si>
  <si>
    <t>4/5 to 4/11</t>
  </si>
  <si>
    <t>4/12 to 4/18</t>
  </si>
  <si>
    <t>4/19 to 4/25</t>
  </si>
  <si>
    <t>4/26 to 5/2</t>
  </si>
  <si>
    <t>5/3 to 5/9</t>
  </si>
  <si>
    <t>5/10 to 5/16</t>
  </si>
  <si>
    <t>5/17 to 5/23</t>
  </si>
  <si>
    <t>5/24 to 5/30</t>
  </si>
  <si>
    <t>5/31 to 6/6</t>
  </si>
  <si>
    <t>7/5 to 7/11</t>
  </si>
  <si>
    <t/>
  </si>
  <si>
    <t>**No Inventory In The Works**</t>
  </si>
  <si>
    <t>UsLargeStandardSize</t>
  </si>
  <si>
    <t>7/12 to 7/18</t>
  </si>
  <si>
    <t>PL-PP-CHC-BRIDE-CP</t>
  </si>
  <si>
    <t>PL-PP-CHC-13STAR</t>
  </si>
  <si>
    <t>Closed</t>
  </si>
  <si>
    <t xml:space="preserve">:  -  :  -  :  -  :  -  :  -  :  -  :  -  :  -  :  -  :  - :  -  :  -  :  -  :  -  :  -  :  -  :  -  :  -  :  - </t>
  </si>
  <si>
    <t xml:space="preserve"> | #332: 40 - 03/14/21</t>
  </si>
  <si>
    <t xml:space="preserve"> | #375: 560 - TBD</t>
  </si>
  <si>
    <t xml:space="preserve"> | #375: 560 - 05/19/21</t>
  </si>
  <si>
    <t xml:space="preserve"> | #375: 560 - 05/26/21</t>
  </si>
  <si>
    <t xml:space="preserve"> | #375: 560 - 06/01/21</t>
  </si>
  <si>
    <t xml:space="preserve"> | #375: 560 - 06/06/21</t>
  </si>
  <si>
    <t xml:space="preserve"> | #375: 560 - 06/13/21</t>
  </si>
  <si>
    <t xml:space="preserve"> | #375: 560 - 06/15/21</t>
  </si>
  <si>
    <t xml:space="preserve"> | #375: 560 - 06/25/21</t>
  </si>
  <si>
    <t xml:space="preserve"> | #375: 560 - 06/27/21</t>
  </si>
  <si>
    <t>6/7 to 6/13</t>
  </si>
  <si>
    <t>6/14 to 6/20</t>
  </si>
  <si>
    <t xml:space="preserve"> | #375: 560 - 07/07/21</t>
  </si>
  <si>
    <t>6/21 to 6/27</t>
  </si>
  <si>
    <t>6/28 to 7/4</t>
  </si>
  <si>
    <t>No Transit, But 548 At Factory 50-75 days from Earliest Arrival</t>
  </si>
  <si>
    <t>PL-PP-CHC-BGGY</t>
  </si>
  <si>
    <t>#322;SW: 100 - 02/26/21</t>
  </si>
  <si>
    <t xml:space="preserve">:  -  :  -  :  -  :  -  :  -  :  -  :  -  :  -  #322;SW: 100 - 02/26/21 :  - :  -  :  -  :  -  :  -  :  -  :  -  :  -  :  -  :  - </t>
  </si>
  <si>
    <t xml:space="preserve">:  -  :  -  :  -  :  -  :  -  :  -  :  -  :  -  #322;SW: 100 - 04/01/21 :  - :  -  :  -  :  -  :  -  :  -  :  -  :  -  :  -  :  - </t>
  </si>
  <si>
    <t>100 inbound and 2 in reserve relist</t>
  </si>
  <si>
    <t xml:space="preserve"> | #376: 48 - TBD | #322: 100 - 04/05/21</t>
  </si>
  <si>
    <t xml:space="preserve"> | #322: 100 - 04/22/21</t>
  </si>
  <si>
    <t xml:space="preserve"> | #322: 100 - 04/21/21</t>
  </si>
  <si>
    <t xml:space="preserve"> | #322: 100 - 04/18/21</t>
  </si>
  <si>
    <t xml:space="preserve"> | #322: 100 - 05/01/21</t>
  </si>
  <si>
    <t xml:space="preserve"> | #322: 100 - 05/23/21</t>
  </si>
  <si>
    <t xml:space="preserve"> | #322: 100 - 06/05/21</t>
  </si>
  <si>
    <t xml:space="preserve"> | #322: 100 - 06/03/21</t>
  </si>
  <si>
    <t>set up ppeak, turn on ppc $10, min $20.99, target 5</t>
  </si>
  <si>
    <t xml:space="preserve"> | #376-1: 800 - 07/09/21</t>
  </si>
  <si>
    <t>suppressed bc main image</t>
  </si>
  <si>
    <t>maintain</t>
  </si>
  <si>
    <t xml:space="preserve"> | #376-1: 800 - 07/10/21</t>
  </si>
  <si>
    <t>set up ppeak and target</t>
  </si>
  <si>
    <t>No Transit, But 380 At Factory 50-75 days from Earliest Arrival</t>
  </si>
  <si>
    <t>PL-PP-CHC-BGNB</t>
  </si>
  <si>
    <t xml:space="preserve"> | #322: 100 - 04/05/21</t>
  </si>
  <si>
    <t>set up ppeak</t>
  </si>
  <si>
    <t>No Transit, But 256 At Factory 50-75 days from Earliest Arrival</t>
  </si>
  <si>
    <t>PL-PP-CHC-BGYE</t>
  </si>
  <si>
    <t xml:space="preserve"> | #375: 60 - TBD</t>
  </si>
  <si>
    <t xml:space="preserve"> | #375: 60 - 06/27/21</t>
  </si>
  <si>
    <t xml:space="preserve"> | #375: 60 - 07/07/21</t>
  </si>
  <si>
    <t>No Transit, But 80 At Factory 50-75 days from Earliest Arrival</t>
  </si>
  <si>
    <t>PL-PP-CHC-BLBK</t>
  </si>
  <si>
    <t>#322;SW: 140 - 02/26/21</t>
  </si>
  <si>
    <t xml:space="preserve">:  -  :  -  :  -  :  -  :  -  :  -  :  -  :  -  #322;SW: 140 - 02/26/21 :  - :  -  :  -  :  -  :  -  :  -  :  -  :  -  :  -  :  - </t>
  </si>
  <si>
    <t xml:space="preserve">:  -  :  -  :  -  :  -  :  -  :  -  :  -  :  -  #322;SW: 140 - 04/01/21 :  - :  -  :  -  :  -  :  -  :  -  :  -  :  -  :  -  :  - </t>
  </si>
  <si>
    <t xml:space="preserve"> | #322: 140 - 04/05/21</t>
  </si>
  <si>
    <t xml:space="preserve"> | #322: 140 - 04/22/21</t>
  </si>
  <si>
    <t xml:space="preserve"> | #322: 140 - 04/21/21</t>
  </si>
  <si>
    <t xml:space="preserve"> | #322: 140 - 04/18/21</t>
  </si>
  <si>
    <t xml:space="preserve"> | #322: 140 - 05/01/21</t>
  </si>
  <si>
    <t xml:space="preserve"> | #322: 140 - 05/23/21</t>
  </si>
  <si>
    <t xml:space="preserve"> | #322: 140 - 06/05/21</t>
  </si>
  <si>
    <t xml:space="preserve"> | #322: 140 - 06/03/21</t>
  </si>
  <si>
    <t>ppeak is not working, add it to parent</t>
  </si>
  <si>
    <t>turn on ppc</t>
  </si>
  <si>
    <t>ppc carrier, $21.49</t>
  </si>
  <si>
    <t>No Transit, But 180 At Factory 50-75 days from Earliest Arrival</t>
  </si>
  <si>
    <t>PL-PP-CHC-BLBK-A</t>
  </si>
  <si>
    <t>PPEAK $16.99 to $26.99 to speed up the velocity</t>
  </si>
  <si>
    <t>Maintain</t>
  </si>
  <si>
    <t>Raised PPEAK min to $21.99; not really an inventory issue since we got them last Oct</t>
  </si>
  <si>
    <t xml:space="preserve"> | #375: 188 - TBD</t>
  </si>
  <si>
    <t>selling out</t>
  </si>
  <si>
    <t xml:space="preserve"> | #375: 188 - 06/27/21</t>
  </si>
  <si>
    <t xml:space="preserve"> | #375: 188 - 07/07/21</t>
  </si>
  <si>
    <t>No Transit, But 30 At Factory 50-75 days from Earliest Arrival</t>
  </si>
  <si>
    <t>PL-PP-CHC-BLGY</t>
  </si>
  <si>
    <t>PPEAK $25.99 to $35.99</t>
  </si>
  <si>
    <t>Raised PPEAK min by $2 to $27.99</t>
  </si>
  <si>
    <t>sold out, close</t>
  </si>
  <si>
    <t xml:space="preserve"> | #375: 280 - TBD</t>
  </si>
  <si>
    <t xml:space="preserve"> | #375: 280 - 05/19/21</t>
  </si>
  <si>
    <t xml:space="preserve"> | #375: 280 - 05/26/21</t>
  </si>
  <si>
    <t xml:space="preserve"> | #375: 280 - 06/01/21</t>
  </si>
  <si>
    <t xml:space="preserve"> | #375: 280 - 06/06/21</t>
  </si>
  <si>
    <t xml:space="preserve"> | #375: 280 - 06/13/21</t>
  </si>
  <si>
    <t xml:space="preserve"> | #375: 280 - 06/15/21</t>
  </si>
  <si>
    <t xml:space="preserve"> | #375: 280 - 06/25/21</t>
  </si>
  <si>
    <t xml:space="preserve"> | #375: 280 - 06/27/21</t>
  </si>
  <si>
    <t xml:space="preserve"> | #375: 280 - 07/07/21</t>
  </si>
  <si>
    <t>No Transit, But 220 At Factory 50-75 days from Earliest Arrival</t>
  </si>
  <si>
    <t>PL-PP-CHC-BLYE</t>
  </si>
  <si>
    <t>#322;SW: 200 - 02/26/21</t>
  </si>
  <si>
    <t xml:space="preserve">:  -  :  -  :  -  :  -  :  -  :  -  :  -  :  -  #322;SW: 200 - 02/26/21 :  - :  -  :  -  :  -  :  -  :  -  :  -  :  -  :  -  :  - </t>
  </si>
  <si>
    <t xml:space="preserve">:  -  :  -  :  -  :  -  :  -  :  -  :  -  :  -  #322;SW: 200 - 04/01/21 :  - :  -  :  -  :  -  :  -  :  -  :  -  :  -  :  -  :  - </t>
  </si>
  <si>
    <t xml:space="preserve"> | #322: 200 - 04/05/21</t>
  </si>
  <si>
    <t xml:space="preserve"> | #322: 200 - 04/22/21</t>
  </si>
  <si>
    <t xml:space="preserve"> | #322: 200 - 04/21/21</t>
  </si>
  <si>
    <t xml:space="preserve"> | #322: 200 - 04/18/21</t>
  </si>
  <si>
    <t xml:space="preserve"> | #322: 200 - 05/01/21</t>
  </si>
  <si>
    <t xml:space="preserve"> | #322: 180 - 05/23/21</t>
  </si>
  <si>
    <t xml:space="preserve"> | #322: 180 - 06/05/21</t>
  </si>
  <si>
    <t xml:space="preserve"> | #322: 180 - 06/03/21</t>
  </si>
  <si>
    <t>ppeak is not working, $20.99, turn on ppc $10</t>
  </si>
  <si>
    <t>min $18.99</t>
  </si>
  <si>
    <t>No Transit, But 296 At Factory 50-75 days from Earliest Arrival</t>
  </si>
  <si>
    <t>PL-PP-CHC-BLWH-CP</t>
  </si>
  <si>
    <t>PL-PP-CHC-FBALL-CP</t>
  </si>
  <si>
    <t>PL-PP-CHC-HGGY-CP</t>
  </si>
  <si>
    <t>PL-PP-CHC-HGWH-CP</t>
  </si>
  <si>
    <t>PL-PP-CHC-FLAG</t>
  </si>
  <si>
    <t>PPEAK $16.99 to $25.99</t>
  </si>
  <si>
    <t>#322;SW: 116 - 02/26/21</t>
  </si>
  <si>
    <t>Turned PPC off; got them last Oct</t>
  </si>
  <si>
    <t xml:space="preserve">:  -  :  -  :  -  :  -  :  -  :  -  :  -  :  -  #322;SW: 116 - 02/26/21 :  - :  -  :  -  :  -  :  -  :  -  :  -  :  -  :  -  :  - </t>
  </si>
  <si>
    <t>Raised PPEAK min by $1 to $17.99</t>
  </si>
  <si>
    <t xml:space="preserve">:  -  :  -  :  -  :  -  :  -  :  -  :  -  :  -  #322;SW: 116 - 04/01/21 :  - :  -  :  -  :  -  :  -  :  -  :  -  :  -  :  -  :  - </t>
  </si>
  <si>
    <t>Raised PPEAK min to $20.99</t>
  </si>
  <si>
    <t xml:space="preserve"> | #332: 80 - 03/14/21</t>
  </si>
  <si>
    <t xml:space="preserve"> | #376: 804 - TBD | #322: 116 - 04/05/21</t>
  </si>
  <si>
    <t xml:space="preserve"> | #376: 804 - 05/26/21 | #322: 116 - 04/22/21</t>
  </si>
  <si>
    <t>sold out</t>
  </si>
  <si>
    <t xml:space="preserve"> | #376: 804 - 05/19/21 | #322: 116 - 04/21/21</t>
  </si>
  <si>
    <t xml:space="preserve"> | #376: 804 - 05/19/21 | #322: 116 - 04/18/21</t>
  </si>
  <si>
    <t xml:space="preserve"> | #376: 804 - 05/19/21 | #322: 116 - 05/01/21</t>
  </si>
  <si>
    <t xml:space="preserve"> | #376: 804 - 06/01/21 | #322: 120 - 05/23/21</t>
  </si>
  <si>
    <t xml:space="preserve"> | #376: 804 - 06/06/21 | #322: 120 - 05/23/21</t>
  </si>
  <si>
    <t xml:space="preserve"> | #376: 804 - 06/15/21 | #322: 120 - 05/23/21</t>
  </si>
  <si>
    <t xml:space="preserve"> | #376: 804 - 06/15/21 | #322: 120 - 06/05/21</t>
  </si>
  <si>
    <t xml:space="preserve"> | #376: 804 - 06/25/21 | #322: 120 - 06/05/21</t>
  </si>
  <si>
    <t xml:space="preserve"> | #376: 804 - 06/25/21 | #322: 120 - 06/03/21</t>
  </si>
  <si>
    <t>set up ppc and ppeak</t>
  </si>
  <si>
    <t xml:space="preserve"> | #376-1: 48 - 07/09/21</t>
  </si>
  <si>
    <t>PPC Carrier, $23.49</t>
  </si>
  <si>
    <t>turn off ppc before restock</t>
  </si>
  <si>
    <t xml:space="preserve"> | #376-1: 48 - 07/10/21</t>
  </si>
  <si>
    <t>| 376-1  - 800 units 07/10</t>
  </si>
  <si>
    <t>PL-PP-CHC-GDBK</t>
  </si>
  <si>
    <t xml:space="preserve"> | #376: 48 - 05/26/21 | #322: 100 - 04/22/21</t>
  </si>
  <si>
    <t xml:space="preserve"> | #376: 48 - 05/19/21 | #322: 100 - 04/21/21</t>
  </si>
  <si>
    <t xml:space="preserve"> | #376: 48 - 05/19/21 | #322: 100 - 04/18/21</t>
  </si>
  <si>
    <t xml:space="preserve"> | #376: 48 - 05/19/21 | #322: 100 - 05/01/21</t>
  </si>
  <si>
    <t xml:space="preserve"> | #376: 48 - 06/01/21 | #322: 100 - 05/23/21</t>
  </si>
  <si>
    <t xml:space="preserve"> | #376: 48 - 06/06/21 | #322: 100 - 05/23/21</t>
  </si>
  <si>
    <t xml:space="preserve"> | #376: 48 - 06/15/21 | #322: 100 - 05/23/21</t>
  </si>
  <si>
    <t xml:space="preserve"> | #376: 48 - 06/15/21 | #322: 100 - 06/05/21</t>
  </si>
  <si>
    <t xml:space="preserve"> | #376: 48 - 06/25/21 | #322: 100 - 06/05/21</t>
  </si>
  <si>
    <t xml:space="preserve"> | #376: 48 - 06/25/21 | #322: 100 - 06/03/21</t>
  </si>
  <si>
    <t>set up ppeak, turn on ppeak</t>
  </si>
  <si>
    <t>maintain for one week</t>
  </si>
  <si>
    <t>| 376-1  - 48 units 07/10</t>
  </si>
  <si>
    <t>PL-PP-CHC-GNBK</t>
  </si>
  <si>
    <t>ppeak is not working, price it $20.99</t>
  </si>
  <si>
    <t xml:space="preserve"> | #376-1: 100 - 07/09/21</t>
  </si>
  <si>
    <t>no shipment, $19.99</t>
  </si>
  <si>
    <t xml:space="preserve"> | #376-1: 100 - 07/10/21</t>
  </si>
  <si>
    <t>No Transit, But 152 At Factory 50-75 days from Earliest Arrival</t>
  </si>
  <si>
    <t>PL-PP-CHC-GNGY</t>
  </si>
  <si>
    <t xml:space="preserve"> | #376: 100 - TBD | #322: 100 - 04/05/21</t>
  </si>
  <si>
    <t>ppeak is not working, $18.99</t>
  </si>
  <si>
    <t xml:space="preserve"> | #376-1: 56 - 07/09/21</t>
  </si>
  <si>
    <t xml:space="preserve"> | #376-1: 56 - 07/10/21</t>
  </si>
  <si>
    <t>new ppc for it only now, and try sell them all</t>
  </si>
  <si>
    <t>No Transit, But 204 At Factory 50-75 days from Earliest Arrival</t>
  </si>
  <si>
    <t>PL-PP-CHC-HGYE-CP</t>
  </si>
  <si>
    <t>PL-PP-CHC-HGNB</t>
  </si>
  <si>
    <t>PL-PP-CHC-LBBK</t>
  </si>
  <si>
    <t xml:space="preserve"> | #376: 56 - TBD | #322: 100 - 04/05/21</t>
  </si>
  <si>
    <t xml:space="preserve"> | #322: 80 - 05/23/21</t>
  </si>
  <si>
    <t xml:space="preserve"> | #322: 80 - 06/05/21</t>
  </si>
  <si>
    <t xml:space="preserve"> | #322: 80 - 06/03/21</t>
  </si>
  <si>
    <t>ppeak is not working, $19.99</t>
  </si>
  <si>
    <t>no shipment, maintain</t>
  </si>
  <si>
    <t>No Transit, But 212 At Factory 50-75 days from Earliest Arrival</t>
  </si>
  <si>
    <t>PL-PP-CHC-LGNB-CP</t>
  </si>
  <si>
    <t>PL-PP-CHC-NBYE-CP</t>
  </si>
  <si>
    <t>PL-PP-CHC-NBGY-CP</t>
  </si>
  <si>
    <t>PL-PP-CHC-LBGY</t>
  </si>
  <si>
    <t>set up ppc</t>
  </si>
  <si>
    <t xml:space="preserve"> | #376-1: 280 - 07/09/21</t>
  </si>
  <si>
    <t>turn off ppc</t>
  </si>
  <si>
    <t xml:space="preserve"> | #376-1: 280 - 07/10/21</t>
  </si>
  <si>
    <t>No Transit, But 248 At Factory 50-75 days from Earliest Arrival</t>
  </si>
  <si>
    <t>PL-PP-CHC-ORBK</t>
  </si>
  <si>
    <t xml:space="preserve"> | #376: 280 - TBD | #322: 200 - 04/05/21</t>
  </si>
  <si>
    <t>ppeak is not working, set up auto ppc</t>
  </si>
  <si>
    <t>No Transit, But 262 At Factory 50-75 days from Earliest Arrival</t>
  </si>
  <si>
    <t>PL-PP-CHC-ORBL</t>
  </si>
  <si>
    <t xml:space="preserve"> | #376: 80 - TBD | #322: 200 - 04/05/21</t>
  </si>
  <si>
    <t>ppeak is not working, turn on ppc</t>
  </si>
  <si>
    <t xml:space="preserve"> | #376-2: 80 - 07/09/21</t>
  </si>
  <si>
    <t xml:space="preserve"> | #376-2: 80 - 07/10/21</t>
  </si>
  <si>
    <t>No Transit, But 308 At Factory 50-75 days from Earliest Arrival</t>
  </si>
  <si>
    <t>PL-PP-CHC-ORNB</t>
  </si>
  <si>
    <t>ppeak is not working</t>
  </si>
  <si>
    <t>price it $23.49</t>
  </si>
  <si>
    <t>ppc carrier</t>
  </si>
  <si>
    <t>No Transit, But 216 At Factory 50-75 days from Earliest Arrival</t>
  </si>
  <si>
    <t>PL-PP-CHC-PUBK</t>
  </si>
  <si>
    <t>Discontinued</t>
  </si>
  <si>
    <t>PL-PP-CHC-PUBK-A</t>
  </si>
  <si>
    <t>ask listing merge</t>
  </si>
  <si>
    <t xml:space="preserve"> | #376-2: 76 - 07/10/21</t>
  </si>
  <si>
    <t>maintain before list merged</t>
  </si>
  <si>
    <t>No Transit, But 140 At Factory 50-75 days from Earliest Arrival</t>
  </si>
  <si>
    <t>PL-PP-CHC-PUGY-CP</t>
  </si>
  <si>
    <t>PL-PP-CHC-PUYE</t>
  </si>
  <si>
    <t xml:space="preserve">:  -  :  -  :  -  :  -  :  -  :  -  :  -  :  -  : 120 -  :  - :  -  :  -  :  -  :  -  :  -  :  -  :  -  :  -  :  - </t>
  </si>
  <si>
    <t xml:space="preserve"> | #376: 140 - TBD | #322: 120 - 04/05/21</t>
  </si>
  <si>
    <t xml:space="preserve"> | #322: 120 - 04/22/21</t>
  </si>
  <si>
    <t xml:space="preserve"> | #322: 120 - 04/21/21</t>
  </si>
  <si>
    <t xml:space="preserve"> | #322: 120 - 04/18/21</t>
  </si>
  <si>
    <t xml:space="preserve"> | #322: 120 - 05/01/21</t>
  </si>
  <si>
    <t xml:space="preserve"> | #322: 120 - 05/23/21</t>
  </si>
  <si>
    <t xml:space="preserve"> | #322: 120 - 06/05/21</t>
  </si>
  <si>
    <t xml:space="preserve"> | #322: 120 - 06/03/21</t>
  </si>
  <si>
    <t xml:space="preserve"> | #376-2: 140 - 07/09/21</t>
  </si>
  <si>
    <t xml:space="preserve"> | #376-2: 140 - 07/10/21</t>
  </si>
  <si>
    <t>PL-PP-CHC-REBK</t>
  </si>
  <si>
    <t>Maintain; PPEAK $18.99 to $28.99</t>
  </si>
  <si>
    <t>#322;SW: 164 - 02/26/21</t>
  </si>
  <si>
    <t xml:space="preserve">:  -  :  -  :  -  :  -  :  -  :  -  :  -  :  -  #322;SW: 164 - 02/26/21 :  - :  -  :  -  :  -  :  -  :  -  :  -  :  -  :  -  :  - </t>
  </si>
  <si>
    <t xml:space="preserve">:  -  :  -  :  -  :  -  :  -  :  -  :  -  :  -  #322;SW: 164 - 04/01/21 :  - :  -  :  -  :  -  :  -  :  -  :  -  :  -  :  -  :  - </t>
  </si>
  <si>
    <t>Out (closed)</t>
  </si>
  <si>
    <t xml:space="preserve"> | #376: 436 - TBD | #322: 164 - 04/05/21</t>
  </si>
  <si>
    <t xml:space="preserve"> | #376: 436 - 05/26/21 | #322: 164 - 04/22/21</t>
  </si>
  <si>
    <t xml:space="preserve"> | #376: 436 - 05/19/21 | #322: 164 - 04/21/21</t>
  </si>
  <si>
    <t xml:space="preserve"> | #376: 436 - 05/19/21 | #322: 164 - 04/18/21</t>
  </si>
  <si>
    <t xml:space="preserve"> | #376: 436 - 05/19/21 | #322: 164 - 05/01/21</t>
  </si>
  <si>
    <t xml:space="preserve"> | #376: 436 - 06/01/21 | #322: 160 - 05/23/21</t>
  </si>
  <si>
    <t xml:space="preserve"> | #376: 436 - 06/06/21 | #322: 160 - 05/23/21</t>
  </si>
  <si>
    <t xml:space="preserve"> | #376: 436 - 06/15/21 | #322: 160 - 05/23/21</t>
  </si>
  <si>
    <t xml:space="preserve"> | #376: 436 - 06/15/21 | #322: 160 - 06/05/21</t>
  </si>
  <si>
    <t xml:space="preserve"> | #376: 436 - 06/25/21 | #322: 160 - 06/05/21</t>
  </si>
  <si>
    <t xml:space="preserve"> | #376: 436 - 06/25/21 | #322: 160 - 06/03/21</t>
  </si>
  <si>
    <t xml:space="preserve"> | #376-2: 436 - 07/09/21</t>
  </si>
  <si>
    <t>budget $15, adjust bid</t>
  </si>
  <si>
    <t xml:space="preserve"> | #376-2: 436 - 07/10/21</t>
  </si>
  <si>
    <t>turn on ppc increase budget</t>
  </si>
  <si>
    <t>cut ppc spend, $20.49</t>
  </si>
  <si>
    <t>| 376-2  - 436 units 07/10</t>
  </si>
  <si>
    <t>PL-PP-CHC-REBL</t>
  </si>
  <si>
    <t>PL-PP-CHC-REBL-A</t>
  </si>
  <si>
    <t>Price scheduled at $18.99</t>
  </si>
  <si>
    <t>#322;SW: 104 - 02/26/21</t>
  </si>
  <si>
    <t>PPEAK $15.99 to $24.99</t>
  </si>
  <si>
    <t xml:space="preserve">:  -  :  -  :  -  :  -  :  -  :  -  :  -  :  -  #322;SW: 104 - 02/26/21 :  - :  -  :  -  :  -  :  -  :  -  :  -  :  -  :  -  :  - </t>
  </si>
  <si>
    <t xml:space="preserve">:  -  :  -  :  -  :  -  :  -  :  -  :  -  :  -  #322;SW: 104 - 04/01/21 :  - :  -  :  -  :  -  :  -  :  -  :  -  :  -  :  -  :  - </t>
  </si>
  <si>
    <t xml:space="preserve"> | #375: 540 - TBD | #322: 104 - 04/05/21</t>
  </si>
  <si>
    <t xml:space="preserve"> | #375: 540 - 05/19/21 | #322: 104 - 04/22/21</t>
  </si>
  <si>
    <t>in excess, start ppc, min $17.99, optimized search term</t>
  </si>
  <si>
    <t xml:space="preserve"> | #375: 540 - 05/26/21 | #322: 104 - 04/21/21</t>
  </si>
  <si>
    <t>sale price $16.99, stop ppc</t>
  </si>
  <si>
    <t xml:space="preserve"> | #375: 540 - 05/26/21 | #322: 104 - 04/18/21</t>
  </si>
  <si>
    <t xml:space="preserve"> | #375: 540 - 05/26/21 | #322: 104 - 05/01/21</t>
  </si>
  <si>
    <t>sale price $17.99</t>
  </si>
  <si>
    <t xml:space="preserve"> | #375: 540 - 06/01/21 | #322: 220 - 05/23/21</t>
  </si>
  <si>
    <t xml:space="preserve"> | #375: 540 - 06/06/21 | #322: 220 - 05/23/21</t>
  </si>
  <si>
    <t xml:space="preserve"> | #375: 540 - 06/13/21 | #322: 220 - 05/23/21</t>
  </si>
  <si>
    <t xml:space="preserve"> | #375: 540 - 06/15/21 | #322: 220 - 06/05/21</t>
  </si>
  <si>
    <t xml:space="preserve"> | #375: 540 - 06/25/21 | #322: 220 - 06/05/21</t>
  </si>
  <si>
    <t xml:space="preserve"> | #375: 540 - 06/25/21 | #322: 220 - 06/03/21</t>
  </si>
  <si>
    <t>enable ppeak</t>
  </si>
  <si>
    <t xml:space="preserve"> | #375: 540 - 06/27/21</t>
  </si>
  <si>
    <t>turn on ppc, adjust bid, ppc carrier</t>
  </si>
  <si>
    <t xml:space="preserve"> | #375: 540 - 07/07/21</t>
  </si>
  <si>
    <t>adjust ppc, set up target in ppeak</t>
  </si>
  <si>
    <t>No Transit, But 792 At Factory 50-75 days from Earliest Arrival</t>
  </si>
  <si>
    <t>PL-PP-CHC-REGY</t>
  </si>
  <si>
    <t>PL-PP-CHC-REGY-A</t>
  </si>
  <si>
    <t>target 1</t>
  </si>
  <si>
    <t xml:space="preserve"> | #376: 48 - TBD | #322: 140 - 04/05/21</t>
  </si>
  <si>
    <t xml:space="preserve"> | #376: 48 - 05/26/21 | #322: 140 - 04/22/21</t>
  </si>
  <si>
    <t xml:space="preserve"> | #376: 48 - 05/19/21 | #322: 140 - 04/21/21</t>
  </si>
  <si>
    <t>a bulk order, min $16.99, $1 coupon for Sat</t>
  </si>
  <si>
    <t xml:space="preserve"> | #376: 48 - 05/19/21 | #322: 140 - 04/18/21</t>
  </si>
  <si>
    <t>min $17.99</t>
  </si>
  <si>
    <t xml:space="preserve"> | #376: 48 - 05/19/21 | #322: 140 - 05/01/21</t>
  </si>
  <si>
    <t xml:space="preserve"> | #376: 48 - 06/01/21 | #322: 140 - 05/23/21</t>
  </si>
  <si>
    <t xml:space="preserve"> | #376: 48 - 06/06/21 | #322: 140 - 05/23/21</t>
  </si>
  <si>
    <t xml:space="preserve"> | #376: 48 - 06/15/21 | #322: 140 - 05/23/21</t>
  </si>
  <si>
    <t xml:space="preserve"> | #376: 48 - 06/15/21 | #322: 140 - 06/05/21</t>
  </si>
  <si>
    <t xml:space="preserve"> | #376: 48 - 06/25/21 | #322: 140 - 06/05/21</t>
  </si>
  <si>
    <t xml:space="preserve"> | #376: 48 - 06/25/21 | #322: 140 - 06/03/21</t>
  </si>
  <si>
    <t>min $19.99, set up ppc</t>
  </si>
  <si>
    <t xml:space="preserve"> | #376-2: 48 - 07/09/21</t>
  </si>
  <si>
    <t xml:space="preserve">maintain </t>
  </si>
  <si>
    <t xml:space="preserve"> | #376-2: 48 - 07/10/21</t>
  </si>
  <si>
    <t>| 376-2  - 48 units 07/10</t>
  </si>
  <si>
    <t>PL-PP-CHC-RENB</t>
  </si>
  <si>
    <t xml:space="preserve"> | #376: 276 - TBD | #322: 200 - 04/05/21</t>
  </si>
  <si>
    <t xml:space="preserve"> | #376: 276 - 05/26/21 | #322: 200 - 04/22/21</t>
  </si>
  <si>
    <t xml:space="preserve"> | #376: 276 - 05/19/21 | #322: 200 - 04/21/21</t>
  </si>
  <si>
    <t xml:space="preserve"> | #376: 276 - 05/19/21 | #322: 200 - 04/18/21</t>
  </si>
  <si>
    <t xml:space="preserve"> | #376: 276 - 05/19/21 | #322: 200 - 05/01/21</t>
  </si>
  <si>
    <t xml:space="preserve"> | #376: 276 - 06/01/21 | #322: 180 - 05/23/21</t>
  </si>
  <si>
    <t xml:space="preserve"> | #376: 276 - 06/06/21 | #322: 180 - 05/23/21</t>
  </si>
  <si>
    <t xml:space="preserve"> | #376: 276 - 06/15/21 | #322: 180 - 05/23/21</t>
  </si>
  <si>
    <t xml:space="preserve"> | #376: 276 - 06/15/21 | #322: 180 - 06/05/21</t>
  </si>
  <si>
    <t xml:space="preserve"> | #376: 276 - 06/25/21 | #322: 180 - 06/05/21</t>
  </si>
  <si>
    <t xml:space="preserve"> | #376: 276 - 06/25/21 | #322: 180 - 06/03/21</t>
  </si>
  <si>
    <t>ppeak is not working, set up ppc</t>
  </si>
  <si>
    <t xml:space="preserve"> | #376-2: 276 - 07/09/21</t>
  </si>
  <si>
    <t xml:space="preserve"> | #376-2: 276 - 07/10/21</t>
  </si>
  <si>
    <t>| 376-2  - 176 units 07/10</t>
  </si>
  <si>
    <t>PL-PP-CHC-REYE</t>
  </si>
  <si>
    <t>ppeak is not working, $20.99</t>
  </si>
  <si>
    <t>PL-PP-CHC-SLBK</t>
  </si>
  <si>
    <t>PL-PP-CHC-SLBK-A</t>
  </si>
  <si>
    <t>PPEAK $14.99 to $25.99 to speed up the velocity</t>
  </si>
  <si>
    <t>min $16.99</t>
  </si>
  <si>
    <t xml:space="preserve"> | #376: 148 - TBD | #322: 140 - 04/05/21</t>
  </si>
  <si>
    <t>in excess, min $16.99, optimzed the title, search term, auto ppc $4</t>
  </si>
  <si>
    <t xml:space="preserve"> | #376: 148 - 05/26/21 | #322: 140 - 04/22/21</t>
  </si>
  <si>
    <t>not in excess now, turn off the ads</t>
  </si>
  <si>
    <t xml:space="preserve"> | #376: 148 - 05/19/21 | #322: 140 - 04/21/21</t>
  </si>
  <si>
    <t xml:space="preserve"> | #376: 148 - 05/19/21 | #322: 140 - 04/18/21</t>
  </si>
  <si>
    <t xml:space="preserve"> | #376: 148 - 05/19/21 | #322: 140 - 05/01/21</t>
  </si>
  <si>
    <t xml:space="preserve"> | #376: 148 - 06/01/21 | #322: 140 - 05/23/21</t>
  </si>
  <si>
    <t xml:space="preserve"> | #376: 148 - 06/06/21 | #322: 140 - 05/23/21</t>
  </si>
  <si>
    <t xml:space="preserve"> | #376: 148 - 06/15/21 | #322: 140 - 05/23/21</t>
  </si>
  <si>
    <t xml:space="preserve"> | #376: 148 - 06/15/21 | #322: 140 - 06/05/21</t>
  </si>
  <si>
    <t xml:space="preserve"> | #376: 148 - 06/25/21 | #322: 140 - 06/05/21</t>
  </si>
  <si>
    <t xml:space="preserve"> | #376: 148 - 06/25/21 | #322: 140 - 06/03/21</t>
  </si>
  <si>
    <t>min $19.99, turn on ppc</t>
  </si>
  <si>
    <t xml:space="preserve"> | #376-2: 148 - 07/09/21</t>
  </si>
  <si>
    <t xml:space="preserve"> | #376-2: 148 - 07/10/21</t>
  </si>
  <si>
    <t>Replacement</t>
  </si>
  <si>
    <t>set up target 3</t>
  </si>
  <si>
    <t>| 376-2  - 148 units 07/10</t>
  </si>
  <si>
    <t>PL-PP-CHC-STAR</t>
  </si>
  <si>
    <t>Not found in seller central</t>
  </si>
  <si>
    <t>PL-PP-CHC-TLOR-CP</t>
  </si>
  <si>
    <t>PL-PP-CHC-TLBK-CP</t>
  </si>
  <si>
    <t>PL-PP-CHC-STAR-A</t>
  </si>
  <si>
    <t>#322;SW: 216 - 02/26/21</t>
  </si>
  <si>
    <t xml:space="preserve">:  -  :  -  :  -  :  -  :  -  :  -  :  -  :  -  #322;SW: 216 - 02/26/21 :  - :  -  :  -  :  -  :  -  :  -  :  -  :  -  :  -  :  - </t>
  </si>
  <si>
    <t>Turned PPC off</t>
  </si>
  <si>
    <t xml:space="preserve">:  -  :  -  :  -  :  -  :  -  :  -  :  -  :  -  #322;SW: 216 - 04/01/21 :  - :  -  :  -  :  -  :  -  :  -  :  -  :  -  :  -  :  - </t>
  </si>
  <si>
    <t xml:space="preserve"> | #375: 1848 - TBD | #322: 216 - 04/05/21</t>
  </si>
  <si>
    <t xml:space="preserve"> | #375: 1848 - 05/19/21 | #322: 216 - 04/22/21</t>
  </si>
  <si>
    <t xml:space="preserve"> | #375: 1848 - 05/26/21 | #322: 216 - 04/21/21</t>
  </si>
  <si>
    <t xml:space="preserve"> | #375: 1848 - 05/26/21 | #322: 216 - 04/18/21</t>
  </si>
  <si>
    <t xml:space="preserve"> | #375: 1848 - 05/26/21 | #322: 216 - 05/01/21</t>
  </si>
  <si>
    <t xml:space="preserve"> | #375: 1848 - 06/01/21 | #322: 220 - 05/23/21</t>
  </si>
  <si>
    <t xml:space="preserve"> | #375: 1848 - 06/06/21 | #322: 220 - 05/23/21</t>
  </si>
  <si>
    <t xml:space="preserve"> | #375: 1848 - 06/13/21 | #322: 220 - 05/23/21</t>
  </si>
  <si>
    <t xml:space="preserve"> | #375: 1848 - 06/15/21 | #322: 220 - 06/05/21</t>
  </si>
  <si>
    <t xml:space="preserve"> | #375: 1848 - 06/25/21 | #322: 220 - 06/05/21</t>
  </si>
  <si>
    <t xml:space="preserve"> | #375: 1848 - 06/25/21 | #322: 220 - 06/03/21</t>
  </si>
  <si>
    <t>enable ppeak, min $20.49, new ppc</t>
  </si>
  <si>
    <t xml:space="preserve"> | #375: 1848 - 06/27/21</t>
  </si>
  <si>
    <t>target 30, ppc budget $30, min $22.49</t>
  </si>
  <si>
    <t>new ppc, $23.49</t>
  </si>
  <si>
    <t xml:space="preserve"> | #375: 1848 - 07/07/21</t>
  </si>
  <si>
    <t>cut ppc spend</t>
  </si>
  <si>
    <t>restock, increase ppc, ppc carrier</t>
  </si>
  <si>
    <t>adjust ppc, lower price $20.99</t>
  </si>
  <si>
    <t>No Transit, But 3320 At Factory 50-75 days from Earliest Arrival</t>
  </si>
  <si>
    <t>PL-PP-CHC-WHBK</t>
  </si>
  <si>
    <t>No Transit, But 356 At Factory 50-75 days from Earliest Arrival</t>
  </si>
  <si>
    <t>PL-PP-CHC-YEBK</t>
  </si>
  <si>
    <t>#322;SW: 160 - 02/26/21</t>
  </si>
  <si>
    <t>Raised PPEAK min to $18.99</t>
  </si>
  <si>
    <t xml:space="preserve">:  -  :  -  :  -  :  -  :  -  :  -  :  -  :  -  #322;SW: 160 - 02/26/21 :  - :  -  :  -  :  -  :  -  :  -  :  -  :  -  :  -  :  - </t>
  </si>
  <si>
    <t xml:space="preserve">:  -  :  -  :  -  :  -  :  -  :  -  :  -  :  -  #322;SW: 160 - 04/01/21 :  - :  -  :  -  :  -  :  -  :  -  :  -  :  -  :  -  :  - </t>
  </si>
  <si>
    <t>1 left - maintain</t>
  </si>
  <si>
    <t xml:space="preserve"> | #376: 60 - TBD | #322: 160 - 04/05/21</t>
  </si>
  <si>
    <t xml:space="preserve"> | #322: 160 - 04/22/21</t>
  </si>
  <si>
    <t xml:space="preserve"> | #322: 160 - 04/21/21</t>
  </si>
  <si>
    <t xml:space="preserve"> | #322: 160 - 04/18/21</t>
  </si>
  <si>
    <t xml:space="preserve"> | #322: 160 - 05/01/21</t>
  </si>
  <si>
    <t>set up ppeak, min $19.99</t>
  </si>
  <si>
    <t xml:space="preserve"> | #376-1: 24 - 07/09/21 | #376-2: 60 - 07/09/21</t>
  </si>
  <si>
    <t>ppc carrier, maintain</t>
  </si>
  <si>
    <t>adjust ppc</t>
  </si>
  <si>
    <t xml:space="preserve"> | #376-1: 24 - 07/10/21 | #376-2: 60 - 07/10/21</t>
  </si>
  <si>
    <t>PPC $5</t>
  </si>
  <si>
    <t>PL-PP-CHC-HGNB-A</t>
  </si>
  <si>
    <t>No Transit, But 196 At Factory 50-75 days from Earliest Arrival</t>
  </si>
  <si>
    <t>PL-PP-CHPRO2-BLBK</t>
  </si>
  <si>
    <t xml:space="preserve">
#311: 28 - 01/28/21</t>
  </si>
  <si>
    <t>Raised min to $29.95. Lowered target to 1</t>
  </si>
  <si>
    <t xml:space="preserve"> #321;SW: 368 - 03/01/21</t>
  </si>
  <si>
    <t>Raised min to $34.78</t>
  </si>
  <si>
    <t xml:space="preserve">:  -  :  -  :  -  :  -  :  -  :  -  :  -  #321;SW: 368 - 03/01/21 :  -  :  - :  -  :  -  :  -  :  -  :  -  :  -  :  -  :  -  :  - </t>
  </si>
  <si>
    <t>Raised min to $39.19. Removed target</t>
  </si>
  <si>
    <t xml:space="preserve">:  -  :  -  :  -  :  -  :  -  :  -  :  -  #321;SW: 368 - 03/08/21 :  -  :  - :  -  :  -  :  -  :  -  :  -  :  -  :  -  :  -  :  - </t>
  </si>
  <si>
    <t>Raised min to $39.99</t>
  </si>
  <si>
    <t xml:space="preserve"> | #321;SW: 368 - 03/08/21</t>
  </si>
  <si>
    <t>Raised min to $43.98</t>
  </si>
  <si>
    <t xml:space="preserve"> | #321;SW: 368 - 03/20/21</t>
  </si>
  <si>
    <t>Raised min to $48.37</t>
  </si>
  <si>
    <t xml:space="preserve"> | #321;SW: 368 - 03/22/21 | #332: 160 - 03/14/21</t>
  </si>
  <si>
    <t>Continue with Profit Peak</t>
  </si>
  <si>
    <t xml:space="preserve"> | #321;SW: 368 - 03/22/21 | #369;SW: 1565 - TBD | #357: 176 - 04/01/21</t>
  </si>
  <si>
    <t>Raised min to $49.95</t>
  </si>
  <si>
    <t xml:space="preserve"> | #321;SW: 368 - 03/24/21 | #369;SW: 1565 - 05/05/21 | #357: 176 - 04/15/21</t>
  </si>
  <si>
    <t>Raised min to $50.95</t>
  </si>
  <si>
    <t xml:space="preserve"> | #321;SW: 368 - 03/24/21 | #369;SW: 1565 - 05/05/21 | #357: 176 - 04/21/21</t>
  </si>
  <si>
    <t>#321;SW: 368 - 03/24/21 | #369;SW: 1565 - 05/25/21 | #357: 176 - 04/21/21</t>
  </si>
  <si>
    <t>Lowered min to $34.95. Added target of 8. Scheduled at $39.99 for a few days</t>
  </si>
  <si>
    <t>#321;SW: 368 - 03/24/21 | #369;SW: 1565 - 05/08/21 | #357: 176 - 04/21/21</t>
  </si>
  <si>
    <t>#321;SW: 368 -  | #369;SW: 1596 - 05/08/21 | #357: 176 - 05/06/21 | #404: 300 - 06/07/21</t>
  </si>
  <si>
    <t>Turned PPC on</t>
  </si>
  <si>
    <t xml:space="preserve"> | #369;SW: 1596 - 05/08/21 | #357: 176 - 05/06/21 | #404: 300 - 06/14/21</t>
  </si>
  <si>
    <t>Turned PPC off. Lowered min to $30.95</t>
  </si>
  <si>
    <t xml:space="preserve"> | #369;SW: 1596 - 05/08/21 | #357: 176 - 05/15/21 | #404: 300 - 05/22/21</t>
  </si>
  <si>
    <t xml:space="preserve"> | #369;SW: 1596 - 05/06/21 | #357: 176 - 05/07/21 | #404: 300 - 06/13/21</t>
  </si>
  <si>
    <t>Raised min to $32.95. Increased target to 13. Turned PPC on</t>
  </si>
  <si>
    <t xml:space="preserve"> | #404: 300 - 06/13/21</t>
  </si>
  <si>
    <t>Optimized PPC</t>
  </si>
  <si>
    <t xml:space="preserve"> | #404: 300 - 06/25/21</t>
  </si>
  <si>
    <t>Goal is reducing DOH. Raised PPC</t>
  </si>
  <si>
    <t>Goal is reducing DOH. Raised target to 22. Lowered min to $29.95. Doubled campaign budget</t>
  </si>
  <si>
    <t>Optimum price is $31.86. Per last week's pod meeting, I'm scheduling at $31.86 for a day and settting min and max to $29.86 and $41.86 respectively. Raised PPC to deal with DOH</t>
  </si>
  <si>
    <t xml:space="preserve"> | #404: 300 - 06/15/21</t>
  </si>
  <si>
    <t>87 DOH at target velocity with more units on the way and velocities expected to drop over coming months. Lowered min to $28.5. Raised PPC</t>
  </si>
  <si>
    <t>Price decrease improved profit. Lowered min $1 to $27.5. Optimized and raised PPC</t>
  </si>
  <si>
    <t xml:space="preserve"> | #404: 300 - 06/15/21 | AGL255: 300 - </t>
  </si>
  <si>
    <t>Price decrease didn't help. Raised $1 to $28.5. Raised PPC</t>
  </si>
  <si>
    <t>Trimmed PPC for wasted spend</t>
  </si>
  <si>
    <t>trimmed ppc, $29.99</t>
  </si>
  <si>
    <t>| S210718   - 300 units 09/17</t>
  </si>
  <si>
    <t>PL-PP-CHPRO2-BLGY</t>
  </si>
  <si>
    <t>Raised min to $25.24. Removed target</t>
  </si>
  <si>
    <t xml:space="preserve">
#311: 136 - 01/28/21</t>
  </si>
  <si>
    <t>Raised min to $29.95</t>
  </si>
  <si>
    <t xml:space="preserve"> #311: 136 - 01/28/21 #321;SW: 552 - 03/01/21</t>
  </si>
  <si>
    <t>sold out, closed</t>
  </si>
  <si>
    <t xml:space="preserve">:  -  :  -  :  -  :  -  :  -  #311: 136 - 02/03/21 :  -  #321;SW: 552 - 03/01/21 :  -  :  - :  -  :  -  :  -  :  -  :  -  :  -  :  -  :  -  :  - </t>
  </si>
  <si>
    <t xml:space="preserve">:  -  :  -  :  -  :  -  :  -  #311: 136 - 02/03/21 :  -  #321;SW: 552 - 03/08/21 :  -  :  - :  -  :  -  :  -  :  -  :  -  :  -  :  -  :  -  :  - </t>
  </si>
  <si>
    <t xml:space="preserve"> | #311: 136 - 02/11/21 | #321;SW: 552 - 03/08/21</t>
  </si>
  <si>
    <t xml:space="preserve"> | #311: 136 - 02/21/21 | #321;SW: 552 - 03/20/21</t>
  </si>
  <si>
    <t xml:space="preserve"> | #311: 136 - 02/19/21 | #321;SW: 552 - 03/22/21 | #332: 120 - 03/14/21</t>
  </si>
  <si>
    <t xml:space="preserve"> | #311: 136 - 02/19/21 | #321;SW: 552 - 03/22/21 | #366;SW: 428 - TBD | #371;SW: 988 - TBD</t>
  </si>
  <si>
    <t xml:space="preserve"> | #321;SW: 552 - 03/24/21 | #366;SW: 428 - 04/15/21 | #371;SW: 988 - 05/05/21</t>
  </si>
  <si>
    <t xml:space="preserve"> | #321;SW: 552 - 03/24/21 | #366;SW: 428 - 04/14/21 | #371;SW: 988 - 05/12/21</t>
  </si>
  <si>
    <t>Increased target to 7. Raised PPC slightly</t>
  </si>
  <si>
    <t>#321;SW: 552 - 03/24/21 | #366;SW: 428 - 04/14/21 | #371;SW: 988 - 05/12/21</t>
  </si>
  <si>
    <t>#321;SW: 552 - 03/24/21 | #366;SW: 428 - 04/14/21 | #371;SW: 988 - 05/15/21</t>
  </si>
  <si>
    <t>#321;SW: 552 -  | #366;SW: 428 - 05/05/21 | #371;SW: 988 - 05/15/21</t>
  </si>
  <si>
    <t xml:space="preserve"> | #366;SW: 428 - 05/01/21 | #371;SW: 988 - 05/17/21</t>
  </si>
  <si>
    <t>#399: 200 - 06/15/21 | #366;SW: 428 - 05/01/21 | #371;SW: 988 - 05/17/21</t>
  </si>
  <si>
    <t>Lowered min to $30.95. Increased target to 19. Turned PPC on</t>
  </si>
  <si>
    <t>#399: 200 - 06/10/21 | #371;SW: 988 - 06/03/21</t>
  </si>
  <si>
    <t>Raised min to $34.5. Raised PPC</t>
  </si>
  <si>
    <t xml:space="preserve"> | #371;SW: 988 - 06/03/21 | #399: 200 - 06/10/21</t>
  </si>
  <si>
    <t>Raised PPC</t>
  </si>
  <si>
    <t xml:space="preserve"> | #371: 988 - 06/03/21 | #399: 200 - 06/10/21</t>
  </si>
  <si>
    <t>Goal is rasing profit. Turned PPC off. Raised min to $25.95</t>
  </si>
  <si>
    <t>#395: 200 - 06/09/21 | #371: 988 - 06/23/21</t>
  </si>
  <si>
    <t>Goal is improving velocity. Turned PPC on</t>
  </si>
  <si>
    <t>Optimum price is $34.95. Per last week's pod meeting, I'm scheduling at $34.95 for a day and settting min and max to $32.95 and $44.95 respectively</t>
  </si>
  <si>
    <t xml:space="preserve"> | #371: 988 - 06/23/21</t>
  </si>
  <si>
    <t xml:space="preserve"> | #371: 988 - 07/04/21</t>
  </si>
  <si>
    <t>Matched price with OS sku</t>
  </si>
  <si>
    <t xml:space="preserve"> | #371: 988 - 06/30/21</t>
  </si>
  <si>
    <t>Below target with new units expected in a couple days. Set OS sku to $29.99</t>
  </si>
  <si>
    <t xml:space="preserve"> | #371: 988 - 07/02/21</t>
  </si>
  <si>
    <t>sold out of OS skus. 106 DOH. Turned PPC on</t>
  </si>
  <si>
    <t>min $30.95, increase ppc spend and bid</t>
  </si>
  <si>
    <t>| S210718   - 280 units 09/17</t>
  </si>
  <si>
    <t>PL-PP-CHPRO2-FLAG</t>
  </si>
  <si>
    <t>Turned PPC off, but need to keep this moving to avoid LTSF (in stock 17 weeks last year)</t>
  </si>
  <si>
    <t xml:space="preserve">
#315: 548 - 02/07/21</t>
  </si>
  <si>
    <t>Raised min to $29.95. Turned PPC on. Created $10 off coupon</t>
  </si>
  <si>
    <t xml:space="preserve"> #315: 548 - 02/07/21 #321;SW: 184 - 03/01/21</t>
  </si>
  <si>
    <t xml:space="preserve">:  -  #315;SW: 548 - 02/13/21 :  -  :  -  :  -  :  -  :  -  #321;SW: 184 - 03/01/21 :  -  :  - :  -  :  -  :  -  :  -  :  -  :  -  :  -  :  -  :  - </t>
  </si>
  <si>
    <t>Continue with Profit Peak. Raised PPC</t>
  </si>
  <si>
    <t xml:space="preserve">:  -  #315;SW: 548 - 02/13/21 :  -  :  -  :  -  :  -  :  -  #321;SW: 184 - 03/08/21 :  -  :  - :  -  :  -  :  -  :  -  :  -  :  -  :  -  :  -  :  - </t>
  </si>
  <si>
    <t xml:space="preserve"> | #315;SW: 548 - 02/16/21 | #321;SW: 184 - 03/08/21</t>
  </si>
  <si>
    <t xml:space="preserve"> | #315;SW: 548 - 02/20/21 | #321;SW: 184 - 03/20/21</t>
  </si>
  <si>
    <t xml:space="preserve"> | #315;SW: 548 - 02/25/21 | #321;SW: 184 - 03/22/21 | #332: 280 - 03/14/21</t>
  </si>
  <si>
    <t>Created new $10 off coupon. Raised PPC</t>
  </si>
  <si>
    <t xml:space="preserve"> | #315;SW: 548 - 02/25/21 | #321;SW: 184 - 03/22/21 | #366;SW: 388 - TBD | #370;SW: 484 - TBD | #357: 200 - 04/01/21 | #371;SW: 1700 - TBD</t>
  </si>
  <si>
    <t xml:space="preserve"> | #315;SW: 548 - 02/25/21 | #321;SW: 184 - 03/24/21 | #366;SW: 388 - 04/15/21 | #370;SW: 484 - 05/05/21 | #357: 200 - 04/15/21 | #371;SW: 1700 - 05/05/21</t>
  </si>
  <si>
    <t>Trimmed PPC</t>
  </si>
  <si>
    <t xml:space="preserve"> | #321;SW: 184 - 03/24/21 | #366;SW: 388 - 04/14/21 | #370;SW: 484 - 05/05/21 | #357: 200 - 04/21/21 | #371;SW: 1700 - 05/12/21</t>
  </si>
  <si>
    <t>Scheduled at $29.99. Created new $10 off coupon. Trimmed PPC</t>
  </si>
  <si>
    <t>#321;SW: 184 - 03/24/21 | #366;SW: 388 - 04/14/21 | #370;SW: 484 - 05/25/21 | #357: 200 - 04/21/21 | #371;SW: 1700 - 05/12/21</t>
  </si>
  <si>
    <t>#321;SW: 184 - 03/24/21 | #366;SW: 388 - 04/14/21 | #370;SW: 484 - 05/08/21 | #357: 200 - 04/21/21 | #371;SW: 1700 - 05/15/21</t>
  </si>
  <si>
    <t>#321;SW: 184 -  | #366;SW: 388 - 05/05/21 | #370;SW: 484 - 05/08/21 | #357: 200 - 05/06/21 | #371;SW: 1700 - 05/15/21</t>
  </si>
  <si>
    <t>Trimmed PPC. Scheduled at $34.99 a few days</t>
  </si>
  <si>
    <t xml:space="preserve"> | #366;SW: 388 - 05/01/21 | #370;SW: 484 - 05/08/21 | #357: 200 - 05/06/21 | #371;SW: 1700 - 05/17/21</t>
  </si>
  <si>
    <t>#399: 1000 - 06/15/21 | #366;SW: 388 - 05/01/21 | #370;SW: 484 - 05/21/21 | #357: 200 - 05/15/21 | #371;SW: 1700 - 05/17/21</t>
  </si>
  <si>
    <t>Trimmed PPC for wasted spend. Lowered min to $30.95. Increased target to 29</t>
  </si>
  <si>
    <t>#399: 1000 - 06/10/21 | #370;SW: 484 - 05/21/21 | #357: 200 - 05/07/21 | #371;SW: 1700 - 06/03/21</t>
  </si>
  <si>
    <t>Raised min to $33.99. Raised PPC. Increased target to 42</t>
  </si>
  <si>
    <t xml:space="preserve"> | #370;SW: 484 - 05/21/21 | #371;SW: 1700 - 06/03/21 | #399: 1000 - 06/10/21</t>
  </si>
  <si>
    <t xml:space="preserve"> | #370: 484 - 05/21/21 | #371: 1700 - 06/03/21 | #399: 1000 - 06/10/21</t>
  </si>
  <si>
    <t>Goal is improving profit. Turned PPC off</t>
  </si>
  <si>
    <t>#395: 1000 - 06/09/21 | #370: 484 - 05/21/21 | #371: 1700 - 06/23/21</t>
  </si>
  <si>
    <t>Goal is reducing DOH. June has the highest demand. Raised target to 50. Lowered min to $24.95. Scheduled at $29.99 for a few days. Turned PPC on</t>
  </si>
  <si>
    <t>Optimum price is $28.57. Per last week's pod meeting, I'm scheduling at $28.57 for a day and settting min and max to $26.57 and $38.57 respectively. Raised PPC</t>
  </si>
  <si>
    <t xml:space="preserve"> | #371: 1700 - 06/23/21</t>
  </si>
  <si>
    <t xml:space="preserve"> | #371: 1700 - 07/04/21</t>
  </si>
  <si>
    <t xml:space="preserve"> | #371: 1700 - 06/30/21 | AGL255: 560 - </t>
  </si>
  <si>
    <t>OS sku sold out. Raised min to $29.95. Heavily trimmed PPC</t>
  </si>
  <si>
    <t xml:space="preserve"> | #371: 1700 - 07/02/21 | AGL255: 560 - </t>
  </si>
  <si>
    <t>OS sku sold out. Turned PPC off. Raised min to $29.99. Decreased target to 14</t>
  </si>
  <si>
    <t>turn on ppc manual, and price it $30.49 with price decimal</t>
  </si>
  <si>
    <t>| S210718   - 500 units 09/17</t>
  </si>
  <si>
    <t>PL-PP-CHPRO2-HGBK</t>
  </si>
  <si>
    <t xml:space="preserve">
#315: 368 - 02/07/21
#311: 80 - 01/28/21</t>
  </si>
  <si>
    <t xml:space="preserve"> #315: 368 - 02/07/21 #311: 80 - 01/28/21 #321;SW: 184 - 03/01/21</t>
  </si>
  <si>
    <t xml:space="preserve">:  -  #315;SW: 368 - 02/13/21 :  -  :  -  :  -  #311: 80 - 02/03/21 :  -  #321;SW: 184 - 03/01/21 :  -  :  - :  -  :  -  :  -  :  -  :  -  :  -  :  -  :  -  :  - </t>
  </si>
  <si>
    <t xml:space="preserve">:  -  #315;SW: 368 - 02/13/21 :  -  :  -  :  -  #311: 80 - 02/03/21 :  -  #321;SW: 184 - 03/08/21 :  -  :  - :  -  :  -  :  -  :  -  :  -  :  -  :  -  :  -  :  - </t>
  </si>
  <si>
    <t xml:space="preserve"> | #315;SW: 368 - 02/16/21 | #311: 80 - 02/11/21 | #321;SW: 184 - 03/08/21</t>
  </si>
  <si>
    <t xml:space="preserve"> | #315;SW: 368 - 02/20/21 | #311: 80 - 02/21/21 | #321;SW: 184 - 03/20/21</t>
  </si>
  <si>
    <t xml:space="preserve"> | #315;SW: 368 - 02/25/21 | #311: 80 - 02/19/21 | #321;SW: 184 - 03/22/21</t>
  </si>
  <si>
    <t xml:space="preserve"> | #315;SW: 368 - 02/25/21 | #311: 80 - 02/19/21 | #321;SW: 184 - 03/22/21 | #371;SW: 200 - TBD</t>
  </si>
  <si>
    <t xml:space="preserve"> | #315;SW: 368 - 02/25/21 | #321;SW: 184 - 03/24/21 | #371;SW: 200 - 05/05/21</t>
  </si>
  <si>
    <t>Set to $29.99</t>
  </si>
  <si>
    <t xml:space="preserve"> | #321;SW: 184 - 03/24/21 | #371;SW: 200 - 05/12/21</t>
  </si>
  <si>
    <t>#321;SW: 184 - 03/24/21 | #371;SW: 200 - 05/12/21</t>
  </si>
  <si>
    <t>#321;SW: 184 - 03/24/21 | #371;SW: 200 - 05/15/21</t>
  </si>
  <si>
    <t>#321;SW: 184 -  | #371;SW: 200 - 05/15/21</t>
  </si>
  <si>
    <t xml:space="preserve"> | #371;SW: 200 - 05/17/21</t>
  </si>
  <si>
    <t>#399: 300 - 06/15/21 | #371;SW: 200 - 05/17/21</t>
  </si>
  <si>
    <t>Trimmed PPC. Lowered min to $30.95. Increased target to 9</t>
  </si>
  <si>
    <t>#399: 300 - 06/10/21 | #371;SW: 200 - 06/03/21</t>
  </si>
  <si>
    <t xml:space="preserve"> | #371;SW: 200 - 06/03/21 | #399: 300 - 06/10/21</t>
  </si>
  <si>
    <t xml:space="preserve"> | #371: 200 - 06/03/21 | #399: 300 - 06/10/21</t>
  </si>
  <si>
    <t>Goal is improving profit. Trimmed PPC</t>
  </si>
  <si>
    <t>#395: 300 - 06/09/21 | #371: 200 - 06/23/21</t>
  </si>
  <si>
    <t>Goal is reducing DOH. Raised target to 12. Lowered min to $29.95. Scheduled at $29.99 a few days</t>
  </si>
  <si>
    <t>Optimum price is $29.95. Per last week's pod meeting, I'm scheduling at $29.95 for a day and settting min and max to $27.95 and $39.95 respectively. Raised PPC</t>
  </si>
  <si>
    <t xml:space="preserve"> | #371: 200 - 06/23/21</t>
  </si>
  <si>
    <t xml:space="preserve"> | #371: 200 - 07/04/21</t>
  </si>
  <si>
    <t>Raised min to $28.95</t>
  </si>
  <si>
    <t xml:space="preserve"> | #371: 200 - 06/30/21</t>
  </si>
  <si>
    <t>Profit was better before. Lowered min to $27.95</t>
  </si>
  <si>
    <t xml:space="preserve"> | #371: 200 - 07/02/21</t>
  </si>
  <si>
    <t>No Transit, But 468 At Factory 50-75 days from Earliest Arrival</t>
  </si>
  <si>
    <t>PL-PP-CHPRO2-HGBL</t>
  </si>
  <si>
    <t>closed</t>
  </si>
  <si>
    <t>AGL161: 100 - 01/09/21
#315: 368 - 02/07/21
#311: 100 - 01/28/21</t>
  </si>
  <si>
    <t>set to $29.99 for when new inventory hits</t>
  </si>
  <si>
    <t>AGL161: 100 - 01/16/21 #315: 368 - 02/07/21 #311: 100 - 01/28/21 #321;SW: 184 - 03/01/21</t>
  </si>
  <si>
    <t xml:space="preserve">:  -  #315;SW: 368 - 02/13/21 :  -  :  -  :  -  #311: 100 - 02/03/21 :  -  #321;SW: 184 - 03/01/21 :  -  :  - :  -  :  -  :  -  :  -  :  -  :  -  :  -  :  -  :  - </t>
  </si>
  <si>
    <t>Turned on PP from $29.99 to $39.99</t>
  </si>
  <si>
    <t xml:space="preserve">:  -  #315;SW: 368 - 02/13/21 :  -  :  -  :  -  #311: 100 - 02/03/21 :  -  #321;SW: 184 - 03/08/21 :  -  :  - :  -  :  -  :  -  :  -  :  -  :  -  :  -  :  -  :  - </t>
  </si>
  <si>
    <t xml:space="preserve"> | #315;SW: 368 - 02/16/21 | #311: 100 - 02/11/21 | #321;SW: 184 - 03/08/21</t>
  </si>
  <si>
    <t>Added target of 2. Trimmed PPC</t>
  </si>
  <si>
    <t xml:space="preserve"> | #315;SW: 368 - 02/20/21 | #311: 100 - 02/21/21 | #321;SW: 184 - 03/20/21</t>
  </si>
  <si>
    <t>Scheduled at $29.99. Optimized PPC</t>
  </si>
  <si>
    <t xml:space="preserve"> | #315;SW: 368 - 02/25/21 | #311: 100 - 02/19/21 | #321;SW: 184 - 03/22/21 | #332: 60 - 03/14/21</t>
  </si>
  <si>
    <t xml:space="preserve"> | #315;SW: 368 - 02/25/21 | #311: 100 - 02/19/21 | #321;SW: 184 - 03/22/21</t>
  </si>
  <si>
    <t>Turned PPC off till more units hit</t>
  </si>
  <si>
    <t xml:space="preserve"> | #315;SW: 368 - 02/25/21 | #321;SW: 184 - 03/24/21</t>
  </si>
  <si>
    <t xml:space="preserve"> | #321;SW: 184 - 03/24/21</t>
  </si>
  <si>
    <t>Trimmed PPC. Created $3 off coupon</t>
  </si>
  <si>
    <t>#321;SW: 184 - 03/24/21</t>
  </si>
  <si>
    <t xml:space="preserve">#321;SW: 184 - </t>
  </si>
  <si>
    <t>Trimmed PPC. Lowered min to $30.95. Scheduled at $29.99</t>
  </si>
  <si>
    <t>Lowered price didn't help much. Raised min to $34.95. Raised PPC</t>
  </si>
  <si>
    <t>#399: 300 - 06/15/21</t>
  </si>
  <si>
    <t>#399: 300 - 06/10/21</t>
  </si>
  <si>
    <t>Increased target to 8. Lowered min to $32.95</t>
  </si>
  <si>
    <t xml:space="preserve"> | #399: 300 - 06/10/21</t>
  </si>
  <si>
    <t>Goal is reducing DOH. Trimmed PPC for wasted spend. Lowered min to $23.95</t>
  </si>
  <si>
    <t>#395: 300 - 06/09/21</t>
  </si>
  <si>
    <t>Goal is reducing DOH. Raised PPC. Increased target to 10. Lowered min to $24.95. Scheduled at $29.99 a few days</t>
  </si>
  <si>
    <t>Optimum price is $28.05. Per last week's pod meeting, I'm scheduling at $28.05 for a day and settting min and max to $26.05 and $38.05 respectively. Raised PPC</t>
  </si>
  <si>
    <t>Heavilty trimmed PPC to improve profit</t>
  </si>
  <si>
    <t>Turned PPC off. Raised min to $26.95</t>
  </si>
  <si>
    <t>| S210718   - 80 units 09/17</t>
  </si>
  <si>
    <t>PL-PP-CHPRO2-HGGY</t>
  </si>
  <si>
    <t>AGL161: 100 - 01/09/21
#315: 184 - 02/07/21
#311: 80 - 01/28/21</t>
  </si>
  <si>
    <t>AGL161: 100 - 01/16/21 #315: 184 - 02/07/21 #311: 80 - 01/28/21 #321;SW: 184 - 03/01/21</t>
  </si>
  <si>
    <t xml:space="preserve">:  -  #315;SW: 184 - 02/13/21 :  -  :  -  :  -  #311: 80 - 02/03/21 :  -  #321;SW: 184 - 03/01/21 :  -  :  - :  -  :  -  :  -  :  -  :  -  :  -  :  -  :  -  :  - </t>
  </si>
  <si>
    <t>Turned on PP from $29.99 to $39.99. Raised PPC $1</t>
  </si>
  <si>
    <t xml:space="preserve">:  -  #315;SW: 184 - 02/13/21 :  -  :  -  :  -  #311: 80 - 02/03/21 :  -  #321;SW: 184 - 03/08/21 :  -  :  - :  -  :  -  :  -  :  -  :  -  :  -  :  -  :  -  :  - </t>
  </si>
  <si>
    <t>Added target of 2. Optimized PPC</t>
  </si>
  <si>
    <t xml:space="preserve"> | #315;SW: 184 - 02/16/21 | #311: 80 - 02/11/21 | #321;SW: 184 - 03/08/21</t>
  </si>
  <si>
    <t xml:space="preserve"> | #315;SW: 184 - 02/20/21 | #311: 80 - 02/21/21 | #321;SW: 184 - 03/20/21</t>
  </si>
  <si>
    <t xml:space="preserve"> | #315;SW: 184 - 02/25/21 | #311: 80 - 02/19/21 | #321;SW: 184 - 03/22/21 | #332: 60 - 03/14/21</t>
  </si>
  <si>
    <t xml:space="preserve"> | #315;SW: 184 - 02/25/21 | #311: 80 - 02/19/21 | #321;SW: 184 - 03/22/21</t>
  </si>
  <si>
    <t>Turned PPC off till new units hit</t>
  </si>
  <si>
    <t xml:space="preserve"> | #315;SW: 184 - 02/25/21 | #321;SW: 184 - 03/24/21</t>
  </si>
  <si>
    <t>Increased target to 5. Raised PPC</t>
  </si>
  <si>
    <t>Trimmed PPC slightly</t>
  </si>
  <si>
    <t>Increased target to 6. Turned PPC on</t>
  </si>
  <si>
    <t>Goal is improving profit. Raised min to $25.95</t>
  </si>
  <si>
    <t>Goal is reducing DOH. Turned PPC on. Lowered min to $24.95. Scheduled at $29.99 a few days. Raised target to 10</t>
  </si>
  <si>
    <t>Optimum price is $28.68. Per last week's pod meeting, I'm scheduling at $28.68 for a day and settting min and max to $26.68 and $38.68 respectively. Raised PPC</t>
  </si>
  <si>
    <t>Raised min to $29.34. Trimmed PPC</t>
  </si>
  <si>
    <t>OS sku is blocked. Goal is hitting target velocity. Trimmed PPC for wasted spend. Lowered min slightly to $28.95</t>
  </si>
  <si>
    <t>OS sku is blocked. Turned PPC off</t>
  </si>
  <si>
    <t>target 7</t>
  </si>
  <si>
    <t>PL-PP-CHPRO2-HGYE</t>
  </si>
  <si>
    <t xml:space="preserve">
#311: 44 - 01/28/21</t>
  </si>
  <si>
    <t xml:space="preserve"> #321;SW: 184 - 03/01/21</t>
  </si>
  <si>
    <t xml:space="preserve">:  -  :  -  :  -  :  -  :  -  :  -  :  -  #321;SW: 184 - 03/01/21 :  -  :  - :  -  :  -  :  -  :  -  :  -  :  -  :  -  :  -  :  - </t>
  </si>
  <si>
    <t xml:space="preserve">:  -  :  -  :  -  :  -  :  -  :  -  :  -  #321;SW: 184 - 03/08/21 :  -  :  - :  -  :  -  :  -  :  -  :  -  :  -  :  -  :  -  :  - </t>
  </si>
  <si>
    <t xml:space="preserve"> | #321;SW: 184 - 03/08/21</t>
  </si>
  <si>
    <t xml:space="preserve"> | #321;SW: 184 - 03/20/21</t>
  </si>
  <si>
    <t xml:space="preserve"> | #321;SW: 184 - 03/22/21 | #332: 60 - 03/14/21</t>
  </si>
  <si>
    <t xml:space="preserve"> | #321;SW: 184 - 03/22/21 | #370;SW: 796 - TBD</t>
  </si>
  <si>
    <t xml:space="preserve"> | #321;SW: 184 - 03/24/21 | #370;SW: 796 - 05/05/21</t>
  </si>
  <si>
    <t>#321;SW: 184 - 03/24/21 | #370;SW: 796 - 05/25/21</t>
  </si>
  <si>
    <t>#321;SW: 184 - 03/24/21 | #370;SW: 796 - 05/08/21</t>
  </si>
  <si>
    <t>#321;SW: 184 -  | #370;SW: 796 - 05/08/21</t>
  </si>
  <si>
    <t xml:space="preserve"> | #370;SW: 796 - 05/08/21</t>
  </si>
  <si>
    <t xml:space="preserve"> | #370;SW: 796 - 05/21/21</t>
  </si>
  <si>
    <t>Raised min to $35.95</t>
  </si>
  <si>
    <t>Lowered min to $34.95. Increased target to 7</t>
  </si>
  <si>
    <t xml:space="preserve"> | #370: 796 - 05/21/21</t>
  </si>
  <si>
    <t>Optimum price is $27.38. Per last week's pod meeting, I'm scheduling at $27.38 for a day and settting min and max to $25.38 and $37.38 respectively. Raised PPC</t>
  </si>
  <si>
    <t>Turned PPC off. Raised min to $27.95</t>
  </si>
  <si>
    <t>No Transit, But 260 At Factory 50-75 days from Earliest Arrival</t>
  </si>
  <si>
    <t>PL-PP-CHPRO2-ORBK</t>
  </si>
  <si>
    <t>Raised min to $24.8. Removed target</t>
  </si>
  <si>
    <t xml:space="preserve">
#315: 184 - 02/07/21
#311: 200 - 01/28/21
#312: 130 - 01/28/21</t>
  </si>
  <si>
    <t>Raised min to $29.99</t>
  </si>
  <si>
    <t xml:space="preserve"> #315: 184 - 02/07/21 #311: 200 - 01/28/21 #312: 130 - 01/28/21 #321;SW: 184 - 03/01/21</t>
  </si>
  <si>
    <t xml:space="preserve">:  -  #315;SW: 184 - 02/13/21 :  -  :  -  :  -  #311: 200 - 02/03/21 #312: 130 - 02/03/21 #321;SW: 184 - 03/01/21 :  -  :  - :  -  :  -  :  -  :  -  :  -  :  -  :  -  :  -  :  - </t>
  </si>
  <si>
    <t xml:space="preserve">:  -  #315;SW: 184 - 02/13/21 :  -  :  -  :  -  #311: 200 - 02/03/21 #312: 130 - 02/03/21 #321;SW: 184 - 03/08/21 :  -  :  - :  -  :  -  :  -  :  -  :  -  :  -  :  -  :  -  :  - </t>
  </si>
  <si>
    <t xml:space="preserve"> | #315;SW: 184 - 02/16/21 | #311: 200 - 02/11/21 | #312: 130 - 02/12/21 | #321;SW: 184 - 03/08/21</t>
  </si>
  <si>
    <t xml:space="preserve"> | #315;SW: 184 - 02/20/21 | #311: 200 - 02/21/21 | #312: 130 - 02/11/21 | #321;SW: 184 - 03/20/21</t>
  </si>
  <si>
    <t xml:space="preserve"> | #315;SW: 184 - 02/25/21 | #311: 200 - 02/19/21 | #321;SW: 184 - 03/22/21 | #332: 100 - 03/14/21</t>
  </si>
  <si>
    <t xml:space="preserve"> | #315;SW: 184 - 02/25/21 | #311: 200 - 02/19/21 | #321;SW: 184 - 03/22/21 | #366;SW: 342 - TBD | #371;SW: 800 - TBD</t>
  </si>
  <si>
    <t>Turned on PP from $29.95 with target of 3</t>
  </si>
  <si>
    <t xml:space="preserve"> | #315;SW: 184 - 02/25/21 | #321;SW: 184 - 03/24/21 | #366;SW: 342 - 04/15/21 | #371;SW: 800 - 05/05/21</t>
  </si>
  <si>
    <t xml:space="preserve"> | #321;SW: 184 - 03/24/21 | #366;SW: 342 - 04/14/21 | #371;SW: 800 - 05/12/21</t>
  </si>
  <si>
    <t>Increased target to 8. Scheduled at $29.99 a couple days. Trimmed PPC and raised budget</t>
  </si>
  <si>
    <t>#321;SW: 184 - 03/24/21 | #366;SW: 342 - 04/14/21 | #371;SW: 800 - 05/12/21</t>
  </si>
  <si>
    <t>#321;SW: 184 - 03/24/21 | #366;SW: 342 - 04/14/21 | #371;SW: 800 - 05/15/21</t>
  </si>
  <si>
    <t>#321;SW: 184 -  | #366;SW: 342 - 05/05/21 | #371;SW: 800 - 05/15/21 | #404: 300 - 06/07/21</t>
  </si>
  <si>
    <t>Trimmed PPC. Raised budget $10</t>
  </si>
  <si>
    <t xml:space="preserve"> | #366;SW: 342 - 05/01/21 | #371;SW: 800 - 05/17/21 | #404: 300 - 06/14/21</t>
  </si>
  <si>
    <t xml:space="preserve"> | #366;SW: 342 - 05/01/21 | #371;SW: 800 - 05/17/21 | #404: 300 - 05/22/21</t>
  </si>
  <si>
    <t>Raised target to 13. Trimmed PPC</t>
  </si>
  <si>
    <t xml:space="preserve"> | #371;SW: 800 - 06/03/21 | #404: 300 - 06/13/21</t>
  </si>
  <si>
    <t>Created a $3 off coupon</t>
  </si>
  <si>
    <t>2 DOH. Turned PPC off</t>
  </si>
  <si>
    <t xml:space="preserve"> | #371: 800 - 06/03/21 | #404: 300 - 06/25/21</t>
  </si>
  <si>
    <t>Goal is improving profit. Raised min to $27.44</t>
  </si>
  <si>
    <t xml:space="preserve"> | #371: 800 - 06/23/21 | #404: 300 - 06/25/21</t>
  </si>
  <si>
    <t>Raised min to $36.95</t>
  </si>
  <si>
    <t>Slowing this down instead of doing process discussed in last pod meeting, due to low DOH. Raised min to $39.95</t>
  </si>
  <si>
    <t xml:space="preserve"> | #371: 800 - 06/23/21 | #404: 300 - 06/15/21</t>
  </si>
  <si>
    <t>Lowered min to $25.95 and target to 3. Scheduled at $29.99 a couple days</t>
  </si>
  <si>
    <t xml:space="preserve"> | #371: 800 - 07/04/21 | #404: 300 - 06/15/21</t>
  </si>
  <si>
    <t xml:space="preserve"> | #371: 800 - 06/30/21 | #404: 300 - 06/15/21</t>
  </si>
  <si>
    <t>Slightly below target. Lowered OS sku $1 to $28.99. Turned OS PPC campaign off, too high of ACOS</t>
  </si>
  <si>
    <t xml:space="preserve"> | #371: 800 - 07/02/21 | #404: 300 - 06/15/21</t>
  </si>
  <si>
    <t>PL-PP-CHPRO2-ORBL</t>
  </si>
  <si>
    <t>Turned PPC off. Raised min to $22.95</t>
  </si>
  <si>
    <t>Raised PP to $29.95 to $39.99. Removed target</t>
  </si>
  <si>
    <t>Raised min to $32.94</t>
  </si>
  <si>
    <t>Raised min to $36.23</t>
  </si>
  <si>
    <t xml:space="preserve"> | #366;SW: 264 - TBD | #357: 656 - 04/01/21</t>
  </si>
  <si>
    <t>Raised min to $39.85</t>
  </si>
  <si>
    <t xml:space="preserve"> | #366;SW: 264 - 04/15/21 | #357: 656 - 04/15/21</t>
  </si>
  <si>
    <t>Raised min to $43.83</t>
  </si>
  <si>
    <t xml:space="preserve"> | #366;SW: 264 - 04/14/21 | #357: 656 - 04/21/21</t>
  </si>
  <si>
    <t>Raised min to $48.47</t>
  </si>
  <si>
    <t>Raised min to $51.5</t>
  </si>
  <si>
    <t xml:space="preserve"> | #366;SW: 264 - 05/05/21 | #357: 656 - 05/06/21</t>
  </si>
  <si>
    <t xml:space="preserve"> | #366;SW: 264 - 05/01/21 | #357: 656 - 05/06/21</t>
  </si>
  <si>
    <t>#399: 1000 - 06/15/21 | #366;SW: 264 - 05/01/21 | #357: 656 - 05/15/21</t>
  </si>
  <si>
    <t>Lowered min to $34.95. Added target of 13. Scheduled at $39.99 a few days</t>
  </si>
  <si>
    <t>#399: 1000 - 06/10/21 | #357: 656 - 05/07/21</t>
  </si>
  <si>
    <t xml:space="preserve"> | #399: 1000 - 06/10/21</t>
  </si>
  <si>
    <t>#395: 1000 - 06/09/21</t>
  </si>
  <si>
    <t>Goal is reducing DOH. Raised PPC. Lowered min to $24.95. Scheduled at $29.99 a few days. Raised target to 30</t>
  </si>
  <si>
    <t>Optimum price is $27.98. Per last week's pod meeting, I'm scheduling at $27.98 for a day and settting min and max to $25.98 and $37.98 respectively. Raised PPC</t>
  </si>
  <si>
    <t>Trimmed PPC for wasted spend. Raised min to $26.95</t>
  </si>
  <si>
    <t>min $27.99, trimmed ppc</t>
  </si>
  <si>
    <t>PL-PP-CHPRO2-ORGY</t>
  </si>
  <si>
    <t xml:space="preserve">
#315: 368 - 02/07/21</t>
  </si>
  <si>
    <t>Raised PP to $29.95 to $39.99. Lowered target to 1</t>
  </si>
  <si>
    <t xml:space="preserve"> #315: 368 - 02/07/21</t>
  </si>
  <si>
    <t xml:space="preserve">:  -  #315;SW: 368 - 02/13/21 :  -  :  -  :  -  :  -  :  -  :  -  :  -  :  - :  -  :  -  :  -  :  -  :  -  :  -  :  -  :  -  :  - </t>
  </si>
  <si>
    <t>Raised min to $30.95. Removed target</t>
  </si>
  <si>
    <t xml:space="preserve"> | #315;SW: 368 - 02/16/21</t>
  </si>
  <si>
    <t>Added target of 2</t>
  </si>
  <si>
    <t xml:space="preserve"> | #315;SW: 368 - 02/20/21</t>
  </si>
  <si>
    <t>Lowered min to $29.95</t>
  </si>
  <si>
    <t xml:space="preserve"> | #315;SW: 368 - 02/25/21</t>
  </si>
  <si>
    <t xml:space="preserve"> | #315;SW: 368 - 02/25/21 | #366;SW: 420 - TBD</t>
  </si>
  <si>
    <t xml:space="preserve"> | #315;SW: 368 - 02/25/21 | #366;SW: 420 - 04/15/21</t>
  </si>
  <si>
    <t xml:space="preserve"> | #366;SW: 420 - 04/14/21</t>
  </si>
  <si>
    <t>Increased target to 6</t>
  </si>
  <si>
    <t>Increased target to 8. Raised PPC</t>
  </si>
  <si>
    <t xml:space="preserve"> | #366;SW: 420 - 05/05/21</t>
  </si>
  <si>
    <t>Raised budget $10</t>
  </si>
  <si>
    <t xml:space="preserve"> | #366;SW: 420 - 05/01/21</t>
  </si>
  <si>
    <t>#399: 500 - 06/15/21 | #366;SW: 420 - 05/01/21</t>
  </si>
  <si>
    <t>#399: 500 - 06/10/21</t>
  </si>
  <si>
    <t>Trimmed PPC. Raised target to 9. Lowered min to $33.95</t>
  </si>
  <si>
    <t xml:space="preserve"> | #399: 500 - 06/10/21</t>
  </si>
  <si>
    <t>sold out, turned PPC off</t>
  </si>
  <si>
    <t>#395: 500 - 06/09/21</t>
  </si>
  <si>
    <t>Goal is reducing DOH. Turned PPC on. Lowered min to $24.95. Scheduled at $29.99 a few days. Raised target to 13</t>
  </si>
  <si>
    <t>Optimum price is $27.10. Per last week's pod meeting, I'm scheduling at $27.10 for a day and settting min and max to $25.10 and $37.10 respectively. Raised PPC</t>
  </si>
  <si>
    <t>Raised min to $29.88. Trimmed PPC for wasted spend. Turned PPC off</t>
  </si>
  <si>
    <t>Sold out of OS skus. Raised min to $30.95. Lowered min to $29.95</t>
  </si>
  <si>
    <t>min $33.49</t>
  </si>
  <si>
    <t>No Transit, But 20 At Factory 50-75 days from Earliest Arrival</t>
  </si>
  <si>
    <t>PL-PP-CHPRO2-REBK</t>
  </si>
  <si>
    <t>Raised min to $32.98. Removed target</t>
  </si>
  <si>
    <t xml:space="preserve">
#315: 736 - 02/07/21
#311: 52 - 01/28/21</t>
  </si>
  <si>
    <t xml:space="preserve"> #315: 736 - 02/07/21 #311: 52 - 01/28/21 #321;SW: 184 - 03/01/21</t>
  </si>
  <si>
    <t xml:space="preserve">:  -  #315;SW: 736 - 02/13/21 :  -  :  -  :  -  #311: 52 - 02/03/21 :  -  #321;SW: 184 - 03/01/21 :  -  :  - :  -  :  -  :  -  :  -  :  -  :  -  :  -  :  -  :  - </t>
  </si>
  <si>
    <t xml:space="preserve">:  -  #315;SW: 736 - 02/13/21 :  -  :  -  :  -  #311: 52 - 02/03/21 :  -  #321;SW: 184 - 03/08/21 :  -  :  - :  -  :  -  :  -  :  -  :  -  :  -  :  -  :  -  :  - </t>
  </si>
  <si>
    <t xml:space="preserve"> | #315;SW: 736 - 02/16/21 | #311: 52 - 02/11/21 | #321;SW: 184 - 03/08/21</t>
  </si>
  <si>
    <t xml:space="preserve"> | #315;SW: 736 - 02/20/21 | #311: 52 - 02/21/21 | #321;SW: 184 - 03/20/21</t>
  </si>
  <si>
    <t xml:space="preserve"> | #315;SW: 736 - 02/25/21 | #311: 52 - 02/19/21 | #321;SW: 184 - 03/22/21 | #332: 160 - 03/14/21</t>
  </si>
  <si>
    <t>Inactive (Out of stock)</t>
  </si>
  <si>
    <t xml:space="preserve"> | #315;SW: 736 - 02/25/21 | #311: 52 - 02/19/21 | #321;SW: 184 - 03/22/21 | #370;SW: 1300 - TBD</t>
  </si>
  <si>
    <t xml:space="preserve"> | #315;SW: 736 - 02/25/21 | #321;SW: 184 - 03/24/21 | #370;SW: 1300 - 05/05/21</t>
  </si>
  <si>
    <t xml:space="preserve"> | #321;SW: 184 - 03/24/21 | #370;SW: 1300 - 05/05/21</t>
  </si>
  <si>
    <t>Lowered min to $29.95. Increased target to 3</t>
  </si>
  <si>
    <t>Increased target to 13. Turned PPC on</t>
  </si>
  <si>
    <t>#321;SW: 184 - 03/24/21 | #370;SW: 1300 - 05/25/21</t>
  </si>
  <si>
    <t>#321;SW: 184 - 03/24/21 | #370;SW: 1300 - 05/08/21</t>
  </si>
  <si>
    <t>#321;SW: 184 -  | #370;SW: 1300 - 05/08/21 | #404: 400 - 06/07/21</t>
  </si>
  <si>
    <t>Raised budget $5</t>
  </si>
  <si>
    <t xml:space="preserve"> | #370;SW: 1306 - 05/08/21 | #404: 400 - 06/14/21</t>
  </si>
  <si>
    <t xml:space="preserve"> | #370;SW: 1306 - 05/21/21 | #404: 400 - 05/22/21</t>
  </si>
  <si>
    <t xml:space="preserve"> | #370;SW: 1306 - 05/21/21 | #404: 400 - 06/13/21</t>
  </si>
  <si>
    <t>Trimmed PPC. Increased target to 16</t>
  </si>
  <si>
    <t>6 DOH. Turned PPC off</t>
  </si>
  <si>
    <t xml:space="preserve"> | #370: 1306 - 05/21/21 | #404: 400 - 06/25/21</t>
  </si>
  <si>
    <t>Goal is reducing DOH. Turned PPC on. Lowered min to $24.95. Scheduled at $29.99 a few days. Raised target to 21</t>
  </si>
  <si>
    <t>Optimum price is $28.83. Per last week's pod meeting, I'm scheduling at $28.83 for a day and settting min and max to $26.83 and $38.83 respectively. Raised PPC</t>
  </si>
  <si>
    <t xml:space="preserve"> | #404: 400 - 06/15/21</t>
  </si>
  <si>
    <t>Raised min to $29.5. Trimmed PPC for wasted spend</t>
  </si>
  <si>
    <t>Profit was better before.  Lowered min to $27.95. Trimmed PPC for wasted spend</t>
  </si>
  <si>
    <t xml:space="preserve"> | #404: 400 - 06/15/21 | AGL255: 300 - </t>
  </si>
  <si>
    <t>Switched $10 worth of ad spend from Auto to Product Targeting campaign</t>
  </si>
  <si>
    <t>Trimmed PPC. Raised min to $29.97. Lowered target to 16</t>
  </si>
  <si>
    <t>timmed ppc to $20, continue with ppeak</t>
  </si>
  <si>
    <t>| S210718   - 200 units 09/17</t>
  </si>
  <si>
    <t>PL-PP-CHPRO2-REBL</t>
  </si>
  <si>
    <t xml:space="preserve">
#315: 368 - 02/07/21
#311: 400 - 01/28/21
#312: 262 - 01/28/21</t>
  </si>
  <si>
    <t xml:space="preserve"> #315: 368 - 02/07/21 #311: 400 - 01/28/21 #312: 262 - 01/28/21</t>
  </si>
  <si>
    <t xml:space="preserve">:  -  #315;SW: 368 - 02/13/21 :  -  :  -  :  -  #311: 400 - 02/03/21 #312: 262 - 02/03/21 :  -  :  -  :  - :  -  :  -  :  -  :  -  :  -  :  -  :  -  :  -  :  - </t>
  </si>
  <si>
    <t xml:space="preserve"> | #315;SW: 368 - 02/16/21 | #311: 400 - 02/11/21 | #312: 262 - 02/12/21</t>
  </si>
  <si>
    <t xml:space="preserve"> | #315;SW: 368 - 02/20/21 | #311: 400 - 02/21/21 | #312: 262 - 02/11/21</t>
  </si>
  <si>
    <t xml:space="preserve"> | #315;SW: 368 - 02/25/21 | #311: 400 - 02/19/21 | #332: 300 - 03/14/21</t>
  </si>
  <si>
    <t xml:space="preserve"> | #315;SW: 368 - 02/25/21 | #311: 400 - 02/19/21 | #366;SW: 470 - TBD | #371;SW: 1300 - TBD</t>
  </si>
  <si>
    <t xml:space="preserve"> | #315;SW: 368 - 02/25/21 | #366;SW: 470 - 04/15/21 | #371;SW: 1300 - 05/05/21</t>
  </si>
  <si>
    <t xml:space="preserve"> | #366;SW: 470 - 04/14/21 | #371;SW: 1300 - 05/12/21</t>
  </si>
  <si>
    <t>Turned on PP from $29.99</t>
  </si>
  <si>
    <t>Raised target to 12. Trimmed PPC</t>
  </si>
  <si>
    <t xml:space="preserve"> | #366;SW: 470 - 04/14/21 | #371;SW: 1300 - 05/15/21</t>
  </si>
  <si>
    <t xml:space="preserve"> | #366;SW: 470 - 05/05/21 | #371;SW: 1300 - 05/15/21</t>
  </si>
  <si>
    <t xml:space="preserve"> | #366;SW: 470 - 05/01/21 | #371;SW: 1300 - 05/17/21</t>
  </si>
  <si>
    <t>#399: 600 - 06/15/21 | #366;SW: 470 - 05/01/21 | #371;SW: 1300 - 05/17/21</t>
  </si>
  <si>
    <t>Lowered min to $30.95. Increased target to 23</t>
  </si>
  <si>
    <t>#399: 600 - 06/10/21 | #371;SW: 1300 - 06/03/21</t>
  </si>
  <si>
    <t xml:space="preserve"> | #371;SW: 1300 - 06/03/21 | #399: 600 - 06/10/21</t>
  </si>
  <si>
    <t xml:space="preserve"> | #371: 1300 - 06/03/21 | #399: 600 - 06/10/21</t>
  </si>
  <si>
    <t>#395: 600 - 06/09/21 | #371: 1300 - 06/23/21</t>
  </si>
  <si>
    <t>Goal is reducing DOH. Turned PPC on. Lowered min to $24.95. Scheduled at $29.99 a few days. Raised target to 30</t>
  </si>
  <si>
    <t xml:space="preserve"> | #371: 1300 - 06/23/21</t>
  </si>
  <si>
    <t xml:space="preserve"> | #371: 1300 - 07/04/21</t>
  </si>
  <si>
    <t>Turned PPC off. Raised min to $27.95 and lowered target to 11</t>
  </si>
  <si>
    <t xml:space="preserve"> | #371: 1300 - 06/30/21 | AGL255: 300 - </t>
  </si>
  <si>
    <t xml:space="preserve"> | #371: 1300 - 07/02/21 | AGL255: 300 - </t>
  </si>
  <si>
    <t>change target to 25, set price decimal, turn on ppc</t>
  </si>
  <si>
    <t>| S210718   - 180 units 09/17</t>
  </si>
  <si>
    <t>PL-PP-CHPRO2-REGR</t>
  </si>
  <si>
    <t xml:space="preserve">
#311: 60 - 01/28/21</t>
  </si>
  <si>
    <t>Raised PP to $29.95 to $39.99. Lowered target to 2</t>
  </si>
  <si>
    <t xml:space="preserve"> #311: 60 - 01/28/21 #321;SW: 184 - 03/01/21</t>
  </si>
  <si>
    <t>Raised min to $30.95. Lowered target to 1</t>
  </si>
  <si>
    <t xml:space="preserve">:  -  :  -  :  -  :  -  :  -  #311: 60 - 02/03/21 :  -  #321;SW: 184 - 03/01/21 :  -  :  - :  -  :  -  :  -  :  -  :  -  :  -  :  -  :  -  :  - </t>
  </si>
  <si>
    <t>Raised min to $32.95</t>
  </si>
  <si>
    <t xml:space="preserve">:  -  :  -  :  -  :  -  :  -  #311: 60 - 02/03/21 :  -  #321;SW: 184 - 03/08/21 :  -  :  - :  -  :  -  :  -  :  -  :  -  :  -  :  -  :  -  :  - </t>
  </si>
  <si>
    <t xml:space="preserve"> | #311: 60 - 02/11/21 | #321;SW: 184 - 03/08/21</t>
  </si>
  <si>
    <t xml:space="preserve"> | #311: 60 - 02/21/21 | #321;SW: 184 - 03/20/21</t>
  </si>
  <si>
    <t xml:space="preserve"> | #311: 60 - 02/19/21 | #321;SW: 184 - 03/22/21 | #332: 160 - 03/14/21</t>
  </si>
  <si>
    <t xml:space="preserve"> | #311: 60 - 02/19/21 | #321;SW: 184 - 03/22/21 | #366;SW: 600 - TBD</t>
  </si>
  <si>
    <t xml:space="preserve"> | #321;SW: 184 - 03/24/21 | #366;SW: 600 - 04/15/21</t>
  </si>
  <si>
    <t xml:space="preserve"> | #321;SW: 184 - 03/24/21 | #366;SW: 600 - 04/14/21</t>
  </si>
  <si>
    <t>Increased target to 4</t>
  </si>
  <si>
    <t>#321;SW: 184 - 03/24/21 | #366;SW: 600 - 04/14/21</t>
  </si>
  <si>
    <t>Raised target to 9. Turned PPC on</t>
  </si>
  <si>
    <t>#321;SW: 184 -  | #366;SW: 600 - 05/05/21</t>
  </si>
  <si>
    <t>Raised budget and bids</t>
  </si>
  <si>
    <t xml:space="preserve"> | #366;SW: 600 - 05/01/21</t>
  </si>
  <si>
    <t>#399: 800 - 06/15/21 | #366;SW: 600 - 05/01/21</t>
  </si>
  <si>
    <t>Turned PPC off. Lowered min to $30.95. Increased target to 11</t>
  </si>
  <si>
    <t>#399: 800 - 06/10/21</t>
  </si>
  <si>
    <t>Lowered min to $29.95. Scheduled at $29.99 a few days</t>
  </si>
  <si>
    <t xml:space="preserve"> | #399: 800 - 06/10/21</t>
  </si>
  <si>
    <t>Goal is improving profit, trimmed PPC</t>
  </si>
  <si>
    <t>#395: 800 - 06/09/21</t>
  </si>
  <si>
    <t>Goal is reducing DOH. Raised PPC. Lowered min to $24.95. Scheduled at $29.99 a few days. Raised target to 25</t>
  </si>
  <si>
    <t>Optimum price is $28.45. Per last week's pod meeting, I'm scheduling at $28.45 for a day and settting min and max to $26.45 and $38.45 respectively. Raised PPC</t>
  </si>
  <si>
    <t>min $28.95, ppc $15</t>
  </si>
  <si>
    <t>| S210718   - 150 units 09/17</t>
  </si>
  <si>
    <t>PL-PP-CHPRO2-REYE</t>
  </si>
  <si>
    <t>Turned PPC off. Raised min to $20.95</t>
  </si>
  <si>
    <t xml:space="preserve">
#315: 368 - 02/07/21
#311: 52 - 01/28/21</t>
  </si>
  <si>
    <t xml:space="preserve"> #315: 368 - 02/07/21 #311: 52 - 01/28/21</t>
  </si>
  <si>
    <t xml:space="preserve">:  -  #315;SW: 368 - 02/13/21 :  -  :  -  :  -  #311: 52 - 02/03/21 :  -  :  -  :  -  :  - :  -  :  -  :  -  :  -  :  -  :  -  :  -  :  -  :  - </t>
  </si>
  <si>
    <t>Turned PPC on. Created $3 off coupon</t>
  </si>
  <si>
    <t xml:space="preserve"> | #315;SW: 368 - 02/16/21 | #311: 52 - 02/11/21</t>
  </si>
  <si>
    <t xml:space="preserve"> | #315;SW: 368 - 02/20/21 | #311: 52 - 02/21/21</t>
  </si>
  <si>
    <t>Inactive (Out of Stock)</t>
  </si>
  <si>
    <t xml:space="preserve"> | #315;SW: 368 - 02/25/21 | #311: 52 - 02/19/21</t>
  </si>
  <si>
    <t xml:space="preserve"> | #315;SW: 368 - 02/25/21 | #311: 52 - 02/19/21 | #370;SW: 700 - TBD</t>
  </si>
  <si>
    <t xml:space="preserve"> | #315;SW: 368 - 02/25/21 | #370;SW: 700 - 05/05/21</t>
  </si>
  <si>
    <t xml:space="preserve"> | #370;SW: 700 - 05/05/21</t>
  </si>
  <si>
    <t>Added to Profit Peak. Turned PPC on</t>
  </si>
  <si>
    <t>Raised target to 5. Raised PPC</t>
  </si>
  <si>
    <t xml:space="preserve"> | #370;SW: 700 - 05/25/21</t>
  </si>
  <si>
    <t xml:space="preserve"> | #370;SW: 700 - 05/08/21</t>
  </si>
  <si>
    <t xml:space="preserve"> | #370;SW: 700 - 05/21/21</t>
  </si>
  <si>
    <t xml:space="preserve"> | #370: 700 - 05/21/21</t>
  </si>
  <si>
    <t>Optimum price is $27.16. Per last week's pod meeting, I'm scheduling at $27.10 for a day and settting min and max to $25.16 and $37.16 respectively. Raised PPC</t>
  </si>
  <si>
    <t>adjust offensice ads, trimmed ppc</t>
  </si>
  <si>
    <t>No Transit, But 232 At Factory 50-75 days from Earliest Arrival</t>
  </si>
  <si>
    <t>PL-PP-CHPRO2-YEBK</t>
  </si>
  <si>
    <t xml:space="preserve">
#311: 176 - 01/28/21</t>
  </si>
  <si>
    <t xml:space="preserve"> #311: 176 - 01/28/21</t>
  </si>
  <si>
    <t xml:space="preserve">:  -  :  -  :  -  :  -  :  -  #311: 176 - 02/03/21 :  -  :  -  :  -  :  - :  -  :  -  :  -  :  -  :  -  :  -  :  -  :  -  :  - </t>
  </si>
  <si>
    <t>relisted</t>
  </si>
  <si>
    <t xml:space="preserve"> | #311: 176 - 02/11/21</t>
  </si>
  <si>
    <t xml:space="preserve"> | #311: 176 - 02/21/21</t>
  </si>
  <si>
    <t xml:space="preserve"> | #311: 176 - 02/19/21 | #332: 80 - 03/14/21</t>
  </si>
  <si>
    <t xml:space="preserve"> | #311: 176 - 02/19/21 | #370;SW: 464 - TBD | #357: 188 - 04/01/21</t>
  </si>
  <si>
    <t>Turned on PP from $29.99 with target of 1</t>
  </si>
  <si>
    <t xml:space="preserve"> | #370;SW: 464 - 05/05/21 | #357: 188 - 04/15/21</t>
  </si>
  <si>
    <t>Raised min to $34.08</t>
  </si>
  <si>
    <t xml:space="preserve"> | #370;SW: 464 - 05/05/21 | #357: 188 - 04/21/21</t>
  </si>
  <si>
    <t xml:space="preserve"> | #370;SW: 464 - 05/25/21 | #357: 188 - 04/21/21</t>
  </si>
  <si>
    <t xml:space="preserve"> | #370;SW: 464 - 05/08/21 | #357: 188 - 04/21/21</t>
  </si>
  <si>
    <t xml:space="preserve"> | #370;SW: 464 - 05/08/21 | #357: 188 - 05/06/21 | #404: 400 - 06/07/21</t>
  </si>
  <si>
    <t xml:space="preserve"> | #370;SW: 464 - 05/08/21 | #357: 188 - 05/06/21 | #404: 400 - 06/14/21</t>
  </si>
  <si>
    <t xml:space="preserve"> | #370;SW: 464 - 05/21/21 | #357: 188 - 05/15/21 | #404: 400 - 05/22/21</t>
  </si>
  <si>
    <t xml:space="preserve"> | #370;SW: 464 - 05/21/21 | #357: 188 - 05/07/21 | #404: 400 - 06/13/21</t>
  </si>
  <si>
    <t>Increased target of 6</t>
  </si>
  <si>
    <t xml:space="preserve"> | #370;SW: 464 - 05/21/21 | #404: 400 - 06/13/21</t>
  </si>
  <si>
    <t xml:space="preserve"> | #370: 464 - 05/21/21 | #404: 400 - 06/25/21</t>
  </si>
  <si>
    <t>Goal is reducing DOH. Turned PPC on. Lowered min to $29.95. Raised target to 13</t>
  </si>
  <si>
    <t>Optimum price is $30.90. Per last week's pod meeting, I'm scheduling at $30.90 for a day and settting min and max to $28.9 and $40.9 respectively. Raised PPC</t>
  </si>
  <si>
    <t>Raised PPC to hit target velocity</t>
  </si>
  <si>
    <t>Trimmed PPC for wasted spend. Lowered min to $27.95</t>
  </si>
  <si>
    <t>trimmed ppc</t>
  </si>
  <si>
    <t>| S210718   - 120 units 09/17</t>
  </si>
  <si>
    <t>PL-PP-CHPRO2-YEBL</t>
  </si>
  <si>
    <t>Raised min to $24.18. Removed target</t>
  </si>
  <si>
    <t xml:space="preserve">
#315: 368 - 02/07/21
#311: 100 - 01/28/21</t>
  </si>
  <si>
    <t xml:space="preserve"> #315: 368 - 02/07/21 #311: 100 - 01/28/21</t>
  </si>
  <si>
    <t xml:space="preserve">:  -  #315;SW: 368 - 02/13/21 :  -  :  -  :  -  #311: 100 - 02/03/21 :  -  :  -  :  -  :  - :  -  :  -  :  -  :  -  :  -  :  -  :  -  :  -  :  - </t>
  </si>
  <si>
    <t xml:space="preserve"> | #315;SW: 368 - 02/16/21 | #311: 100 - 02/11/21</t>
  </si>
  <si>
    <t xml:space="preserve"> | #315;SW: 368 - 02/20/21 | #311: 100 - 02/21/21</t>
  </si>
  <si>
    <t xml:space="preserve"> | #315;SW: 368 - 02/25/21 | #311: 100 - 02/19/21</t>
  </si>
  <si>
    <t xml:space="preserve"> | #315;SW: 368 - 02/25/21 | #311: 100 - 02/19/21 | #370;SW: 632 - TBD</t>
  </si>
  <si>
    <t xml:space="preserve"> | #315;SW: 368 - 02/25/21 | #370;SW: 632 - 05/05/21</t>
  </si>
  <si>
    <t xml:space="preserve"> | #370;SW: 632 - 05/05/21</t>
  </si>
  <si>
    <t>Turned on PP from $29.95. Turned PPC on</t>
  </si>
  <si>
    <t>Raised target to 6. Optimized PPC</t>
  </si>
  <si>
    <t xml:space="preserve"> | #370;SW: 632 - 05/25/21</t>
  </si>
  <si>
    <t>Turned PPC off. Raised min to $38.44</t>
  </si>
  <si>
    <t xml:space="preserve"> | #370;SW: 632 - 05/08/21</t>
  </si>
  <si>
    <t>Lowered min to $34.95</t>
  </si>
  <si>
    <t xml:space="preserve"> | #370;SW: 632 - 05/21/21</t>
  </si>
  <si>
    <t>Turned PPC off. Lowered min to $30.95. Increased target to 7</t>
  </si>
  <si>
    <t>Lowered target to 6</t>
  </si>
  <si>
    <t xml:space="preserve"> | #370: 632 - 05/21/21</t>
  </si>
  <si>
    <t>Goal is improving profit. Raised min to $25.5</t>
  </si>
  <si>
    <t>Optimum price is $35.64. Per last week's pod meeting, I'm scheduling at $35.64 for a day and settting min and max to $33.64 and $45.64 respectively. Raised target to 10. Turned PPC on</t>
  </si>
  <si>
    <t>Lowered min to $31.95 to hit target velocity (velocity will slow starting next month)</t>
  </si>
  <si>
    <t>Lowered min to $29.95 to hit target velocity (velocity will slow starting next month). Scheduled at $29.99 for a day</t>
  </si>
  <si>
    <t>Raised min to $30.95</t>
  </si>
  <si>
    <t>continue with ppeak</t>
  </si>
  <si>
    <t>PL-PP-CHPRO2-YEGY</t>
  </si>
  <si>
    <t>Raised min to $21.98. Removed target</t>
  </si>
  <si>
    <t xml:space="preserve">
#311: 96 - 01/28/21</t>
  </si>
  <si>
    <t>Raised min to $29.95. Added target of 1</t>
  </si>
  <si>
    <t xml:space="preserve"> #311: 96 - 01/28/21 #321;SW: 184 - 03/01/21</t>
  </si>
  <si>
    <t xml:space="preserve">:  -  :  -  :  -  :  -  :  -  #311: 96 - 02/03/21 :  -  #321;SW: 184 - 03/01/21 :  -  :  - :  -  :  -  :  -  :  -  :  -  :  -  :  -  :  -  :  - </t>
  </si>
  <si>
    <t xml:space="preserve">:  -  :  -  :  -  :  -  :  -  #311: 96 - 02/03/21 :  -  #321;SW: 184 - 03/08/21 :  -  :  - :  -  :  -  :  -  :  -  :  -  :  -  :  -  :  -  :  - </t>
  </si>
  <si>
    <t xml:space="preserve"> | #311: 96 - 02/11/21 | #321;SW: 184 - 03/08/21</t>
  </si>
  <si>
    <t xml:space="preserve"> | #311: 96 - 02/21/21 | #321;SW: 184 - 03/20/21</t>
  </si>
  <si>
    <t xml:space="preserve"> | #311: 96 - 02/19/21 | #321;SW: 184 - 03/22/21 | #332: 80 - 03/14/21</t>
  </si>
  <si>
    <t xml:space="preserve"> | #311: 96 - 02/19/21 | #321;SW: 184 - 03/22/21 | #370;SW: 608 - TBD</t>
  </si>
  <si>
    <t>Lowered slightly to $29.99</t>
  </si>
  <si>
    <t xml:space="preserve"> | #321;SW: 184 - 03/24/21 | #370;SW: 608 - 05/05/21</t>
  </si>
  <si>
    <t>Created $2 off coupon</t>
  </si>
  <si>
    <t>#321;SW: 184 - 03/24/21 | #370;SW: 608 - 05/25/21</t>
  </si>
  <si>
    <t>Raised PPC slightly</t>
  </si>
  <si>
    <t>#321;SW: 184 - 03/24/21 | #370;SW: 608 - 05/08/21</t>
  </si>
  <si>
    <t>Increased target to 3</t>
  </si>
  <si>
    <t>#321;SW: 184 -  | #370;SW: 608 - 05/08/21</t>
  </si>
  <si>
    <t xml:space="preserve"> | #370;SW: 608 - 05/08/21</t>
  </si>
  <si>
    <t xml:space="preserve"> | #370;SW: 608 - 05/21/21</t>
  </si>
  <si>
    <t>Raised min to $31.95 and target to 9. Trimmed PPC</t>
  </si>
  <si>
    <t xml:space="preserve"> | #370: 608 - 05/21/21</t>
  </si>
  <si>
    <t>Goal is reducing DOH. Raised PPC. Lowered min to $24.95. Scheduled at $29.99 a few days. Raised target to 10</t>
  </si>
  <si>
    <t>Optimum price is $27.65. Per last week's pod meeting, I'm scheduling at $27.65 for a day and settting min and max to $25.65 and $37.65 respectively. Raised PPC</t>
  </si>
  <si>
    <t>Trimmed PPC for wasted spend. Created $2 off coupon</t>
  </si>
  <si>
    <t>Heavily trimmed PPC for wasted spend</t>
  </si>
  <si>
    <t>target 7, $26.99, trimmed ppc</t>
  </si>
  <si>
    <t>PL-BCL-CH-REBK</t>
  </si>
  <si>
    <t>At Factory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</si>
</sst>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0.000"/>
    <numFmt numFmtId="167" formatCode="_([$$-409]* #,##0.00_);_([$$-409]* \(#,##0.00\);_([$$-409]* &quot;-&quot;??_);_(@_)"/>
  </numFmts>
  <fonts count="9" x14ac:knownFonts="1">
    <font>
      <sz val="11"/>
      <color rgb="FF000000"/>
      <name val="Calibri"/>
    </font>
    <font>
      <sz val="11"/>
      <color theme="1"/>
      <name val="Calibri"/>
    </font>
    <font>
      <sz val="10"/>
      <color rgb="FF000000"/>
      <name val="Calibri"/>
    </font>
    <font>
      <b/>
      <sz val="12"/>
      <color rgb="FF000000"/>
      <name val="Calibri"/>
    </font>
    <font>
      <sz val="11"/>
      <name val="Calibri"/>
    </font>
    <font>
      <b/>
      <sz val="11"/>
      <color rgb="FF3F3F3F"/>
      <name val="Calibri"/>
    </font>
    <font>
      <b/>
      <sz val="11"/>
      <color rgb="FFF2F2F2"/>
      <name val="Calibri"/>
    </font>
    <font>
      <sz val="11"/>
      <color rgb="FF000000"/>
      <name val="Arial"/>
    </font>
    <font>
      <sz val="11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thick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3">
    <xf numFmtId="0" fontId="0" fillId="0" borderId="0" xfId="0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164" fontId="5" fillId="2" borderId="9" xfId="0" applyNumberFormat="1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44" fontId="5" fillId="2" borderId="9" xfId="0" applyNumberFormat="1" applyFont="1" applyFill="1" applyBorder="1" applyAlignment="1">
      <alignment horizontal="center" vertical="center" wrapText="1"/>
    </xf>
    <xf numFmtId="9" fontId="5" fillId="2" borderId="9" xfId="0" applyNumberFormat="1" applyFont="1" applyFill="1" applyBorder="1" applyAlignment="1">
      <alignment horizontal="center" vertical="center" wrapText="1"/>
    </xf>
    <xf numFmtId="9" fontId="5" fillId="2" borderId="9" xfId="0" applyNumberFormat="1" applyFont="1" applyFill="1" applyBorder="1" applyAlignment="1">
      <alignment horizontal="center" vertical="center"/>
    </xf>
    <xf numFmtId="165" fontId="5" fillId="2" borderId="9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/>
    </xf>
    <xf numFmtId="14" fontId="6" fillId="2" borderId="9" xfId="0" applyNumberFormat="1" applyFont="1" applyFill="1" applyBorder="1" applyAlignment="1">
      <alignment horizontal="center" vertical="center" wrapText="1"/>
    </xf>
    <xf numFmtId="2" fontId="5" fillId="2" borderId="9" xfId="0" applyNumberFormat="1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 wrapText="1"/>
    </xf>
    <xf numFmtId="44" fontId="5" fillId="2" borderId="9" xfId="0" applyNumberFormat="1" applyFont="1" applyFill="1" applyBorder="1" applyAlignment="1">
      <alignment horizontal="center" vertical="center"/>
    </xf>
    <xf numFmtId="0" fontId="0" fillId="0" borderId="0" xfId="0" applyFont="1"/>
    <xf numFmtId="164" fontId="1" fillId="2" borderId="11" xfId="0" applyNumberFormat="1" applyFont="1" applyFill="1" applyBorder="1" applyAlignment="1">
      <alignment horizontal="center" vertical="center" wrapText="1"/>
    </xf>
    <xf numFmtId="0" fontId="0" fillId="2" borderId="11" xfId="0" applyFont="1" applyFill="1" applyBorder="1" applyAlignment="1">
      <alignment horizontal="center"/>
    </xf>
    <xf numFmtId="44" fontId="0" fillId="2" borderId="11" xfId="0" applyNumberFormat="1" applyFont="1" applyFill="1" applyBorder="1" applyAlignment="1">
      <alignment horizontal="center"/>
    </xf>
    <xf numFmtId="9" fontId="0" fillId="2" borderId="11" xfId="0" applyNumberFormat="1" applyFont="1" applyFill="1" applyBorder="1" applyAlignment="1">
      <alignment horizontal="center"/>
    </xf>
    <xf numFmtId="165" fontId="0" fillId="2" borderId="11" xfId="0" applyNumberFormat="1" applyFont="1" applyFill="1" applyBorder="1" applyAlignment="1">
      <alignment horizontal="center"/>
    </xf>
    <xf numFmtId="2" fontId="0" fillId="2" borderId="11" xfId="0" applyNumberFormat="1" applyFont="1" applyFill="1" applyBorder="1" applyAlignment="1">
      <alignment horizontal="center"/>
    </xf>
    <xf numFmtId="2" fontId="0" fillId="0" borderId="0" xfId="0" applyNumberFormat="1" applyFont="1"/>
    <xf numFmtId="0" fontId="0" fillId="0" borderId="0" xfId="0" applyFont="1" applyAlignment="1">
      <alignment horizontal="right"/>
    </xf>
    <xf numFmtId="14" fontId="0" fillId="0" borderId="0" xfId="0" applyNumberFormat="1" applyFont="1" applyAlignment="1">
      <alignment horizontal="left"/>
    </xf>
    <xf numFmtId="9" fontId="0" fillId="0" borderId="0" xfId="0" applyNumberFormat="1" applyFont="1"/>
    <xf numFmtId="44" fontId="0" fillId="0" borderId="0" xfId="0" applyNumberFormat="1" applyFont="1"/>
    <xf numFmtId="44" fontId="0" fillId="0" borderId="0" xfId="0" applyNumberFormat="1" applyFont="1" applyAlignment="1">
      <alignment horizontal="center"/>
    </xf>
    <xf numFmtId="166" fontId="0" fillId="0" borderId="0" xfId="0" applyNumberFormat="1" applyFont="1"/>
    <xf numFmtId="0" fontId="1" fillId="0" borderId="0" xfId="0" applyFont="1"/>
    <xf numFmtId="0" fontId="1" fillId="2" borderId="11" xfId="0" applyFont="1" applyFill="1" applyBorder="1" applyAlignment="1">
      <alignment horizontal="center"/>
    </xf>
    <xf numFmtId="44" fontId="1" fillId="2" borderId="11" xfId="0" applyNumberFormat="1" applyFont="1" applyFill="1" applyBorder="1"/>
    <xf numFmtId="9" fontId="1" fillId="2" borderId="11" xfId="0" applyNumberFormat="1" applyFont="1" applyFill="1" applyBorder="1" applyAlignment="1">
      <alignment horizontal="center"/>
    </xf>
    <xf numFmtId="44" fontId="1" fillId="2" borderId="11" xfId="0" applyNumberFormat="1" applyFont="1" applyFill="1" applyBorder="1" applyAlignment="1">
      <alignment horizontal="center"/>
    </xf>
    <xf numFmtId="165" fontId="1" fillId="2" borderId="11" xfId="0" applyNumberFormat="1" applyFont="1" applyFill="1" applyBorder="1" applyAlignment="1">
      <alignment horizontal="center"/>
    </xf>
    <xf numFmtId="2" fontId="1" fillId="2" borderId="11" xfId="0" applyNumberFormat="1" applyFont="1" applyFill="1" applyBorder="1" applyAlignment="1">
      <alignment horizontal="center"/>
    </xf>
    <xf numFmtId="2" fontId="1" fillId="0" borderId="0" xfId="0" applyNumberFormat="1" applyFont="1"/>
    <xf numFmtId="0" fontId="1" fillId="0" borderId="0" xfId="0" applyFont="1" applyAlignment="1">
      <alignment horizontal="right"/>
    </xf>
    <xf numFmtId="14" fontId="1" fillId="0" borderId="0" xfId="0" applyNumberFormat="1" applyFont="1" applyAlignment="1">
      <alignment horizontal="left"/>
    </xf>
    <xf numFmtId="9" fontId="1" fillId="0" borderId="0" xfId="0" applyNumberFormat="1" applyFont="1"/>
    <xf numFmtId="44" fontId="1" fillId="0" borderId="0" xfId="0" applyNumberFormat="1" applyFont="1"/>
    <xf numFmtId="44" fontId="1" fillId="0" borderId="0" xfId="0" applyNumberFormat="1" applyFont="1" applyAlignment="1">
      <alignment horizontal="center"/>
    </xf>
    <xf numFmtId="166" fontId="1" fillId="0" borderId="0" xfId="0" applyNumberFormat="1" applyFont="1"/>
    <xf numFmtId="44" fontId="0" fillId="2" borderId="11" xfId="0" applyNumberFormat="1" applyFont="1" applyFill="1" applyBorder="1"/>
    <xf numFmtId="167" fontId="0" fillId="0" borderId="0" xfId="0" applyNumberFormat="1" applyFont="1"/>
    <xf numFmtId="164" fontId="0" fillId="2" borderId="11" xfId="0" applyNumberFormat="1" applyFont="1" applyFill="1" applyBorder="1" applyAlignment="1">
      <alignment horizontal="center"/>
    </xf>
    <xf numFmtId="0" fontId="0" fillId="2" borderId="11" xfId="0" applyFont="1" applyFill="1" applyBorder="1"/>
    <xf numFmtId="0" fontId="3" fillId="0" borderId="0" xfId="0" applyFont="1" applyAlignment="1">
      <alignment horizontal="center"/>
    </xf>
    <xf numFmtId="164" fontId="0" fillId="0" borderId="0" xfId="0" applyNumberFormat="1" applyFont="1"/>
    <xf numFmtId="44" fontId="7" fillId="0" borderId="0" xfId="0" applyNumberFormat="1" applyFont="1" applyAlignment="1"/>
    <xf numFmtId="164" fontId="8" fillId="2" borderId="11" xfId="0" applyNumberFormat="1" applyFont="1" applyFill="1" applyBorder="1" applyAlignment="1">
      <alignment horizontal="center" vertical="center" wrapText="1"/>
    </xf>
    <xf numFmtId="0" fontId="0" fillId="3" borderId="11" xfId="0" applyFont="1" applyFill="1" applyBorder="1" applyAlignment="1">
      <alignment horizontal="left"/>
    </xf>
    <xf numFmtId="0" fontId="0" fillId="4" borderId="11" xfId="0" applyFont="1" applyFill="1" applyBorder="1"/>
    <xf numFmtId="0" fontId="0" fillId="0" borderId="0" xfId="0" applyFont="1" applyAlignment="1">
      <alignment horizontal="left"/>
    </xf>
    <xf numFmtId="0" fontId="0" fillId="0" borderId="0" xfId="0" applyFont="1" applyAlignment="1"/>
    <xf numFmtId="164" fontId="0" fillId="2" borderId="1" xfId="0" applyNumberFormat="1" applyFont="1" applyFill="1" applyBorder="1" applyAlignment="1">
      <alignment horizontal="center" vertical="center" wrapText="1"/>
    </xf>
    <xf numFmtId="0" fontId="4" fillId="0" borderId="2" xfId="0" applyFont="1" applyBorder="1"/>
    <xf numFmtId="0" fontId="0" fillId="2" borderId="1" xfId="0" applyFont="1" applyFill="1" applyBorder="1" applyAlignment="1">
      <alignment horizontal="center" vertical="center" wrapText="1"/>
    </xf>
    <xf numFmtId="0" fontId="4" fillId="0" borderId="3" xfId="0" applyFont="1" applyBorder="1"/>
    <xf numFmtId="44" fontId="0" fillId="2" borderId="1" xfId="0" applyNumberFormat="1" applyFont="1" applyFill="1" applyBorder="1" applyAlignment="1">
      <alignment horizontal="center" vertical="center"/>
    </xf>
    <xf numFmtId="44" fontId="0" fillId="2" borderId="1" xfId="0" applyNumberFormat="1" applyFont="1" applyFill="1" applyBorder="1" applyAlignment="1">
      <alignment horizontal="center" vertical="center" wrapText="1"/>
    </xf>
    <xf numFmtId="0" fontId="4" fillId="0" borderId="4" xfId="0" applyFont="1" applyBorder="1"/>
    <xf numFmtId="0" fontId="5" fillId="2" borderId="7" xfId="0" applyFont="1" applyFill="1" applyBorder="1" applyAlignment="1">
      <alignment horizontal="left" vertical="center"/>
    </xf>
    <xf numFmtId="0" fontId="4" fillId="0" borderId="8" xfId="0" applyFont="1" applyBorder="1"/>
    <xf numFmtId="165" fontId="0" fillId="2" borderId="1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2" fontId="0" fillId="0" borderId="0" xfId="0" applyNumberFormat="1" applyFont="1" applyAlignment="1">
      <alignment horizontal="center" vertical="center" wrapText="1"/>
    </xf>
    <xf numFmtId="0" fontId="4" fillId="0" borderId="5" xfId="0" applyFont="1" applyBorder="1"/>
    <xf numFmtId="0" fontId="0" fillId="0" borderId="0" xfId="0" applyFont="1" applyAlignment="1">
      <alignment horizontal="center" vertical="center" wrapText="1"/>
    </xf>
    <xf numFmtId="0" fontId="4" fillId="0" borderId="6" xfId="0" applyFont="1" applyBorder="1"/>
    <xf numFmtId="0" fontId="1" fillId="0" borderId="0" xfId="0" applyFont="1" applyAlignment="1">
      <alignment horizontal="center" vertical="center" wrapText="1"/>
    </xf>
    <xf numFmtId="44" fontId="0" fillId="0" borderId="0" xfId="0" applyNumberFormat="1" applyFont="1" applyAlignment="1">
      <alignment horizontal="center" vertical="center" wrapText="1"/>
    </xf>
    <xf numFmtId="44" fontId="2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Baseball Bean Bags for Corn Hole Game - Regulation Size &amp; Weight - Red &amp; Blue Lacing")</f>
        <v>Corn Filled Cornhole Bags - Set of 8 Baseball Bean Bags for Corn Hole Game - Regulation Size &amp; Weight - Red &amp; Blue Lacing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Info!B1:BJ7000""),2,FALSE),"""")"),"B07ZTQ2DTR")</f>
        <v>B07ZTQ2DTR</v>
      </c>
      <c r="B2" s="3" t="s">
        <v>30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27.75" customHeight="1" x14ac:dyDescent="0.2">
      <c r="A3" s="62" t="s">
        <v>31</v>
      </c>
      <c r="B3" s="63"/>
      <c r="C3" s="4">
        <f>((AE32+AF32)/0.85)*-1</f>
        <v>16.998613239705882</v>
      </c>
      <c r="D3" s="5">
        <f>SUM(D4:D99765)</f>
        <v>12</v>
      </c>
      <c r="E3" s="5"/>
      <c r="F3" s="6">
        <f t="shared" ref="F3:G3" si="0">SUM(F4:F99765)</f>
        <v>239.88</v>
      </c>
      <c r="G3" s="6">
        <f t="shared" si="0"/>
        <v>0</v>
      </c>
      <c r="H3" s="7">
        <f>G3/F3*-1</f>
        <v>0</v>
      </c>
      <c r="I3" s="8">
        <f>J3/F3</f>
        <v>0.10743198267854989</v>
      </c>
      <c r="J3" s="6">
        <f>SUM(J4:J99765)</f>
        <v>25.770784004930547</v>
      </c>
      <c r="K3" s="6">
        <f>J3/D3</f>
        <v>2.1475653337442124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-4.7413609500694447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Info!B2:BZ7000""),36,FALSE)),"""")*-1"),-6.96882125375)</f>
        <v>-6.9688212537499998</v>
      </c>
      <c r="AG3" s="6">
        <f>SUM(AG4:AG99765)</f>
        <v>0</v>
      </c>
    </row>
    <row r="4" spans="1:33" ht="15.75" hidden="1" customHeight="1" x14ac:dyDescent="0.2">
      <c r="A4" s="15" t="s">
        <v>32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35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36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37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38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39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40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41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42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43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44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45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46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47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48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49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50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51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52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29" t="s">
        <v>53</v>
      </c>
      <c r="B25" s="15"/>
      <c r="C25" s="16"/>
      <c r="D25" s="30"/>
      <c r="E25" s="30"/>
      <c r="F25" s="33"/>
      <c r="G25" s="33"/>
      <c r="H25" s="32"/>
      <c r="I25" s="32"/>
      <c r="J25" s="33"/>
      <c r="K25" s="33"/>
      <c r="L25" s="30"/>
      <c r="M25" s="34"/>
      <c r="N25" s="30"/>
      <c r="O25" s="35"/>
      <c r="P25" s="35"/>
      <c r="Q25" s="30"/>
      <c r="R25" s="30"/>
      <c r="S25" s="36"/>
      <c r="T25" s="15"/>
      <c r="U25" s="23"/>
      <c r="V25" s="1"/>
      <c r="W25" s="15"/>
      <c r="X25" s="39"/>
      <c r="Y25" s="40"/>
      <c r="Z25" s="15"/>
      <c r="AA25" s="29"/>
      <c r="AB25" s="41"/>
      <c r="AC25" s="42"/>
      <c r="AD25" s="40"/>
      <c r="AE25" s="40"/>
      <c r="AF25" s="40"/>
      <c r="AG25" s="40"/>
    </row>
    <row r="26" spans="1:33" ht="15.75" hidden="1" customHeight="1" x14ac:dyDescent="0.2">
      <c r="A26" s="15" t="s">
        <v>54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15"/>
      <c r="U26" s="23"/>
      <c r="V26" s="1"/>
      <c r="W26" s="15"/>
      <c r="X26" s="39"/>
      <c r="Y26" s="40"/>
      <c r="Z26" s="15"/>
      <c r="AA26" s="29"/>
      <c r="AB26" s="41"/>
      <c r="AC26" s="42"/>
      <c r="AD26" s="40"/>
      <c r="AE26" s="26"/>
      <c r="AF26" s="26"/>
      <c r="AG26" s="26"/>
    </row>
    <row r="27" spans="1:33" ht="15.75" hidden="1" customHeight="1" x14ac:dyDescent="0.2">
      <c r="A27" s="15"/>
      <c r="B27" s="29"/>
      <c r="C27" s="16"/>
      <c r="D27" s="17"/>
      <c r="E27" s="17"/>
      <c r="F27" s="18"/>
      <c r="G27" s="18"/>
      <c r="H27" s="32"/>
      <c r="I27" s="32"/>
      <c r="J27" s="33"/>
      <c r="K27" s="33"/>
      <c r="L27" s="17"/>
      <c r="M27" s="34"/>
      <c r="N27" s="17"/>
      <c r="O27" s="35"/>
      <c r="P27" s="35"/>
      <c r="Q27" s="30"/>
      <c r="R27" s="30"/>
      <c r="S27" s="22"/>
      <c r="T27" s="15"/>
      <c r="U27" s="23"/>
      <c r="V27" s="1"/>
      <c r="W27" s="15"/>
      <c r="X27" s="39"/>
      <c r="Y27" s="40"/>
      <c r="Z27" s="15"/>
      <c r="AA27" s="29"/>
      <c r="AB27" s="41"/>
      <c r="AC27" s="42"/>
      <c r="AD27" s="40"/>
      <c r="AE27" s="26"/>
      <c r="AF27" s="26"/>
      <c r="AG27" s="26"/>
    </row>
    <row r="28" spans="1:33" ht="15.75" hidden="1" customHeight="1" x14ac:dyDescent="0.2">
      <c r="A28" s="15"/>
      <c r="B28" s="15"/>
      <c r="C28" s="16"/>
      <c r="D28" s="17"/>
      <c r="E28" s="17"/>
      <c r="F28" s="18"/>
      <c r="G28" s="18"/>
      <c r="H28" s="32"/>
      <c r="I28" s="32"/>
      <c r="J28" s="33"/>
      <c r="K28" s="33"/>
      <c r="L28" s="17"/>
      <c r="M28" s="34"/>
      <c r="N28" s="17"/>
      <c r="O28" s="35"/>
      <c r="P28" s="35"/>
      <c r="Q28" s="30"/>
      <c r="R28" s="30"/>
      <c r="S28" s="22"/>
      <c r="T28" s="15"/>
      <c r="U28" s="23"/>
      <c r="V28" s="1"/>
      <c r="W28" s="15"/>
      <c r="X28" s="39"/>
      <c r="Y28" s="40"/>
      <c r="Z28" s="15"/>
      <c r="AA28" s="29"/>
      <c r="AB28" s="41"/>
      <c r="AC28" s="42"/>
      <c r="AD28" s="40"/>
      <c r="AE28" s="26"/>
      <c r="AF28" s="26"/>
      <c r="AG28" s="26"/>
    </row>
    <row r="29" spans="1:33" ht="15.75" hidden="1" customHeight="1" x14ac:dyDescent="0.2">
      <c r="A29" s="15"/>
      <c r="B29" s="15"/>
      <c r="C29" s="16"/>
      <c r="D29" s="17"/>
      <c r="E29" s="17"/>
      <c r="F29" s="18"/>
      <c r="G29" s="18"/>
      <c r="H29" s="32"/>
      <c r="I29" s="32"/>
      <c r="J29" s="33"/>
      <c r="K29" s="33"/>
      <c r="L29" s="17"/>
      <c r="M29" s="34"/>
      <c r="N29" s="17"/>
      <c r="O29" s="35"/>
      <c r="P29" s="35"/>
      <c r="Q29" s="30"/>
      <c r="R29" s="30"/>
      <c r="S29" s="22"/>
      <c r="T29" s="15"/>
      <c r="U29" s="23"/>
      <c r="V29" s="1"/>
      <c r="W29" s="15"/>
      <c r="X29" s="39"/>
      <c r="Y29" s="40"/>
      <c r="Z29" s="15"/>
      <c r="AA29" s="29"/>
      <c r="AB29" s="41"/>
      <c r="AC29" s="42"/>
      <c r="AD29" s="40"/>
      <c r="AE29" s="26"/>
      <c r="AF29" s="26"/>
      <c r="AG29" s="26"/>
    </row>
    <row r="30" spans="1:33" ht="15.75" hidden="1" customHeight="1" x14ac:dyDescent="0.2">
      <c r="A30" s="15"/>
      <c r="B30" s="15"/>
      <c r="C30" s="16"/>
      <c r="D30" s="17"/>
      <c r="E30" s="17"/>
      <c r="F30" s="18"/>
      <c r="G30" s="18"/>
      <c r="H30" s="32"/>
      <c r="I30" s="32"/>
      <c r="J30" s="33"/>
      <c r="K30" s="33"/>
      <c r="L30" s="17"/>
      <c r="M30" s="34"/>
      <c r="N30" s="17"/>
      <c r="O30" s="35"/>
      <c r="P30" s="35"/>
      <c r="Q30" s="30"/>
      <c r="R30" s="30"/>
      <c r="S30" s="22"/>
      <c r="T30" s="29"/>
      <c r="U30" s="37"/>
      <c r="V30" s="38"/>
      <c r="W30" s="15"/>
      <c r="X30" s="39"/>
      <c r="Y30" s="40"/>
      <c r="Z30" s="15"/>
      <c r="AA30" s="29"/>
      <c r="AB30" s="41"/>
      <c r="AC30" s="42"/>
      <c r="AD30" s="40"/>
      <c r="AE30" s="26"/>
      <c r="AF30" s="26"/>
      <c r="AG30" s="26"/>
    </row>
    <row r="31" spans="1:33" ht="15.75" customHeight="1" x14ac:dyDescent="0.2">
      <c r="A31" s="15" t="s">
        <v>55</v>
      </c>
      <c r="B31" s="15"/>
      <c r="C31" s="16">
        <f t="shared" ref="C31:C32" si="1">IFERROR(F31/D31," - ")</f>
        <v>19.989999999999998</v>
      </c>
      <c r="D31" s="17">
        <v>1</v>
      </c>
      <c r="E31" s="17">
        <v>0</v>
      </c>
      <c r="F31" s="18">
        <v>19.989999999999998</v>
      </c>
      <c r="G31" s="43">
        <v>0</v>
      </c>
      <c r="H31" s="32">
        <f t="shared" ref="H31:H32" si="2">G31/F31*-1</f>
        <v>0</v>
      </c>
      <c r="I31" s="32">
        <f t="shared" ref="I31:I32" si="3">J31/F31</f>
        <v>0.10738462962731363</v>
      </c>
      <c r="J31" s="33">
        <f t="shared" ref="J31:J32" si="4">F31*0.85+G31+AF31*D31+D31*AE31+AG31+AD31</f>
        <v>2.1466187462499993</v>
      </c>
      <c r="K31" s="33">
        <f t="shared" ref="K31:K32" si="5">J31/D31</f>
        <v>2.1466187462499993</v>
      </c>
      <c r="L31" s="17">
        <v>20</v>
      </c>
      <c r="M31" s="34">
        <f t="shared" ref="M31:M32" si="6">IFERROR(D31/L31,"-")</f>
        <v>0.05</v>
      </c>
      <c r="N31" s="17">
        <v>119</v>
      </c>
      <c r="O31" s="35">
        <f t="shared" ref="O31:P31" si="7">D31/7</f>
        <v>0.14285714285714285</v>
      </c>
      <c r="P31" s="35">
        <f t="shared" si="7"/>
        <v>0</v>
      </c>
      <c r="Q31" s="30">
        <f t="shared" ref="Q31:Q32" si="8">ROUNDDOWN(N31/(O31+P31),0)</f>
        <v>833</v>
      </c>
      <c r="R31" s="30"/>
      <c r="S31" s="22">
        <v>0</v>
      </c>
      <c r="T31" s="15" t="s">
        <v>56</v>
      </c>
      <c r="U31" s="23" t="s">
        <v>56</v>
      </c>
      <c r="V31" s="1" t="s">
        <v>57</v>
      </c>
      <c r="W31" s="15">
        <v>0</v>
      </c>
      <c r="X31" s="39">
        <f t="shared" ref="X31:X32" si="9">IFERROR(W31/D31,0)</f>
        <v>0</v>
      </c>
      <c r="Y31" s="40">
        <f t="shared" ref="Y31:Y32" si="10">IFERROR(G31/(W31+Z31)*-1,0)</f>
        <v>0</v>
      </c>
      <c r="Z31" s="15">
        <v>0</v>
      </c>
      <c r="AA31" s="15" t="s">
        <v>58</v>
      </c>
      <c r="AB31" s="41">
        <f t="shared" ref="AB31:AB32" si="11">IF(OR(AA31="UsLargeStandardSize",AA31="UsSmallStandardSize"),-0.69,-0.48)</f>
        <v>-0.69</v>
      </c>
      <c r="AC31" s="28">
        <v>0.28699999999999998</v>
      </c>
      <c r="AD31" s="40">
        <f t="shared" ref="AD31:AD32" si="12">IFERROR(AB31*AC31*D31*2,0)</f>
        <v>-0.39605999999999991</v>
      </c>
      <c r="AE31" s="44">
        <v>-7.48</v>
      </c>
      <c r="AF31" s="44">
        <v>-6.9688212537499989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1"/>
        <v>19.989999999999998</v>
      </c>
      <c r="D32" s="17">
        <v>11</v>
      </c>
      <c r="E32" s="17">
        <v>0</v>
      </c>
      <c r="F32" s="18">
        <v>219.89</v>
      </c>
      <c r="G32" s="18">
        <v>0</v>
      </c>
      <c r="H32" s="32">
        <f t="shared" si="2"/>
        <v>0</v>
      </c>
      <c r="I32" s="32">
        <f t="shared" si="3"/>
        <v>0.10743628750138956</v>
      </c>
      <c r="J32" s="33">
        <f t="shared" si="4"/>
        <v>23.624165258680549</v>
      </c>
      <c r="K32" s="33">
        <f t="shared" si="5"/>
        <v>2.1476513871527771</v>
      </c>
      <c r="L32" s="17">
        <v>62</v>
      </c>
      <c r="M32" s="34">
        <f t="shared" si="6"/>
        <v>0.17741935483870969</v>
      </c>
      <c r="N32" s="17">
        <v>109</v>
      </c>
      <c r="O32" s="35">
        <f t="shared" ref="O32:P32" si="13">D32/7</f>
        <v>1.5714285714285714</v>
      </c>
      <c r="P32" s="35">
        <f t="shared" si="13"/>
        <v>0</v>
      </c>
      <c r="Q32" s="30">
        <f t="shared" si="8"/>
        <v>69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0.2857142857142857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0.2862517094907408</v>
      </c>
      <c r="AD32" s="40">
        <f t="shared" si="12"/>
        <v>-4.3453009500694444</v>
      </c>
      <c r="AE32" s="26">
        <v>-7.48</v>
      </c>
      <c r="AF32" s="26">
        <v>-6.9688212537499998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2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</row>
    <row r="225" spans="1:33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</row>
    <row r="226" spans="1:33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</row>
    <row r="227" spans="1:33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</row>
    <row r="228" spans="1:33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</row>
    <row r="229" spans="1:33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</row>
    <row r="230" spans="1:33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</row>
    <row r="231" spans="1:33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</row>
    <row r="232" spans="1:33" ht="15.75" customHeight="1" x14ac:dyDescent="0.2">
      <c r="R232" s="15"/>
    </row>
    <row r="233" spans="1:33" ht="15.75" customHeight="1" x14ac:dyDescent="0.2">
      <c r="R233" s="15"/>
    </row>
    <row r="234" spans="1:33" ht="15.75" customHeight="1" x14ac:dyDescent="0.2">
      <c r="R234" s="15"/>
    </row>
    <row r="235" spans="1:33" ht="15.75" customHeight="1" x14ac:dyDescent="0.2">
      <c r="R235" s="15"/>
    </row>
    <row r="236" spans="1:33" ht="15.75" customHeight="1" x14ac:dyDescent="0.2">
      <c r="R236" s="15"/>
    </row>
    <row r="237" spans="1:33" ht="15.75" customHeight="1" x14ac:dyDescent="0.2">
      <c r="R237" s="15"/>
    </row>
    <row r="238" spans="1:33" ht="15.75" customHeight="1" x14ac:dyDescent="0.2">
      <c r="R238" s="15"/>
    </row>
    <row r="239" spans="1:33" ht="15.75" customHeight="1" x14ac:dyDescent="0.2">
      <c r="R239" s="15"/>
    </row>
    <row r="240" spans="1:33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Corn Hole Game Bean Bags for Wedding - Regulation Size &amp; Weight - Team Bride vs Team Groom")</f>
        <v>Corn Filled Cornhole Bags - Set of 8 Corn Hole Game Bean Bags for Wedding - Regulation Size &amp; Weight - Team Bride vs Team Groom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Info!B1:BJ7000""),2,FALSE),"""")"),"B07ZTPW7VG")</f>
        <v>B07ZTPW7VG</v>
      </c>
      <c r="B2" s="3" t="s">
        <v>60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27.75" customHeight="1" x14ac:dyDescent="0.2">
      <c r="A3" s="62" t="s">
        <v>31</v>
      </c>
      <c r="B3" s="63"/>
      <c r="C3" s="4">
        <f>((AE32+AF32)/0.85)*-1</f>
        <v>16.645672063235295</v>
      </c>
      <c r="D3" s="5">
        <f>SUM(D4:D99765)</f>
        <v>34</v>
      </c>
      <c r="E3" s="5"/>
      <c r="F3" s="6">
        <f t="shared" ref="F3:G3" si="0">SUM(F4:F99765)</f>
        <v>679.65999999999985</v>
      </c>
      <c r="G3" s="6">
        <f t="shared" si="0"/>
        <v>0</v>
      </c>
      <c r="H3" s="7">
        <f>G3/F3*-1</f>
        <v>0</v>
      </c>
      <c r="I3" s="8">
        <f>J3/F3</f>
        <v>0.12156730003216468</v>
      </c>
      <c r="J3" s="6">
        <f>SUM(J4:J99765)</f>
        <v>82.624431139861031</v>
      </c>
      <c r="K3" s="6">
        <f>J3/D3</f>
        <v>2.4301303276429715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-14.026646232638889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Info!B2:BZ7000""),36,FALSE)),"""")*-1"),-6.96882125375)</f>
        <v>-6.9688212537499998</v>
      </c>
      <c r="AG3" s="6">
        <f>SUM(AG4:AG99765)</f>
        <v>0</v>
      </c>
    </row>
    <row r="4" spans="1:33" ht="15.75" hidden="1" customHeight="1" x14ac:dyDescent="0.2">
      <c r="A4" s="15" t="s">
        <v>32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35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36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37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38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39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40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41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42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43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44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45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46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47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48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49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50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51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52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29" t="s">
        <v>53</v>
      </c>
      <c r="B25" s="15"/>
      <c r="C25" s="16"/>
      <c r="D25" s="30"/>
      <c r="E25" s="30"/>
      <c r="F25" s="33"/>
      <c r="G25" s="33"/>
      <c r="H25" s="32"/>
      <c r="I25" s="32"/>
      <c r="J25" s="33"/>
      <c r="K25" s="33"/>
      <c r="L25" s="30"/>
      <c r="M25" s="34"/>
      <c r="N25" s="30"/>
      <c r="O25" s="35"/>
      <c r="P25" s="35"/>
      <c r="Q25" s="30"/>
      <c r="R25" s="30"/>
      <c r="S25" s="36"/>
      <c r="T25" s="15"/>
      <c r="U25" s="23"/>
      <c r="V25" s="1"/>
      <c r="W25" s="15"/>
      <c r="X25" s="39"/>
      <c r="Y25" s="40"/>
      <c r="Z25" s="15"/>
      <c r="AA25" s="29"/>
      <c r="AB25" s="41"/>
      <c r="AC25" s="42"/>
      <c r="AD25" s="40"/>
      <c r="AE25" s="40"/>
      <c r="AF25" s="40"/>
      <c r="AG25" s="40"/>
    </row>
    <row r="26" spans="1:33" ht="15.75" hidden="1" customHeight="1" x14ac:dyDescent="0.2">
      <c r="A26" s="15" t="s">
        <v>54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15"/>
      <c r="U26" s="23"/>
      <c r="V26" s="1"/>
      <c r="W26" s="15"/>
      <c r="X26" s="39"/>
      <c r="Y26" s="40"/>
      <c r="Z26" s="15"/>
      <c r="AA26" s="29"/>
      <c r="AB26" s="41"/>
      <c r="AC26" s="42"/>
      <c r="AD26" s="40"/>
      <c r="AE26" s="26"/>
      <c r="AF26" s="26"/>
      <c r="AG26" s="26"/>
    </row>
    <row r="27" spans="1:33" ht="15.75" hidden="1" customHeight="1" x14ac:dyDescent="0.2">
      <c r="A27" s="15"/>
      <c r="B27" s="29"/>
      <c r="C27" s="16"/>
      <c r="D27" s="17"/>
      <c r="E27" s="17"/>
      <c r="F27" s="18"/>
      <c r="G27" s="18"/>
      <c r="H27" s="32"/>
      <c r="I27" s="32"/>
      <c r="J27" s="33"/>
      <c r="K27" s="33"/>
      <c r="L27" s="17"/>
      <c r="M27" s="34"/>
      <c r="N27" s="17"/>
      <c r="O27" s="35"/>
      <c r="P27" s="35"/>
      <c r="Q27" s="30"/>
      <c r="R27" s="30"/>
      <c r="S27" s="22"/>
      <c r="T27" s="15"/>
      <c r="U27" s="23"/>
      <c r="V27" s="1"/>
      <c r="W27" s="15"/>
      <c r="X27" s="39"/>
      <c r="Y27" s="40"/>
      <c r="Z27" s="15"/>
      <c r="AA27" s="29"/>
      <c r="AB27" s="41"/>
      <c r="AC27" s="42"/>
      <c r="AD27" s="40"/>
      <c r="AE27" s="26"/>
      <c r="AF27" s="26"/>
      <c r="AG27" s="26"/>
    </row>
    <row r="28" spans="1:33" ht="15.75" hidden="1" customHeight="1" x14ac:dyDescent="0.2">
      <c r="A28" s="15"/>
      <c r="B28" s="15"/>
      <c r="C28" s="16"/>
      <c r="D28" s="17"/>
      <c r="E28" s="17"/>
      <c r="F28" s="18"/>
      <c r="G28" s="18"/>
      <c r="H28" s="32"/>
      <c r="I28" s="32"/>
      <c r="J28" s="33"/>
      <c r="K28" s="33"/>
      <c r="L28" s="17"/>
      <c r="M28" s="34"/>
      <c r="N28" s="17"/>
      <c r="O28" s="35"/>
      <c r="P28" s="35"/>
      <c r="Q28" s="30"/>
      <c r="R28" s="30"/>
      <c r="S28" s="22"/>
      <c r="T28" s="15"/>
      <c r="U28" s="23"/>
      <c r="V28" s="1"/>
      <c r="W28" s="15"/>
      <c r="X28" s="39"/>
      <c r="Y28" s="40"/>
      <c r="Z28" s="15"/>
      <c r="AA28" s="29"/>
      <c r="AB28" s="41"/>
      <c r="AC28" s="42"/>
      <c r="AD28" s="40"/>
      <c r="AE28" s="26"/>
      <c r="AF28" s="26"/>
      <c r="AG28" s="26"/>
    </row>
    <row r="29" spans="1:33" ht="15.75" hidden="1" customHeight="1" x14ac:dyDescent="0.2">
      <c r="A29" s="15"/>
      <c r="B29" s="15"/>
      <c r="C29" s="16"/>
      <c r="D29" s="17"/>
      <c r="E29" s="17"/>
      <c r="F29" s="18"/>
      <c r="G29" s="18"/>
      <c r="H29" s="32"/>
      <c r="I29" s="32"/>
      <c r="J29" s="33"/>
      <c r="K29" s="33"/>
      <c r="L29" s="17"/>
      <c r="M29" s="34"/>
      <c r="N29" s="17"/>
      <c r="O29" s="35"/>
      <c r="P29" s="35"/>
      <c r="Q29" s="30"/>
      <c r="R29" s="30"/>
      <c r="S29" s="22"/>
      <c r="T29" s="15"/>
      <c r="U29" s="23"/>
      <c r="V29" s="1"/>
      <c r="W29" s="15"/>
      <c r="X29" s="39"/>
      <c r="Y29" s="40"/>
      <c r="Z29" s="15"/>
      <c r="AA29" s="29"/>
      <c r="AB29" s="41"/>
      <c r="AC29" s="42"/>
      <c r="AD29" s="40"/>
      <c r="AE29" s="26"/>
      <c r="AF29" s="26"/>
      <c r="AG29" s="26"/>
    </row>
    <row r="30" spans="1:33" ht="15.75" hidden="1" customHeight="1" x14ac:dyDescent="0.2">
      <c r="A30" s="15"/>
      <c r="B30" s="15"/>
      <c r="C30" s="16"/>
      <c r="D30" s="17"/>
      <c r="E30" s="17"/>
      <c r="F30" s="18"/>
      <c r="G30" s="18"/>
      <c r="H30" s="32"/>
      <c r="I30" s="32"/>
      <c r="J30" s="33"/>
      <c r="K30" s="33"/>
      <c r="L30" s="17"/>
      <c r="M30" s="34"/>
      <c r="N30" s="17"/>
      <c r="O30" s="35"/>
      <c r="P30" s="35"/>
      <c r="Q30" s="30"/>
      <c r="R30" s="30"/>
      <c r="S30" s="22"/>
      <c r="T30" s="29"/>
      <c r="U30" s="37"/>
      <c r="V30" s="38"/>
      <c r="W30" s="15"/>
      <c r="X30" s="39"/>
      <c r="Y30" s="40"/>
      <c r="Z30" s="15"/>
      <c r="AA30" s="29"/>
      <c r="AB30" s="41"/>
      <c r="AC30" s="42"/>
      <c r="AD30" s="40"/>
      <c r="AE30" s="26"/>
      <c r="AF30" s="26"/>
      <c r="AG30" s="26"/>
    </row>
    <row r="31" spans="1:33" ht="15.75" customHeight="1" x14ac:dyDescent="0.2">
      <c r="A31" s="15" t="s">
        <v>55</v>
      </c>
      <c r="B31" s="15"/>
      <c r="C31" s="16">
        <f t="shared" ref="C31:C32" si="1">IFERROR(F31/D31," - ")</f>
        <v>19.989999999999998</v>
      </c>
      <c r="D31" s="17">
        <v>9</v>
      </c>
      <c r="E31" s="17">
        <v>0</v>
      </c>
      <c r="F31" s="18">
        <v>179.91</v>
      </c>
      <c r="G31" s="43">
        <v>0</v>
      </c>
      <c r="H31" s="32">
        <f t="shared" ref="H31:H32" si="2">G31/F31*-1</f>
        <v>0</v>
      </c>
      <c r="I31" s="32">
        <f t="shared" ref="I31:I32" si="3">J31/F31</f>
        <v>0.12156371917208604</v>
      </c>
      <c r="J31" s="33">
        <f t="shared" ref="J31:J32" si="4">F31*0.85+G31+AF31*D31+D31*AE31+AG31+AD31</f>
        <v>21.87052871625</v>
      </c>
      <c r="K31" s="33">
        <f t="shared" ref="K31:K32" si="5">J31/D31</f>
        <v>2.4300587462499998</v>
      </c>
      <c r="L31" s="17">
        <v>10</v>
      </c>
      <c r="M31" s="34">
        <f t="shared" ref="M31:M32" si="6">IFERROR(D31/L31,"-")</f>
        <v>0.9</v>
      </c>
      <c r="N31" s="17">
        <v>95</v>
      </c>
      <c r="O31" s="35">
        <f t="shared" ref="O31:P31" si="7">D31/7</f>
        <v>1.2857142857142858</v>
      </c>
      <c r="P31" s="35">
        <f t="shared" si="7"/>
        <v>0</v>
      </c>
      <c r="Q31" s="30">
        <f t="shared" ref="Q31:Q32" si="8">ROUNDDOWN(N31/(O31+P31),0)</f>
        <v>73</v>
      </c>
      <c r="R31" s="30"/>
      <c r="S31" s="22">
        <v>0</v>
      </c>
      <c r="T31" s="15" t="s">
        <v>56</v>
      </c>
      <c r="U31" s="23" t="s">
        <v>56</v>
      </c>
      <c r="V31" s="1" t="s">
        <v>57</v>
      </c>
      <c r="W31" s="15">
        <v>0</v>
      </c>
      <c r="X31" s="39">
        <f t="shared" ref="X31:X32" si="9">IFERROR(W31/D31,0)</f>
        <v>0</v>
      </c>
      <c r="Y31" s="40">
        <f t="shared" ref="Y31:Y32" si="10">IFERROR(G31/(W31+Z31)*-1,0)</f>
        <v>0</v>
      </c>
      <c r="Z31" s="15">
        <v>0</v>
      </c>
      <c r="AA31" s="15" t="s">
        <v>58</v>
      </c>
      <c r="AB31" s="41">
        <f t="shared" ref="AB31:AB32" si="11">IF(OR(AA31="UsLargeStandardSize",AA31="UsSmallStandardSize"),-0.69,-0.48)</f>
        <v>-0.69</v>
      </c>
      <c r="AC31" s="28">
        <v>0.29899999999999999</v>
      </c>
      <c r="AD31" s="40">
        <f t="shared" ref="AD31:AD32" si="12">IFERROR(AB31*AC31*D31*2,0)</f>
        <v>-3.7135799999999994</v>
      </c>
      <c r="AE31" s="44">
        <v>-7.18</v>
      </c>
      <c r="AF31" s="44">
        <v>-6.9688212537499989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1"/>
        <v>19.989999999999995</v>
      </c>
      <c r="D32" s="17">
        <v>25</v>
      </c>
      <c r="E32" s="17">
        <v>0</v>
      </c>
      <c r="F32" s="18">
        <v>499.74999999999989</v>
      </c>
      <c r="G32" s="18">
        <v>0</v>
      </c>
      <c r="H32" s="32">
        <f t="shared" si="2"/>
        <v>0</v>
      </c>
      <c r="I32" s="32">
        <f t="shared" si="3"/>
        <v>0.12156858914179297</v>
      </c>
      <c r="J32" s="33">
        <f t="shared" si="4"/>
        <v>60.753902423611024</v>
      </c>
      <c r="K32" s="33">
        <f t="shared" si="5"/>
        <v>2.4301560969444411</v>
      </c>
      <c r="L32" s="17">
        <v>43</v>
      </c>
      <c r="M32" s="34">
        <f t="shared" si="6"/>
        <v>0.58139534883720934</v>
      </c>
      <c r="N32" s="17">
        <v>64</v>
      </c>
      <c r="O32" s="35">
        <f t="shared" ref="O32:P32" si="13">D32/7</f>
        <v>3.5714285714285716</v>
      </c>
      <c r="P32" s="35">
        <f t="shared" si="13"/>
        <v>0</v>
      </c>
      <c r="Q32" s="30">
        <f t="shared" si="8"/>
        <v>17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1.485714285714286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0.29892945601851856</v>
      </c>
      <c r="AD32" s="40">
        <f t="shared" si="12"/>
        <v>-10.31306623263889</v>
      </c>
      <c r="AE32" s="26">
        <v>-7.18</v>
      </c>
      <c r="AF32" s="26">
        <v>-6.9688212537499998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2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</row>
    <row r="225" spans="1:33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</row>
    <row r="226" spans="1:33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</row>
    <row r="227" spans="1:33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</row>
    <row r="228" spans="1:33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</row>
    <row r="229" spans="1:33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</row>
    <row r="230" spans="1:33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</row>
    <row r="231" spans="1:33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</row>
    <row r="232" spans="1:33" ht="15.75" customHeight="1" x14ac:dyDescent="0.2">
      <c r="R232" s="15"/>
    </row>
    <row r="233" spans="1:33" ht="15.75" customHeight="1" x14ac:dyDescent="0.2">
      <c r="R233" s="15"/>
    </row>
    <row r="234" spans="1:33" ht="15.75" customHeight="1" x14ac:dyDescent="0.2">
      <c r="R234" s="15"/>
    </row>
    <row r="235" spans="1:33" ht="15.75" customHeight="1" x14ac:dyDescent="0.2">
      <c r="R235" s="15"/>
    </row>
    <row r="236" spans="1:33" ht="15.75" customHeight="1" x14ac:dyDescent="0.2">
      <c r="R236" s="15"/>
    </row>
    <row r="237" spans="1:33" ht="15.75" customHeight="1" x14ac:dyDescent="0.2">
      <c r="R237" s="15"/>
    </row>
    <row r="238" spans="1:33" ht="15.75" customHeight="1" x14ac:dyDescent="0.2">
      <c r="R238" s="15"/>
    </row>
    <row r="239" spans="1:33" ht="15.75" customHeight="1" x14ac:dyDescent="0.2">
      <c r="R239" s="15"/>
    </row>
    <row r="240" spans="1:33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Betsy Ross Vintage American Flag Bean Bags for Corn Hole Game - Regulation Size &amp; Weight")</f>
        <v>Corn Filled Cornhole Bags - Set of 8 Betsy Ross Vintage American Flag Bean Bags for Corn Hole Game - Regulation Size &amp; Weight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Info!B1:BJ7000""),2,FALSE),"""")"),"B07ZTQ1G2W")</f>
        <v>B07ZTQ1G2W</v>
      </c>
      <c r="B2" s="47" t="s">
        <v>61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16.374136769117648</v>
      </c>
      <c r="D3" s="5">
        <f>SUM(D4:D99765)</f>
        <v>34</v>
      </c>
      <c r="E3" s="5"/>
      <c r="F3" s="6">
        <f t="shared" ref="F3:G3" si="0">SUM(F4:F99765)</f>
        <v>679.66</v>
      </c>
      <c r="G3" s="6">
        <f t="shared" si="0"/>
        <v>-98.360000000000014</v>
      </c>
      <c r="H3" s="7">
        <f t="shared" ref="H3:H32" si="1">G3/F3*-1</f>
        <v>0.14471941853279582</v>
      </c>
      <c r="I3" s="8">
        <f t="shared" ref="I3:I32" si="2">J3/F3</f>
        <v>-9.3315482965134686E-3</v>
      </c>
      <c r="J3" s="6">
        <f>SUM(J4:J99765)</f>
        <v>-6.3422801152083439</v>
      </c>
      <c r="K3" s="6">
        <f t="shared" ref="K3:K32" si="3">J3/D3</f>
        <v>-0.18653765044730422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1.5 - April
8 - May
12 - June
11 - July
5.5 - Aug
4 - Sept
2 - Oct
0 - Nov
0 - Dec
0.1 - Jan
0.1 - Feb")</f>
        <v>1 - March
1.5 - April
8 - May
12 - June
11 - July
5.5 - Aug
4 - Sept
2 -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QTY-3")</f>
        <v>Del QTY-3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12</v>
      </c>
      <c r="X3" s="7">
        <f>W3/D3</f>
        <v>0.35294117647058826</v>
      </c>
      <c r="Y3" s="6"/>
      <c r="Z3" s="5"/>
      <c r="AA3" s="5"/>
      <c r="AB3" s="5"/>
      <c r="AC3" s="5"/>
      <c r="AD3" s="6">
        <f>SUM(AD4:AD99765)</f>
        <v>-10.800727487708333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600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-5.5571024358974359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560</v>
      </c>
      <c r="U5" s="37" t="s">
        <v>56</v>
      </c>
      <c r="V5" s="38" t="s">
        <v>56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560</v>
      </c>
      <c r="U6" s="37" t="s">
        <v>56</v>
      </c>
      <c r="V6" s="38" t="s">
        <v>63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560</v>
      </c>
      <c r="U7" s="37" t="s">
        <v>56</v>
      </c>
      <c r="V7" s="38" t="s">
        <v>63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560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560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600</v>
      </c>
      <c r="U10" s="37">
        <v>40</v>
      </c>
      <c r="V10" s="38" t="s">
        <v>64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1120</v>
      </c>
      <c r="U11" s="37" t="s">
        <v>56</v>
      </c>
      <c r="V11" s="38" t="s">
        <v>65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560</v>
      </c>
      <c r="U12" s="37">
        <v>560</v>
      </c>
      <c r="V12" s="38" t="s">
        <v>66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560</v>
      </c>
      <c r="U13" s="37">
        <v>560</v>
      </c>
      <c r="V13" s="38" t="s">
        <v>67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560</v>
      </c>
      <c r="U14" s="37">
        <v>560</v>
      </c>
      <c r="V14" s="38" t="s">
        <v>67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560</v>
      </c>
      <c r="U15" s="37">
        <v>560</v>
      </c>
      <c r="V15" s="38" t="s">
        <v>67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560</v>
      </c>
      <c r="U16" s="37">
        <v>560</v>
      </c>
      <c r="V16" s="38" t="s">
        <v>67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-7.4806850000000003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560</v>
      </c>
      <c r="U17" s="37">
        <v>560</v>
      </c>
      <c r="V17" s="38" t="s">
        <v>67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-7.4806850000000003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1108</v>
      </c>
      <c r="U18" s="37">
        <v>560</v>
      </c>
      <c r="V18" s="38" t="s">
        <v>68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-7.4806850000000003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1108</v>
      </c>
      <c r="U19" s="37">
        <v>560</v>
      </c>
      <c r="V19" s="38" t="s">
        <v>69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-7.4806850000000003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1108</v>
      </c>
      <c r="U20" s="37">
        <v>560</v>
      </c>
      <c r="V20" s="38" t="s">
        <v>69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-7.4806850000000003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1108</v>
      </c>
      <c r="U21" s="37">
        <v>560</v>
      </c>
      <c r="V21" s="38" t="s">
        <v>70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-7.4806850000000003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1108</v>
      </c>
      <c r="U22" s="37">
        <v>560</v>
      </c>
      <c r="V22" s="38" t="s">
        <v>71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-7.4806850000000003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1108</v>
      </c>
      <c r="U23" s="37">
        <v>560</v>
      </c>
      <c r="V23" s="38" t="s">
        <v>72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-7.4806850000000003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1108</v>
      </c>
      <c r="U24" s="37">
        <v>560</v>
      </c>
      <c r="V24" s="38" t="s">
        <v>72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58</v>
      </c>
      <c r="AB24" s="41">
        <f t="shared" si="11"/>
        <v>-0.69</v>
      </c>
      <c r="AC24" s="28">
        <v>0.23019453298611112</v>
      </c>
      <c r="AD24" s="40">
        <f t="shared" si="12"/>
        <v>0</v>
      </c>
      <c r="AE24" s="26">
        <v>-7.32</v>
      </c>
      <c r="AF24" s="40">
        <v>-7.4806850000000003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0.23019453298611112</v>
      </c>
      <c r="AD25" s="40">
        <f t="shared" si="12"/>
        <v>0</v>
      </c>
      <c r="AE25" s="40">
        <v>-7.32</v>
      </c>
      <c r="AF25" s="40">
        <v>-7.48</v>
      </c>
      <c r="AG25" s="40">
        <v>0</v>
      </c>
    </row>
    <row r="26" spans="1:33" ht="15.75" customHeight="1" x14ac:dyDescent="0.2">
      <c r="A26" s="15" t="s">
        <v>54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1108</v>
      </c>
      <c r="U26" s="23">
        <v>560</v>
      </c>
      <c r="V26" s="1" t="s">
        <v>73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0.23019453298611112</v>
      </c>
      <c r="AD26" s="40">
        <f t="shared" si="12"/>
        <v>0</v>
      </c>
      <c r="AE26" s="26">
        <v>-7.32</v>
      </c>
      <c r="AF26" s="26">
        <v>-7.4806850000000003</v>
      </c>
      <c r="AG26" s="26">
        <v>0</v>
      </c>
    </row>
    <row r="27" spans="1:33" ht="15.75" customHeight="1" x14ac:dyDescent="0.2">
      <c r="A27" s="15" t="s">
        <v>74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15">
        <v>1108</v>
      </c>
      <c r="U27" s="23">
        <v>560</v>
      </c>
      <c r="V27" s="1" t="s">
        <v>73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0.23019453298611112</v>
      </c>
      <c r="AD27" s="40">
        <f t="shared" si="12"/>
        <v>0</v>
      </c>
      <c r="AE27" s="26">
        <v>-7.32</v>
      </c>
      <c r="AF27" s="26">
        <v>-7.4806850000000003</v>
      </c>
      <c r="AG27" s="26">
        <v>0</v>
      </c>
    </row>
    <row r="28" spans="1:33" ht="15.75" customHeight="1" x14ac:dyDescent="0.2">
      <c r="A28" s="15" t="s">
        <v>75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>
        <v>1108</v>
      </c>
      <c r="U28" s="23">
        <v>560</v>
      </c>
      <c r="V28" s="1" t="s">
        <v>76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0.23019453298611112</v>
      </c>
      <c r="AD28" s="40">
        <f t="shared" si="12"/>
        <v>0</v>
      </c>
      <c r="AE28" s="26">
        <v>-7.32</v>
      </c>
      <c r="AF28" s="26">
        <v>-7.4806850000000003</v>
      </c>
      <c r="AG28" s="26">
        <v>0</v>
      </c>
    </row>
    <row r="29" spans="1:33" ht="15.75" customHeight="1" x14ac:dyDescent="0.2">
      <c r="A29" s="15" t="s">
        <v>77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1108</v>
      </c>
      <c r="U29" s="23">
        <v>560</v>
      </c>
      <c r="V29" s="1" t="s">
        <v>76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0.23019453298611112</v>
      </c>
      <c r="AD29" s="40">
        <f t="shared" si="12"/>
        <v>0</v>
      </c>
      <c r="AE29" s="26">
        <v>-7.32</v>
      </c>
      <c r="AF29" s="26">
        <v>-7.4806850000000003</v>
      </c>
      <c r="AG29" s="26">
        <v>0</v>
      </c>
    </row>
    <row r="30" spans="1:33" ht="15.75" customHeight="1" x14ac:dyDescent="0.2">
      <c r="A30" s="15" t="s">
        <v>78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548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0.23019453298611112</v>
      </c>
      <c r="AD30" s="40">
        <f t="shared" si="12"/>
        <v>0</v>
      </c>
      <c r="AE30" s="26">
        <v>-7.32</v>
      </c>
      <c r="AF30" s="26">
        <v>-6.7380162537499997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4"/>
        <v>19.990000000000002</v>
      </c>
      <c r="D31" s="17">
        <v>12</v>
      </c>
      <c r="E31" s="17">
        <v>1</v>
      </c>
      <c r="F31" s="18">
        <v>239.88000000000002</v>
      </c>
      <c r="G31" s="43">
        <v>-41.9</v>
      </c>
      <c r="H31" s="32">
        <f t="shared" si="1"/>
        <v>0.17467066866766714</v>
      </c>
      <c r="I31" s="32">
        <f t="shared" si="2"/>
        <v>-4.3814476034892344E-2</v>
      </c>
      <c r="J31" s="33">
        <f t="shared" si="5"/>
        <v>-10.510216511249977</v>
      </c>
      <c r="K31" s="33">
        <f t="shared" si="3"/>
        <v>-0.87585137593749807</v>
      </c>
      <c r="L31" s="17">
        <v>39</v>
      </c>
      <c r="M31" s="34">
        <f t="shared" si="6"/>
        <v>0.30769230769230771</v>
      </c>
      <c r="N31" s="17">
        <v>549</v>
      </c>
      <c r="O31" s="35">
        <f t="shared" ref="O31:P31" si="39">D31/7</f>
        <v>1.7142857142857142</v>
      </c>
      <c r="P31" s="35">
        <f t="shared" si="39"/>
        <v>0.14285714285714285</v>
      </c>
      <c r="Q31" s="30">
        <f t="shared" si="8"/>
        <v>295</v>
      </c>
      <c r="R31" s="30"/>
      <c r="S31" s="22">
        <v>0</v>
      </c>
      <c r="T31" s="15">
        <v>548</v>
      </c>
      <c r="U31" s="23" t="s">
        <v>56</v>
      </c>
      <c r="V31" s="1" t="s">
        <v>79</v>
      </c>
      <c r="W31" s="15">
        <v>5</v>
      </c>
      <c r="X31" s="39">
        <f t="shared" si="9"/>
        <v>0.41666666666666669</v>
      </c>
      <c r="Y31" s="40">
        <f t="shared" si="10"/>
        <v>4.1899999999999995</v>
      </c>
      <c r="Z31" s="15">
        <v>5</v>
      </c>
      <c r="AA31" s="15" t="s">
        <v>58</v>
      </c>
      <c r="AB31" s="41">
        <f t="shared" si="11"/>
        <v>-0.69</v>
      </c>
      <c r="AC31" s="28">
        <v>0.23019453298611112</v>
      </c>
      <c r="AD31" s="40">
        <f t="shared" si="12"/>
        <v>-3.81202146625</v>
      </c>
      <c r="AE31" s="44">
        <v>-7.32</v>
      </c>
      <c r="AF31" s="44">
        <v>-6.7380162537499997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19.989999999999998</v>
      </c>
      <c r="D32" s="17">
        <v>22</v>
      </c>
      <c r="E32" s="17">
        <v>2</v>
      </c>
      <c r="F32" s="18">
        <v>439.78</v>
      </c>
      <c r="G32" s="18">
        <v>-56.460000000000008</v>
      </c>
      <c r="H32" s="32">
        <f t="shared" si="1"/>
        <v>0.12838237300468419</v>
      </c>
      <c r="I32" s="32">
        <f t="shared" si="2"/>
        <v>9.4773213789659232E-3</v>
      </c>
      <c r="J32" s="33">
        <f t="shared" si="5"/>
        <v>4.1679363960416334</v>
      </c>
      <c r="K32" s="33">
        <f t="shared" si="3"/>
        <v>0.1894516543655288</v>
      </c>
      <c r="L32" s="17">
        <v>57</v>
      </c>
      <c r="M32" s="34">
        <f t="shared" si="6"/>
        <v>0.38596491228070173</v>
      </c>
      <c r="N32" s="17">
        <v>523</v>
      </c>
      <c r="O32" s="35">
        <f t="shared" ref="O32:P32" si="40">D32/7</f>
        <v>3.1428571428571428</v>
      </c>
      <c r="P32" s="35">
        <f t="shared" si="40"/>
        <v>0.2857142857142857</v>
      </c>
      <c r="Q32" s="30">
        <f t="shared" si="8"/>
        <v>152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0.2196969696969697</v>
      </c>
      <c r="T32" s="15">
        <f ca="1">IFERROR(__xludf.DUMMYFUNCTION("IFERROR(VLOOKUP($B$2,IMPORTRANGE(""https://docs.google.com/spreadsheets/d/1KiWZV1ko8G7lnRucBRBd29jj3Be6ltMfljMDqzOkQmI/edit#gid=1381463014"",""Lookup!A:D""),4,FALSE),"""")"),548)</f>
        <v>548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548 At Factory 50-75 days from Earliest Arrival")</f>
        <v>No Transit, But 548 At Factory 50-75 days from Earliest Arrival</v>
      </c>
      <c r="W32" s="15">
        <v>7</v>
      </c>
      <c r="X32" s="39">
        <f t="shared" si="9"/>
        <v>0.31818181818181818</v>
      </c>
      <c r="Y32" s="40">
        <f t="shared" si="10"/>
        <v>2.8230000000000004</v>
      </c>
      <c r="Z32" s="15">
        <v>13</v>
      </c>
      <c r="AA32" s="15" t="s">
        <v>58</v>
      </c>
      <c r="AB32" s="41">
        <f t="shared" si="11"/>
        <v>-0.69</v>
      </c>
      <c r="AC32" s="28">
        <v>0.23019453298611112</v>
      </c>
      <c r="AD32" s="40">
        <f t="shared" si="12"/>
        <v>-6.9887060214583334</v>
      </c>
      <c r="AE32" s="26">
        <v>-7.18</v>
      </c>
      <c r="AF32" s="26">
        <v>-6.7380162537499997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Burgundy &amp; Gray")</f>
        <v>Corn Filled Cornhole Bags - Set of 8 Bean Bags for Corn Hole Game - Burgundy &amp; Gray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Info!B1:BJ7000""),2,FALSE),"""")"),"B07MWHG2CL")</f>
        <v>B07MWHG2CL</v>
      </c>
      <c r="B2" s="47" t="s">
        <v>80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14.968981965901389</v>
      </c>
      <c r="D3" s="5">
        <f>SUM(D4:D99765)</f>
        <v>11</v>
      </c>
      <c r="E3" s="5"/>
      <c r="F3" s="6">
        <f t="shared" ref="F3:G3" si="0">SUM(F4:F99765)</f>
        <v>228.89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0.21352306168630147</v>
      </c>
      <c r="J3" s="6">
        <f>SUM(J4:J99765)</f>
        <v>48.873293589377539</v>
      </c>
      <c r="K3" s="6">
        <f t="shared" ref="K3:K32" si="3">J3/D3</f>
        <v>4.4430266899434123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1 - April
2.5 - May
5 - June
4 - July
3.5 - Aug
2 - Sept
1 - Oct
0 - Nov
0 - Dec
0.1 - Jan
0.1 - Feb")</f>
        <v>0.5 - March
1 - April
2.5 - May
5 - June
4 - July
3.5 - Aug
2 - Sept
1 -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-2.7525500444444448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Info!B2:BZ7000""),36,FALSE)),"""")*-1"),-5.54363467101618)</f>
        <v>-5.5436346710161803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2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48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-5.6472008531636231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2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148</v>
      </c>
      <c r="U5" s="37">
        <v>100</v>
      </c>
      <c r="V5" s="38" t="s">
        <v>81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-5.6472008531636231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2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148</v>
      </c>
      <c r="U6" s="37">
        <v>100</v>
      </c>
      <c r="V6" s="38" t="s">
        <v>82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-5.6472008531636231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2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148</v>
      </c>
      <c r="U7" s="37">
        <v>100</v>
      </c>
      <c r="V7" s="38" t="s">
        <v>83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-5.6472008531636231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2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48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-5.65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2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48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-6.0004059813687496</v>
      </c>
      <c r="AG9" s="40">
        <v>0</v>
      </c>
    </row>
    <row r="10" spans="1:33" ht="15.75" customHeight="1" x14ac:dyDescent="0.2">
      <c r="A10" s="29" t="s">
        <v>38</v>
      </c>
      <c r="B10" s="29" t="s">
        <v>84</v>
      </c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2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48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-6.0004059813687496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2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196</v>
      </c>
      <c r="U11" s="37">
        <v>100</v>
      </c>
      <c r="V11" s="38" t="s">
        <v>85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-6.0004059813687496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2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100</v>
      </c>
      <c r="U12" s="37">
        <v>100</v>
      </c>
      <c r="V12" s="38" t="s">
        <v>86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-6.0875854685482302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2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100</v>
      </c>
      <c r="U13" s="37">
        <v>100</v>
      </c>
      <c r="V13" s="38" t="s">
        <v>87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-6.28630341726618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2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100</v>
      </c>
      <c r="U14" s="37">
        <v>100</v>
      </c>
      <c r="V14" s="38" t="s">
        <v>88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-6.28630341726618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2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100</v>
      </c>
      <c r="U15" s="37">
        <v>100</v>
      </c>
      <c r="V15" s="38" t="s">
        <v>89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-6.28630341726618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2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100</v>
      </c>
      <c r="U16" s="37">
        <v>100</v>
      </c>
      <c r="V16" s="38" t="s">
        <v>89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-6.2863034172661871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2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100</v>
      </c>
      <c r="U17" s="37">
        <v>100</v>
      </c>
      <c r="V17" s="38" t="s">
        <v>89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-6.28630341726618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2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480</v>
      </c>
      <c r="U18" s="37">
        <v>100</v>
      </c>
      <c r="V18" s="38" t="s">
        <v>90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-6.28630341726618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2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480</v>
      </c>
      <c r="U19" s="37">
        <v>100</v>
      </c>
      <c r="V19" s="38" t="s">
        <v>90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-6.2863034172661871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2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480</v>
      </c>
      <c r="U20" s="37">
        <v>100</v>
      </c>
      <c r="V20" s="38" t="s">
        <v>90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-6.2863034172661871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2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480</v>
      </c>
      <c r="U21" s="37">
        <v>100</v>
      </c>
      <c r="V21" s="38" t="s">
        <v>90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-6.2863034172661871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2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480</v>
      </c>
      <c r="U22" s="37">
        <v>100</v>
      </c>
      <c r="V22" s="38" t="s">
        <v>91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-6.2863034172661871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2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480</v>
      </c>
      <c r="U23" s="37">
        <v>100</v>
      </c>
      <c r="V23" s="38" t="s">
        <v>91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-6.2863034172661871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2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480</v>
      </c>
      <c r="U24" s="37">
        <v>100</v>
      </c>
      <c r="V24" s="38" t="s">
        <v>92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58</v>
      </c>
      <c r="AB24" s="41">
        <f t="shared" si="11"/>
        <v>-0.69</v>
      </c>
      <c r="AC24" s="28">
        <v>0.18132740740740741</v>
      </c>
      <c r="AD24" s="40">
        <f t="shared" si="12"/>
        <v>0</v>
      </c>
      <c r="AE24" s="26">
        <v>-7.32</v>
      </c>
      <c r="AF24" s="40">
        <v>-6.2863034172661871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2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0.18132740740740741</v>
      </c>
      <c r="AD25" s="40">
        <f t="shared" si="12"/>
        <v>0</v>
      </c>
      <c r="AE25" s="40">
        <v>-7.32</v>
      </c>
      <c r="AF25" s="40">
        <v>-6.29</v>
      </c>
      <c r="AG25" s="40">
        <v>0</v>
      </c>
    </row>
    <row r="26" spans="1:33" ht="15.75" customHeight="1" x14ac:dyDescent="0.2">
      <c r="A26" s="15" t="s">
        <v>54</v>
      </c>
      <c r="B26" s="15" t="s">
        <v>93</v>
      </c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101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1180</v>
      </c>
      <c r="U26" s="23">
        <v>800</v>
      </c>
      <c r="V26" s="1" t="s">
        <v>94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0.18132740740740741</v>
      </c>
      <c r="AD26" s="40">
        <f t="shared" si="12"/>
        <v>0</v>
      </c>
      <c r="AE26" s="26">
        <v>-7.18</v>
      </c>
      <c r="AF26" s="26">
        <v>-6.28630341726618</v>
      </c>
      <c r="AG26" s="26">
        <v>0</v>
      </c>
    </row>
    <row r="27" spans="1:33" ht="15.75" customHeight="1" x14ac:dyDescent="0.2">
      <c r="A27" s="15" t="s">
        <v>74</v>
      </c>
      <c r="B27" s="15" t="s">
        <v>95</v>
      </c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102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15">
        <v>1180</v>
      </c>
      <c r="U27" s="23">
        <v>800</v>
      </c>
      <c r="V27" s="1" t="s">
        <v>94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0.18132740740740741</v>
      </c>
      <c r="AD27" s="40">
        <f t="shared" si="12"/>
        <v>0</v>
      </c>
      <c r="AE27" s="26">
        <v>-7.18</v>
      </c>
      <c r="AF27" s="26">
        <v>-6.28630341726618</v>
      </c>
      <c r="AG27" s="26">
        <v>0</v>
      </c>
    </row>
    <row r="28" spans="1:33" ht="15.75" customHeight="1" x14ac:dyDescent="0.2">
      <c r="A28" s="15" t="s">
        <v>75</v>
      </c>
      <c r="B28" s="15" t="s">
        <v>96</v>
      </c>
      <c r="C28" s="16">
        <f t="shared" si="4"/>
        <v>20.99</v>
      </c>
      <c r="D28" s="17">
        <v>2</v>
      </c>
      <c r="E28" s="17">
        <v>0</v>
      </c>
      <c r="F28" s="18">
        <v>41.98</v>
      </c>
      <c r="G28" s="18">
        <v>0</v>
      </c>
      <c r="H28" s="32">
        <f t="shared" si="1"/>
        <v>0</v>
      </c>
      <c r="I28" s="32">
        <f t="shared" si="2"/>
        <v>0.19652047453604571</v>
      </c>
      <c r="J28" s="33">
        <f t="shared" si="5"/>
        <v>8.2499295210231978</v>
      </c>
      <c r="K28" s="33">
        <f t="shared" si="3"/>
        <v>4.1249647605115989</v>
      </c>
      <c r="L28" s="17">
        <v>5</v>
      </c>
      <c r="M28" s="34">
        <f t="shared" si="6"/>
        <v>0.4</v>
      </c>
      <c r="N28" s="17">
        <v>84</v>
      </c>
      <c r="O28" s="35">
        <f t="shared" ref="O28:P28" si="36">D28/7</f>
        <v>0.2857142857142857</v>
      </c>
      <c r="P28" s="35">
        <f t="shared" si="36"/>
        <v>0</v>
      </c>
      <c r="Q28" s="30">
        <f t="shared" si="8"/>
        <v>294</v>
      </c>
      <c r="R28" s="30"/>
      <c r="S28" s="22">
        <v>4.6511627906976737E-2</v>
      </c>
      <c r="T28" s="15">
        <v>1180</v>
      </c>
      <c r="U28" s="23">
        <v>800</v>
      </c>
      <c r="V28" s="1" t="s">
        <v>94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0.18132740740740741</v>
      </c>
      <c r="AD28" s="40">
        <f t="shared" si="12"/>
        <v>-0.50046364444444447</v>
      </c>
      <c r="AE28" s="26">
        <v>-7.18</v>
      </c>
      <c r="AF28" s="26">
        <v>-6.28630341726618</v>
      </c>
      <c r="AG28" s="26">
        <v>0</v>
      </c>
    </row>
    <row r="29" spans="1:33" ht="15.75" customHeight="1" x14ac:dyDescent="0.2">
      <c r="A29" s="15" t="s">
        <v>77</v>
      </c>
      <c r="B29" s="15" t="s">
        <v>96</v>
      </c>
      <c r="C29" s="16">
        <f t="shared" si="4"/>
        <v>20.99</v>
      </c>
      <c r="D29" s="17">
        <v>2</v>
      </c>
      <c r="E29" s="17">
        <v>0</v>
      </c>
      <c r="F29" s="18">
        <v>41.98</v>
      </c>
      <c r="G29" s="18">
        <v>0</v>
      </c>
      <c r="H29" s="32">
        <f t="shared" si="1"/>
        <v>0</v>
      </c>
      <c r="I29" s="32">
        <f t="shared" si="2"/>
        <v>0.19652047453604571</v>
      </c>
      <c r="J29" s="33">
        <f t="shared" si="5"/>
        <v>8.2499295210231978</v>
      </c>
      <c r="K29" s="33">
        <f t="shared" si="3"/>
        <v>4.1249647605115989</v>
      </c>
      <c r="L29" s="17">
        <v>7</v>
      </c>
      <c r="M29" s="34">
        <f t="shared" si="6"/>
        <v>0.2857142857142857</v>
      </c>
      <c r="N29" s="17">
        <v>95</v>
      </c>
      <c r="O29" s="35">
        <f t="shared" ref="O29:P29" si="37">D29/7</f>
        <v>0.2857142857142857</v>
      </c>
      <c r="P29" s="35">
        <f t="shared" si="37"/>
        <v>0</v>
      </c>
      <c r="Q29" s="30">
        <f t="shared" si="8"/>
        <v>332</v>
      </c>
      <c r="R29" s="30"/>
      <c r="S29" s="22">
        <v>8.1632653061224483E-2</v>
      </c>
      <c r="T29" s="15">
        <v>1180</v>
      </c>
      <c r="U29" s="23">
        <v>800</v>
      </c>
      <c r="V29" s="1" t="s">
        <v>97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0.18132740740740741</v>
      </c>
      <c r="AD29" s="40">
        <f t="shared" si="12"/>
        <v>-0.50046364444444447</v>
      </c>
      <c r="AE29" s="26">
        <v>-7.18</v>
      </c>
      <c r="AF29" s="26">
        <v>-6.28630341726618</v>
      </c>
      <c r="AG29" s="26">
        <v>0</v>
      </c>
    </row>
    <row r="30" spans="1:33" ht="15.75" customHeight="1" x14ac:dyDescent="0.2">
      <c r="A30" s="15" t="s">
        <v>78</v>
      </c>
      <c r="B30" s="48">
        <v>18.989999999999998</v>
      </c>
      <c r="C30" s="16">
        <f t="shared" si="4"/>
        <v>20.99</v>
      </c>
      <c r="D30" s="17">
        <v>2</v>
      </c>
      <c r="E30" s="17">
        <v>0</v>
      </c>
      <c r="F30" s="18">
        <v>41.98</v>
      </c>
      <c r="G30" s="18">
        <v>0</v>
      </c>
      <c r="H30" s="32">
        <f t="shared" si="1"/>
        <v>0</v>
      </c>
      <c r="I30" s="32">
        <f t="shared" si="2"/>
        <v>0.23190250151317762</v>
      </c>
      <c r="J30" s="33">
        <f t="shared" si="5"/>
        <v>9.7352670135231953</v>
      </c>
      <c r="K30" s="33">
        <f t="shared" si="3"/>
        <v>4.8676335067615977</v>
      </c>
      <c r="L30" s="17">
        <v>3</v>
      </c>
      <c r="M30" s="34">
        <f t="shared" si="6"/>
        <v>0.66666666666666663</v>
      </c>
      <c r="N30" s="17">
        <v>92</v>
      </c>
      <c r="O30" s="35">
        <f t="shared" ref="O30:P30" si="38">D30/7</f>
        <v>0.2857142857142857</v>
      </c>
      <c r="P30" s="35">
        <f t="shared" si="38"/>
        <v>0</v>
      </c>
      <c r="Q30" s="30">
        <f t="shared" si="8"/>
        <v>322</v>
      </c>
      <c r="R30" s="30"/>
      <c r="S30" s="22">
        <v>0.20202020202020199</v>
      </c>
      <c r="T30" s="29">
        <v>1180</v>
      </c>
      <c r="U30" s="37">
        <v>800</v>
      </c>
      <c r="V30" s="38" t="s">
        <v>97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0.18132740740740741</v>
      </c>
      <c r="AD30" s="40">
        <f t="shared" si="12"/>
        <v>-0.50046364444444447</v>
      </c>
      <c r="AE30" s="26">
        <v>-7.18</v>
      </c>
      <c r="AF30" s="26">
        <v>-5.5436346710161803</v>
      </c>
      <c r="AG30" s="26">
        <v>0</v>
      </c>
    </row>
    <row r="31" spans="1:33" ht="15.75" customHeight="1" x14ac:dyDescent="0.2">
      <c r="A31" s="15" t="s">
        <v>55</v>
      </c>
      <c r="B31" s="15" t="s">
        <v>98</v>
      </c>
      <c r="C31" s="16">
        <f t="shared" si="4"/>
        <v>20.589999999999996</v>
      </c>
      <c r="D31" s="17">
        <v>5</v>
      </c>
      <c r="E31" s="17">
        <v>0</v>
      </c>
      <c r="F31" s="18">
        <v>102.94999999999999</v>
      </c>
      <c r="G31" s="43">
        <v>0</v>
      </c>
      <c r="H31" s="32">
        <f t="shared" si="1"/>
        <v>0</v>
      </c>
      <c r="I31" s="32">
        <f t="shared" si="2"/>
        <v>0.21989477934733317</v>
      </c>
      <c r="J31" s="33">
        <f t="shared" si="5"/>
        <v>22.638167533807948</v>
      </c>
      <c r="K31" s="33">
        <f t="shared" si="3"/>
        <v>4.5276335067615898</v>
      </c>
      <c r="L31" s="17">
        <v>10</v>
      </c>
      <c r="M31" s="34">
        <f t="shared" si="6"/>
        <v>0.5</v>
      </c>
      <c r="N31" s="17">
        <v>88</v>
      </c>
      <c r="O31" s="35">
        <f t="shared" ref="O31:P31" si="39">D31/7</f>
        <v>0.7142857142857143</v>
      </c>
      <c r="P31" s="35">
        <f t="shared" si="39"/>
        <v>0</v>
      </c>
      <c r="Q31" s="30">
        <f t="shared" si="8"/>
        <v>123</v>
      </c>
      <c r="R31" s="30"/>
      <c r="S31" s="22">
        <v>0.16410256410256399</v>
      </c>
      <c r="T31" s="15">
        <v>380</v>
      </c>
      <c r="U31" s="23" t="s">
        <v>56</v>
      </c>
      <c r="V31" s="1" t="s">
        <v>99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0.18132740740740741</v>
      </c>
      <c r="AD31" s="40">
        <f t="shared" si="12"/>
        <v>-1.2511591111111111</v>
      </c>
      <c r="AE31" s="44">
        <v>-7.18</v>
      </c>
      <c r="AF31" s="44">
        <v>-5.5436346710161866</v>
      </c>
      <c r="AG31" s="26">
        <v>0</v>
      </c>
    </row>
    <row r="32" spans="1:33" ht="15.75" customHeight="1" x14ac:dyDescent="0.2">
      <c r="A32" s="15" t="s">
        <v>59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95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0.1856540084388186</v>
      </c>
      <c r="T32" s="15">
        <f ca="1">IFERROR(__xludf.DUMMYFUNCTION("IFERROR(VLOOKUP($B$2,IMPORTRANGE(""https://docs.google.com/spreadsheets/d/1KiWZV1ko8G7lnRucBRBd29jj3Be6ltMfljMDqzOkQmI/edit#gid=1381463014"",""Lookup!A:D""),4,FALSE),"""")"),380)</f>
        <v>380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380 At Factory 50-75 days from Earliest Arrival")</f>
        <v>No Transit, But 380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0.18132740740740741</v>
      </c>
      <c r="AD32" s="40">
        <f t="shared" si="12"/>
        <v>0</v>
      </c>
      <c r="AE32" s="26">
        <v>-7.18</v>
      </c>
      <c r="AF32" s="26">
        <v>-5.5436346710161803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Burgundy &amp; Navy Blue")</f>
        <v>Corn Filled Cornhole Bags - Set of 8 Bean Bags for Corn Hole Game - Burgundy &amp; Navy Blue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Info!B1:BJ7000""),2,FALSE),"""")"),"B07MWGXYBG")</f>
        <v>B07MWGXYBG</v>
      </c>
      <c r="B2" s="47" t="s">
        <v>100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15.311607357352942</v>
      </c>
      <c r="D3" s="5">
        <f>SUM(D4:D99765)</f>
        <v>29</v>
      </c>
      <c r="E3" s="5"/>
      <c r="F3" s="6">
        <f t="shared" ref="F3:G3" si="0">SUM(F4:F99765)</f>
        <v>531.71</v>
      </c>
      <c r="G3" s="6">
        <f t="shared" si="0"/>
        <v>-0.12000000000000001</v>
      </c>
      <c r="H3" s="7">
        <f t="shared" ref="H3:H32" si="1">G3/F3*-1</f>
        <v>2.2568693460721069E-4</v>
      </c>
      <c r="I3" s="8">
        <f t="shared" ref="I3:I32" si="2">J3/F3</f>
        <v>0.10185023167442982</v>
      </c>
      <c r="J3" s="6">
        <f>SUM(J4:J99765)</f>
        <v>54.154786683611079</v>
      </c>
      <c r="K3" s="6">
        <f t="shared" ref="K3:K32" si="3">J3/D3</f>
        <v>1.8674064373658992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Sheet!a1:g5000""),2,FALSE),"""")"),"0.1 - March
1 - April
1.5 - May
4 - June
2.5 - July
2 - Aug
1.5 - Sept
1 - Oct
0 - Nov
0 - Dec
0.1 - Jan
0.1 - Feb")</f>
        <v>0.1 - March
1 - April
1.5 - May
4 - June
2.5 - July
2 - Aug
1.5 - Sept
1 -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-9.1075607638888894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-5.8782224358974364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100</v>
      </c>
      <c r="U5" s="37">
        <v>100</v>
      </c>
      <c r="V5" s="38" t="s">
        <v>81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-5.8782224358974364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100</v>
      </c>
      <c r="U6" s="37">
        <v>100</v>
      </c>
      <c r="V6" s="38" t="s">
        <v>82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-5.8782224358974364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100</v>
      </c>
      <c r="U7" s="37">
        <v>100</v>
      </c>
      <c r="V7" s="38" t="s">
        <v>83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-5.8782224358974364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-5.88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-6.2314275641025603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-6.2314275641025603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100</v>
      </c>
      <c r="U11" s="37">
        <v>100</v>
      </c>
      <c r="V11" s="38" t="s">
        <v>101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-6.2314275641025603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100</v>
      </c>
      <c r="U12" s="37">
        <v>100</v>
      </c>
      <c r="V12" s="38" t="s">
        <v>86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-6.3186070512820498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100</v>
      </c>
      <c r="U13" s="37">
        <v>100</v>
      </c>
      <c r="V13" s="38" t="s">
        <v>87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-6.5173249999999996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100</v>
      </c>
      <c r="U14" s="37">
        <v>100</v>
      </c>
      <c r="V14" s="38" t="s">
        <v>88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-6.5173249999999996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100</v>
      </c>
      <c r="U15" s="37">
        <v>100</v>
      </c>
      <c r="V15" s="38" t="s">
        <v>89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-6.5173249999999996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100</v>
      </c>
      <c r="U16" s="37">
        <v>100</v>
      </c>
      <c r="V16" s="38" t="s">
        <v>89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-6.5775350000000001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100</v>
      </c>
      <c r="U17" s="37">
        <v>100</v>
      </c>
      <c r="V17" s="38" t="s">
        <v>89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-6.5775350000000001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356</v>
      </c>
      <c r="U18" s="37">
        <v>100</v>
      </c>
      <c r="V18" s="38" t="s">
        <v>90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-6.5775350000000001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356</v>
      </c>
      <c r="U19" s="37">
        <v>100</v>
      </c>
      <c r="V19" s="38" t="s">
        <v>90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356</v>
      </c>
      <c r="U20" s="37">
        <v>100</v>
      </c>
      <c r="V20" s="38" t="s">
        <v>90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356</v>
      </c>
      <c r="U21" s="37">
        <v>100</v>
      </c>
      <c r="V21" s="38" t="s">
        <v>90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356</v>
      </c>
      <c r="U22" s="37">
        <v>100</v>
      </c>
      <c r="V22" s="38" t="s">
        <v>91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356</v>
      </c>
      <c r="U23" s="37">
        <v>100</v>
      </c>
      <c r="V23" s="38" t="s">
        <v>91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356</v>
      </c>
      <c r="U24" s="37">
        <v>100</v>
      </c>
      <c r="V24" s="38" t="s">
        <v>92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58</v>
      </c>
      <c r="AB24" s="41">
        <f t="shared" si="11"/>
        <v>-0.69</v>
      </c>
      <c r="AC24" s="28">
        <v>0.22757523148148148</v>
      </c>
      <c r="AD24" s="40">
        <f t="shared" si="12"/>
        <v>0</v>
      </c>
      <c r="AE24" s="26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0.22757523148148148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 t="s">
        <v>102</v>
      </c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100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256</v>
      </c>
      <c r="U26" s="23" t="s">
        <v>56</v>
      </c>
      <c r="V26" s="1" t="s">
        <v>56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0.22757523148148148</v>
      </c>
      <c r="AD26" s="40">
        <f t="shared" si="12"/>
        <v>0</v>
      </c>
      <c r="AE26" s="26">
        <v>-7.18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48">
        <v>17.989999999999998</v>
      </c>
      <c r="C27" s="16">
        <f t="shared" si="4"/>
        <v>20.99</v>
      </c>
      <c r="D27" s="17">
        <v>2</v>
      </c>
      <c r="E27" s="17">
        <v>0</v>
      </c>
      <c r="F27" s="18">
        <v>41.98</v>
      </c>
      <c r="G27" s="18">
        <v>0</v>
      </c>
      <c r="H27" s="32">
        <f t="shared" si="1"/>
        <v>0</v>
      </c>
      <c r="I27" s="32">
        <f t="shared" si="2"/>
        <v>0.17960510626753479</v>
      </c>
      <c r="J27" s="33">
        <f t="shared" si="5"/>
        <v>7.5398223611111099</v>
      </c>
      <c r="K27" s="33">
        <f t="shared" si="3"/>
        <v>3.769911180555555</v>
      </c>
      <c r="L27" s="17">
        <v>24</v>
      </c>
      <c r="M27" s="34">
        <f t="shared" si="6"/>
        <v>8.3333333333333329E-2</v>
      </c>
      <c r="N27" s="17">
        <v>98</v>
      </c>
      <c r="O27" s="35">
        <f t="shared" ref="O27:P27" si="35">D27/7</f>
        <v>0.2857142857142857</v>
      </c>
      <c r="P27" s="35">
        <f t="shared" si="35"/>
        <v>0</v>
      </c>
      <c r="Q27" s="30">
        <f t="shared" si="8"/>
        <v>343</v>
      </c>
      <c r="R27" s="30"/>
      <c r="S27" s="22">
        <v>8.1632653061224483E-2</v>
      </c>
      <c r="T27" s="15">
        <v>256</v>
      </c>
      <c r="U27" s="23" t="s">
        <v>56</v>
      </c>
      <c r="V27" s="1" t="s">
        <v>56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0.22757523148148148</v>
      </c>
      <c r="AD27" s="40">
        <f t="shared" si="12"/>
        <v>-0.62810763888888888</v>
      </c>
      <c r="AE27" s="26">
        <v>-7.18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 t="s">
        <v>96</v>
      </c>
      <c r="C28" s="16">
        <f t="shared" si="4"/>
        <v>17.989999999999998</v>
      </c>
      <c r="D28" s="17">
        <v>4</v>
      </c>
      <c r="E28" s="17">
        <v>0</v>
      </c>
      <c r="F28" s="18">
        <v>71.959999999999994</v>
      </c>
      <c r="G28" s="18">
        <v>0</v>
      </c>
      <c r="H28" s="32">
        <f t="shared" si="1"/>
        <v>0</v>
      </c>
      <c r="I28" s="32">
        <f t="shared" si="2"/>
        <v>6.78105158730158E-2</v>
      </c>
      <c r="J28" s="33">
        <f t="shared" si="5"/>
        <v>4.8796447222222161</v>
      </c>
      <c r="K28" s="33">
        <f t="shared" si="3"/>
        <v>1.219911180555554</v>
      </c>
      <c r="L28" s="17">
        <v>11</v>
      </c>
      <c r="M28" s="34">
        <f t="shared" si="6"/>
        <v>0.36363636363636365</v>
      </c>
      <c r="N28" s="17">
        <v>95</v>
      </c>
      <c r="O28" s="35">
        <f t="shared" ref="O28:P28" si="36">D28/7</f>
        <v>0.5714285714285714</v>
      </c>
      <c r="P28" s="35">
        <f t="shared" si="36"/>
        <v>0</v>
      </c>
      <c r="Q28" s="30">
        <f t="shared" si="8"/>
        <v>166</v>
      </c>
      <c r="R28" s="30"/>
      <c r="S28" s="22">
        <v>0.16666666666666671</v>
      </c>
      <c r="T28" s="15">
        <v>256</v>
      </c>
      <c r="U28" s="23" t="s">
        <v>56</v>
      </c>
      <c r="V28" s="1" t="s">
        <v>56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0.22757523148148148</v>
      </c>
      <c r="AD28" s="40">
        <f t="shared" si="12"/>
        <v>-1.2562152777777778</v>
      </c>
      <c r="AE28" s="26">
        <v>-7.18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 t="s">
        <v>96</v>
      </c>
      <c r="C29" s="16">
        <f t="shared" si="4"/>
        <v>17.989999999999998</v>
      </c>
      <c r="D29" s="17">
        <v>9</v>
      </c>
      <c r="E29" s="17">
        <v>0</v>
      </c>
      <c r="F29" s="18">
        <v>161.91</v>
      </c>
      <c r="G29" s="18">
        <v>-0.02</v>
      </c>
      <c r="H29" s="32">
        <f t="shared" si="1"/>
        <v>1.2352541535420912E-4</v>
      </c>
      <c r="I29" s="32">
        <f t="shared" si="2"/>
        <v>6.7686990457661675E-2</v>
      </c>
      <c r="J29" s="33">
        <f t="shared" si="5"/>
        <v>10.959200625000001</v>
      </c>
      <c r="K29" s="33">
        <f t="shared" si="3"/>
        <v>1.2176889583333335</v>
      </c>
      <c r="L29" s="17">
        <v>18</v>
      </c>
      <c r="M29" s="34">
        <f t="shared" si="6"/>
        <v>0.5</v>
      </c>
      <c r="N29" s="17">
        <v>85</v>
      </c>
      <c r="O29" s="35">
        <f t="shared" ref="O29:P29" si="37">D29/7</f>
        <v>1.2857142857142858</v>
      </c>
      <c r="P29" s="35">
        <f t="shared" si="37"/>
        <v>0</v>
      </c>
      <c r="Q29" s="30">
        <f t="shared" si="8"/>
        <v>66</v>
      </c>
      <c r="R29" s="30"/>
      <c r="S29" s="22">
        <v>0.54545454545454541</v>
      </c>
      <c r="T29" s="15">
        <v>256</v>
      </c>
      <c r="U29" s="23" t="s">
        <v>56</v>
      </c>
      <c r="V29" s="1" t="s">
        <v>56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0.22757523148148148</v>
      </c>
      <c r="AD29" s="40">
        <f t="shared" si="12"/>
        <v>-2.8264843749999997</v>
      </c>
      <c r="AE29" s="26">
        <v>-7.18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48">
        <v>18.989999999999998</v>
      </c>
      <c r="C30" s="16">
        <f t="shared" si="4"/>
        <v>17.989999999999998</v>
      </c>
      <c r="D30" s="17">
        <v>7</v>
      </c>
      <c r="E30" s="17">
        <v>5</v>
      </c>
      <c r="F30" s="18">
        <v>125.92999999999998</v>
      </c>
      <c r="G30" s="18">
        <v>0</v>
      </c>
      <c r="H30" s="32">
        <f t="shared" si="1"/>
        <v>0</v>
      </c>
      <c r="I30" s="32">
        <f t="shared" si="2"/>
        <v>0.10909282528102023</v>
      </c>
      <c r="J30" s="33">
        <f t="shared" si="5"/>
        <v>13.738059487638875</v>
      </c>
      <c r="K30" s="33">
        <f t="shared" si="3"/>
        <v>1.9625799268055535</v>
      </c>
      <c r="L30" s="17">
        <v>4</v>
      </c>
      <c r="M30" s="34">
        <f t="shared" si="6"/>
        <v>1.75</v>
      </c>
      <c r="N30" s="17">
        <v>67</v>
      </c>
      <c r="O30" s="35">
        <f t="shared" ref="O30:P30" si="38">D30/7</f>
        <v>1</v>
      </c>
      <c r="P30" s="35">
        <f t="shared" si="38"/>
        <v>0.7142857142857143</v>
      </c>
      <c r="Q30" s="30">
        <f t="shared" si="8"/>
        <v>39</v>
      </c>
      <c r="R30" s="30"/>
      <c r="S30" s="22">
        <v>1.183098591549296</v>
      </c>
      <c r="T30" s="29">
        <v>256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0.22757523148148148</v>
      </c>
      <c r="AD30" s="40">
        <f t="shared" si="12"/>
        <v>-2.1983767361111113</v>
      </c>
      <c r="AE30" s="26">
        <v>-7.18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4"/>
        <v>17.989999999999998</v>
      </c>
      <c r="D31" s="17">
        <v>3</v>
      </c>
      <c r="E31" s="17">
        <v>11</v>
      </c>
      <c r="F31" s="18">
        <v>53.97</v>
      </c>
      <c r="G31" s="43">
        <v>-0.1</v>
      </c>
      <c r="H31" s="32">
        <f t="shared" si="1"/>
        <v>1.8528812303131371E-3</v>
      </c>
      <c r="I31" s="32">
        <f t="shared" si="2"/>
        <v>0.10723994405070716</v>
      </c>
      <c r="J31" s="33">
        <f t="shared" si="5"/>
        <v>5.7877397804166657</v>
      </c>
      <c r="K31" s="33">
        <f t="shared" si="3"/>
        <v>1.9292465934722218</v>
      </c>
      <c r="L31" s="17">
        <v>18</v>
      </c>
      <c r="M31" s="34">
        <f t="shared" si="6"/>
        <v>0.16666666666666666</v>
      </c>
      <c r="N31" s="17">
        <v>53</v>
      </c>
      <c r="O31" s="35">
        <f t="shared" ref="O31:P31" si="39">D31/7</f>
        <v>0.42857142857142855</v>
      </c>
      <c r="P31" s="35">
        <f t="shared" si="39"/>
        <v>1.5714285714285714</v>
      </c>
      <c r="Q31" s="30">
        <f t="shared" si="8"/>
        <v>26</v>
      </c>
      <c r="R31" s="30"/>
      <c r="S31" s="22">
        <v>0.98701298701298701</v>
      </c>
      <c r="T31" s="15">
        <v>256</v>
      </c>
      <c r="U31" s="23" t="s">
        <v>56</v>
      </c>
      <c r="V31" s="1" t="s">
        <v>103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0.22757523148148148</v>
      </c>
      <c r="AD31" s="40">
        <f t="shared" si="12"/>
        <v>-0.94216145833333331</v>
      </c>
      <c r="AE31" s="44">
        <v>-7.18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18.989999999999998</v>
      </c>
      <c r="D32" s="17">
        <v>4</v>
      </c>
      <c r="E32" s="17">
        <v>2</v>
      </c>
      <c r="F32" s="18">
        <v>75.959999999999994</v>
      </c>
      <c r="G32" s="18">
        <v>0</v>
      </c>
      <c r="H32" s="32">
        <f t="shared" si="1"/>
        <v>0</v>
      </c>
      <c r="I32" s="32">
        <f t="shared" si="2"/>
        <v>0.14810847429202489</v>
      </c>
      <c r="J32" s="33">
        <f t="shared" si="5"/>
        <v>11.250319707222211</v>
      </c>
      <c r="K32" s="33">
        <f t="shared" si="3"/>
        <v>2.8125799268055527</v>
      </c>
      <c r="L32" s="17">
        <v>8</v>
      </c>
      <c r="M32" s="34">
        <f t="shared" si="6"/>
        <v>0.5</v>
      </c>
      <c r="N32" s="17">
        <v>47</v>
      </c>
      <c r="O32" s="35">
        <f t="shared" ref="O32:P32" si="40">D32/7</f>
        <v>0.5714285714285714</v>
      </c>
      <c r="P32" s="35">
        <f t="shared" si="40"/>
        <v>0.2857142857142857</v>
      </c>
      <c r="Q32" s="30">
        <f t="shared" si="8"/>
        <v>54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1.2137931034482761</v>
      </c>
      <c r="T32" s="15">
        <f ca="1">IFERROR(__xludf.DUMMYFUNCTION("IFERROR(VLOOKUP($B$2,IMPORTRANGE(""https://docs.google.com/spreadsheets/d/1KiWZV1ko8G7lnRucBRBd29jj3Be6ltMfljMDqzOkQmI/edit#gid=1381463014"",""Lookup!A:D""),4,FALSE),"""")"),256)</f>
        <v>256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256 At Factory 50-75 days from Earliest Arrival")</f>
        <v>No Transit, But 256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0.22757523148148148</v>
      </c>
      <c r="AD32" s="40">
        <f t="shared" si="12"/>
        <v>-1.2562152777777778</v>
      </c>
      <c r="AE32" s="26">
        <v>-7.18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Burgundy &amp; Yellow")</f>
        <v>Corn Filled Cornhole Bags - Set of 8 Bean Bags for Corn Hole Game - Burgundy &amp; Yellow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Info!B1:BJ7000""),2,FALSE),"""")"),"B07MWJYT56")</f>
        <v>B07MWJYT56</v>
      </c>
      <c r="B2" s="47" t="s">
        <v>104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15.476313239705883</v>
      </c>
      <c r="D3" s="5">
        <f>SUM(D4:D99765)</f>
        <v>0</v>
      </c>
      <c r="E3" s="5"/>
      <c r="F3" s="6">
        <f t="shared" ref="F3:G3" si="0">SUM(F4:F99765)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SUM(J4:J99765)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1 - May
1.5 - June
1 - July
1 - Aug
0.5 - Sept
0.5 - Oct
0 - Nov
0 - Dec
0.1 - Jan
0.1 - Feb")</f>
        <v>0.5 - March
0.5 - April
1 - May
1.5 - June
1 - July
1 - Aug
0.5 - Sept
0.5 -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SUM(AD4:AD99765)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100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-5.8782224358974364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100</v>
      </c>
      <c r="U5" s="37" t="s">
        <v>56</v>
      </c>
      <c r="V5" s="38" t="s">
        <v>56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-5.8782224358974364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100</v>
      </c>
      <c r="U6" s="37" t="s">
        <v>56</v>
      </c>
      <c r="V6" s="38" t="s">
        <v>63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-5.8782224358974364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100</v>
      </c>
      <c r="U7" s="37" t="s">
        <v>56</v>
      </c>
      <c r="V7" s="38" t="s">
        <v>63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-5.8782224358974364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100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-5.88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100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-6.2314275641025603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100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-6.2314275641025603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160</v>
      </c>
      <c r="U11" s="37" t="s">
        <v>56</v>
      </c>
      <c r="V11" s="38" t="s">
        <v>105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-6.2314275641025603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56</v>
      </c>
      <c r="V12" s="38" t="s">
        <v>56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-6.3186070512820498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56</v>
      </c>
      <c r="V13" s="38" t="s">
        <v>56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-6.5173249999999996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56</v>
      </c>
      <c r="V14" s="38" t="s">
        <v>56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-6.5173249999999996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56</v>
      </c>
      <c r="V15" s="38" t="s">
        <v>56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-6.5173249999999996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56</v>
      </c>
      <c r="V16" s="38" t="s">
        <v>56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-6.5775350000000001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56</v>
      </c>
      <c r="V17" s="38" t="s">
        <v>56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-6.5775350000000001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80</v>
      </c>
      <c r="U18" s="37" t="s">
        <v>56</v>
      </c>
      <c r="V18" s="38" t="s">
        <v>56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-6.5775350000000001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80</v>
      </c>
      <c r="U19" s="37" t="s">
        <v>56</v>
      </c>
      <c r="V19" s="38" t="s">
        <v>56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80</v>
      </c>
      <c r="U20" s="37" t="s">
        <v>56</v>
      </c>
      <c r="V20" s="38" t="s">
        <v>56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80</v>
      </c>
      <c r="U21" s="37" t="s">
        <v>56</v>
      </c>
      <c r="V21" s="38" t="s">
        <v>56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80</v>
      </c>
      <c r="U22" s="37" t="s">
        <v>56</v>
      </c>
      <c r="V22" s="38" t="s">
        <v>56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80</v>
      </c>
      <c r="U23" s="37" t="s">
        <v>56</v>
      </c>
      <c r="V23" s="38" t="s">
        <v>56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80</v>
      </c>
      <c r="U24" s="37" t="s">
        <v>56</v>
      </c>
      <c r="V24" s="38" t="s">
        <v>56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58</v>
      </c>
      <c r="AB24" s="41">
        <f t="shared" si="11"/>
        <v>-0.69</v>
      </c>
      <c r="AC24" s="28">
        <v>4.6593421874999992E-2</v>
      </c>
      <c r="AD24" s="40">
        <f t="shared" si="12"/>
        <v>0</v>
      </c>
      <c r="AE24" s="26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4.6593421874999992E-2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140</v>
      </c>
      <c r="U26" s="23">
        <v>60</v>
      </c>
      <c r="V26" s="1" t="s">
        <v>106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4.6593421874999992E-2</v>
      </c>
      <c r="AD26" s="40">
        <f t="shared" si="12"/>
        <v>0</v>
      </c>
      <c r="AE26" s="26">
        <v>-7.32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15">
        <v>140</v>
      </c>
      <c r="U27" s="23">
        <v>60</v>
      </c>
      <c r="V27" s="1" t="s">
        <v>106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4.6593421874999992E-2</v>
      </c>
      <c r="AD27" s="40">
        <f t="shared" si="12"/>
        <v>0</v>
      </c>
      <c r="AE27" s="26">
        <v>-7.32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>
        <v>140</v>
      </c>
      <c r="U28" s="23">
        <v>60</v>
      </c>
      <c r="V28" s="1" t="s">
        <v>107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4.6593421874999992E-2</v>
      </c>
      <c r="AD28" s="40">
        <f t="shared" si="12"/>
        <v>0</v>
      </c>
      <c r="AE28" s="26">
        <v>-7.32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140</v>
      </c>
      <c r="U29" s="23">
        <v>60</v>
      </c>
      <c r="V29" s="1" t="s">
        <v>107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4.6593421874999992E-2</v>
      </c>
      <c r="AD29" s="40">
        <f t="shared" si="12"/>
        <v>0</v>
      </c>
      <c r="AE29" s="26">
        <v>-7.32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80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4.6593421874999992E-2</v>
      </c>
      <c r="AD30" s="40">
        <f t="shared" si="12"/>
        <v>0</v>
      </c>
      <c r="AE30" s="26">
        <v>-7.32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80</v>
      </c>
      <c r="U31" s="23" t="s">
        <v>56</v>
      </c>
      <c r="V31" s="1" t="s">
        <v>108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4.6593421874999992E-2</v>
      </c>
      <c r="AD31" s="40">
        <f t="shared" si="12"/>
        <v>0</v>
      </c>
      <c r="AE31" s="44">
        <v>-7.32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>
        <f ca="1">IFERROR(__xludf.DUMMYFUNCTION("IFERROR(VLOOKUP($B$2,IMPORTRANGE(""https://docs.google.com/spreadsheets/d/1KiWZV1ko8G7lnRucBRBd29jj3Be6ltMfljMDqzOkQmI/edit#gid=1381463014"",""Lookup!A:D""),4,FALSE),"""")"),80)</f>
        <v>80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80 At Factory 50-75 days from Earliest Arrival")</f>
        <v>No Transit, But 80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4.6593421874999992E-2</v>
      </c>
      <c r="AD32" s="40">
        <f t="shared" si="12"/>
        <v>0</v>
      </c>
      <c r="AE32" s="26">
        <v>-7.32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3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Blue &amp; Black")</f>
        <v>Corn Filled Cornhole Bags - Set of 8 Bean Bags for Corn Hole Game - Blue &amp; Black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Info!B1:BJ7000""),2,FALSE),"""")"),"B07MWGZN73")</f>
        <v>B07MWGZN73</v>
      </c>
      <c r="B2" s="47" t="s">
        <v>109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15.311607357352942</v>
      </c>
      <c r="D3" s="5">
        <f>SUM(D4:D99765)</f>
        <v>43</v>
      </c>
      <c r="E3" s="5"/>
      <c r="F3" s="6">
        <f t="shared" ref="F3:G3" si="0">SUM(F4:F99765)</f>
        <v>855.06999999999994</v>
      </c>
      <c r="G3" s="6">
        <f t="shared" si="0"/>
        <v>-300.64999999999998</v>
      </c>
      <c r="H3" s="7">
        <f t="shared" ref="H3:H32" si="1">G3/F3*-1</f>
        <v>0.35160864022828542</v>
      </c>
      <c r="I3" s="8">
        <f t="shared" ref="I3:I32" si="2">J3/F3</f>
        <v>-0.17841115758529519</v>
      </c>
      <c r="J3" s="6">
        <f>SUM(J4:J99765)</f>
        <v>-152.55402851645835</v>
      </c>
      <c r="K3" s="6">
        <f t="shared" ref="K3:K32" si="3">J3/D3</f>
        <v>-3.5477681050339149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25</v>
      </c>
      <c r="X3" s="7">
        <f>W3/D3</f>
        <v>0.58139534883720934</v>
      </c>
      <c r="Y3" s="6"/>
      <c r="Z3" s="5"/>
      <c r="AA3" s="5"/>
      <c r="AB3" s="5"/>
      <c r="AC3" s="5"/>
      <c r="AD3" s="6">
        <f>SUM(AD4:AD99765)</f>
        <v>-4.2209046802083323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180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-5.8782224358974364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320</v>
      </c>
      <c r="U5" s="37">
        <v>140</v>
      </c>
      <c r="V5" s="38" t="s">
        <v>110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-5.8782224358974364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320</v>
      </c>
      <c r="U6" s="37">
        <v>140</v>
      </c>
      <c r="V6" s="38" t="s">
        <v>111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-5.8782224358974364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320</v>
      </c>
      <c r="U7" s="37">
        <v>140</v>
      </c>
      <c r="V7" s="38" t="s">
        <v>112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-5.8782224358974364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180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-5.88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180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-6.2314275641025603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180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-6.2314275641025603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320</v>
      </c>
      <c r="U11" s="37">
        <v>140</v>
      </c>
      <c r="V11" s="38" t="s">
        <v>113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-6.2314275641025603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140</v>
      </c>
      <c r="U12" s="37">
        <v>140</v>
      </c>
      <c r="V12" s="38" t="s">
        <v>114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-6.3186070512820498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140</v>
      </c>
      <c r="U13" s="37">
        <v>140</v>
      </c>
      <c r="V13" s="38" t="s">
        <v>115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-6.5173249999999996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140</v>
      </c>
      <c r="U14" s="37">
        <v>140</v>
      </c>
      <c r="V14" s="38" t="s">
        <v>116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-6.5173249999999996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140</v>
      </c>
      <c r="U15" s="37">
        <v>140</v>
      </c>
      <c r="V15" s="38" t="s">
        <v>117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-6.5173249999999996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140</v>
      </c>
      <c r="U16" s="37">
        <v>140</v>
      </c>
      <c r="V16" s="38" t="s">
        <v>117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-6.5173250000000005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140</v>
      </c>
      <c r="U17" s="37">
        <v>140</v>
      </c>
      <c r="V17" s="38" t="s">
        <v>117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-6.5173249999999996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320</v>
      </c>
      <c r="U18" s="37">
        <v>140</v>
      </c>
      <c r="V18" s="38" t="s">
        <v>118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-6.5173249999999996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320</v>
      </c>
      <c r="U19" s="37">
        <v>140</v>
      </c>
      <c r="V19" s="38" t="s">
        <v>118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320</v>
      </c>
      <c r="U20" s="37">
        <v>140</v>
      </c>
      <c r="V20" s="38" t="s">
        <v>118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320</v>
      </c>
      <c r="U21" s="37">
        <v>140</v>
      </c>
      <c r="V21" s="38" t="s">
        <v>118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320</v>
      </c>
      <c r="U22" s="37">
        <v>140</v>
      </c>
      <c r="V22" s="38" t="s">
        <v>119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320</v>
      </c>
      <c r="U23" s="37">
        <v>140</v>
      </c>
      <c r="V23" s="38" t="s">
        <v>119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320</v>
      </c>
      <c r="U24" s="37">
        <v>140</v>
      </c>
      <c r="V24" s="38" t="s">
        <v>120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58</v>
      </c>
      <c r="AB24" s="41">
        <f t="shared" si="11"/>
        <v>-0.69</v>
      </c>
      <c r="AC24" s="28">
        <v>7.1130850694444442E-2</v>
      </c>
      <c r="AD24" s="40">
        <f t="shared" si="12"/>
        <v>0</v>
      </c>
      <c r="AE24" s="26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7.1130850694444442E-2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 t="s">
        <v>121</v>
      </c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-0.06</v>
      </c>
      <c r="H26" s="32" t="e">
        <f t="shared" si="1"/>
        <v>#DIV/0!</v>
      </c>
      <c r="I26" s="32" t="e">
        <f t="shared" si="2"/>
        <v>#DIV/0!</v>
      </c>
      <c r="J26" s="33">
        <f t="shared" si="5"/>
        <v>-0.06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140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180</v>
      </c>
      <c r="U26" s="23" t="s">
        <v>56</v>
      </c>
      <c r="V26" s="1" t="s">
        <v>56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7.1130850694444442E-2</v>
      </c>
      <c r="AD26" s="40">
        <f t="shared" si="12"/>
        <v>0</v>
      </c>
      <c r="AE26" s="26">
        <v>-7.18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15" t="s">
        <v>122</v>
      </c>
      <c r="C27" s="16">
        <f t="shared" si="4"/>
        <v>20.99</v>
      </c>
      <c r="D27" s="17">
        <v>4</v>
      </c>
      <c r="E27" s="17">
        <v>0</v>
      </c>
      <c r="F27" s="18">
        <v>83.96</v>
      </c>
      <c r="G27" s="18">
        <v>-15.69</v>
      </c>
      <c r="H27" s="32">
        <f t="shared" si="1"/>
        <v>0.1868747022391615</v>
      </c>
      <c r="I27" s="32">
        <f t="shared" si="2"/>
        <v>3.0159326365730025E-3</v>
      </c>
      <c r="J27" s="33">
        <f t="shared" si="5"/>
        <v>0.25321770416666928</v>
      </c>
      <c r="K27" s="33">
        <f t="shared" si="3"/>
        <v>6.3304426041667319E-2</v>
      </c>
      <c r="L27" s="17">
        <v>39</v>
      </c>
      <c r="M27" s="34">
        <f t="shared" si="6"/>
        <v>0.10256410256410256</v>
      </c>
      <c r="N27" s="17">
        <v>139</v>
      </c>
      <c r="O27" s="35">
        <f t="shared" ref="O27:P27" si="35">D27/7</f>
        <v>0.5714285714285714</v>
      </c>
      <c r="P27" s="35">
        <f t="shared" si="35"/>
        <v>0</v>
      </c>
      <c r="Q27" s="30">
        <f t="shared" si="8"/>
        <v>243</v>
      </c>
      <c r="R27" s="30"/>
      <c r="S27" s="22">
        <v>2.8776978417266189E-2</v>
      </c>
      <c r="T27" s="15">
        <v>180</v>
      </c>
      <c r="U27" s="23" t="s">
        <v>56</v>
      </c>
      <c r="V27" s="1" t="s">
        <v>56</v>
      </c>
      <c r="W27" s="15">
        <v>0</v>
      </c>
      <c r="X27" s="39">
        <f t="shared" si="9"/>
        <v>0</v>
      </c>
      <c r="Y27" s="40">
        <f t="shared" si="10"/>
        <v>3.1379999999999999</v>
      </c>
      <c r="Z27" s="15">
        <v>5</v>
      </c>
      <c r="AA27" s="29" t="s">
        <v>58</v>
      </c>
      <c r="AB27" s="41">
        <f t="shared" si="11"/>
        <v>-0.69</v>
      </c>
      <c r="AC27" s="42">
        <v>7.1130850694444442E-2</v>
      </c>
      <c r="AD27" s="40">
        <f t="shared" si="12"/>
        <v>-0.39264229583333327</v>
      </c>
      <c r="AE27" s="26">
        <v>-7.18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 t="s">
        <v>123</v>
      </c>
      <c r="C28" s="16">
        <f t="shared" si="4"/>
        <v>20.990000000000002</v>
      </c>
      <c r="D28" s="17">
        <v>10</v>
      </c>
      <c r="E28" s="17">
        <v>0</v>
      </c>
      <c r="F28" s="18">
        <v>209.9</v>
      </c>
      <c r="G28" s="18">
        <v>-61.03</v>
      </c>
      <c r="H28" s="32">
        <f t="shared" si="1"/>
        <v>0.29075750357313007</v>
      </c>
      <c r="I28" s="32">
        <f t="shared" si="2"/>
        <v>-0.10086686869739563</v>
      </c>
      <c r="J28" s="33">
        <f t="shared" si="5"/>
        <v>-21.171955739583343</v>
      </c>
      <c r="K28" s="33">
        <f t="shared" si="3"/>
        <v>-2.1171955739583344</v>
      </c>
      <c r="L28" s="17">
        <v>87</v>
      </c>
      <c r="M28" s="34">
        <f t="shared" si="6"/>
        <v>0.11494252873563218</v>
      </c>
      <c r="N28" s="17">
        <v>108</v>
      </c>
      <c r="O28" s="35">
        <f t="shared" ref="O28:P28" si="36">D28/7</f>
        <v>1.4285714285714286</v>
      </c>
      <c r="P28" s="35">
        <f t="shared" si="36"/>
        <v>0</v>
      </c>
      <c r="Q28" s="30">
        <f t="shared" si="8"/>
        <v>75</v>
      </c>
      <c r="R28" s="30"/>
      <c r="S28" s="22">
        <v>0.32</v>
      </c>
      <c r="T28" s="15">
        <v>180</v>
      </c>
      <c r="U28" s="23" t="s">
        <v>56</v>
      </c>
      <c r="V28" s="1" t="s">
        <v>56</v>
      </c>
      <c r="W28" s="15">
        <v>7</v>
      </c>
      <c r="X28" s="39">
        <f t="shared" si="9"/>
        <v>0.7</v>
      </c>
      <c r="Y28" s="40">
        <f t="shared" si="10"/>
        <v>2.3473076923076923</v>
      </c>
      <c r="Z28" s="15">
        <v>19</v>
      </c>
      <c r="AA28" s="29" t="s">
        <v>58</v>
      </c>
      <c r="AB28" s="41">
        <f t="shared" si="11"/>
        <v>-0.69</v>
      </c>
      <c r="AC28" s="42">
        <v>7.1130850694444442E-2</v>
      </c>
      <c r="AD28" s="40">
        <f t="shared" si="12"/>
        <v>-0.98160573958333319</v>
      </c>
      <c r="AE28" s="26">
        <v>-7.18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48">
        <v>20.99</v>
      </c>
      <c r="C29" s="16">
        <f t="shared" si="4"/>
        <v>21.323333333333334</v>
      </c>
      <c r="D29" s="17">
        <v>6</v>
      </c>
      <c r="E29" s="17">
        <v>0</v>
      </c>
      <c r="F29" s="18">
        <v>127.94</v>
      </c>
      <c r="G29" s="18">
        <v>-64.11</v>
      </c>
      <c r="H29" s="32">
        <f t="shared" si="1"/>
        <v>0.5010942629357511</v>
      </c>
      <c r="I29" s="32">
        <f t="shared" si="2"/>
        <v>-0.30088458217719244</v>
      </c>
      <c r="J29" s="33">
        <f t="shared" si="5"/>
        <v>-38.495173443749998</v>
      </c>
      <c r="K29" s="33">
        <f t="shared" si="3"/>
        <v>-6.4158622406249997</v>
      </c>
      <c r="L29" s="17">
        <v>75</v>
      </c>
      <c r="M29" s="34">
        <f t="shared" si="6"/>
        <v>0.08</v>
      </c>
      <c r="N29" s="17">
        <v>111</v>
      </c>
      <c r="O29" s="35">
        <f t="shared" ref="O29:P29" si="37">D29/7</f>
        <v>0.8571428571428571</v>
      </c>
      <c r="P29" s="35">
        <f t="shared" si="37"/>
        <v>0</v>
      </c>
      <c r="Q29" s="30">
        <f t="shared" si="8"/>
        <v>129</v>
      </c>
      <c r="R29" s="30"/>
      <c r="S29" s="22">
        <v>0.54700854700854706</v>
      </c>
      <c r="T29" s="15">
        <v>180</v>
      </c>
      <c r="U29" s="23" t="s">
        <v>56</v>
      </c>
      <c r="V29" s="1" t="s">
        <v>56</v>
      </c>
      <c r="W29" s="15">
        <v>4</v>
      </c>
      <c r="X29" s="39">
        <f t="shared" si="9"/>
        <v>0.66666666666666663</v>
      </c>
      <c r="Y29" s="40">
        <f t="shared" si="10"/>
        <v>1.5636585365853659</v>
      </c>
      <c r="Z29" s="15">
        <v>37</v>
      </c>
      <c r="AA29" s="29" t="s">
        <v>58</v>
      </c>
      <c r="AB29" s="41">
        <f t="shared" si="11"/>
        <v>-0.69</v>
      </c>
      <c r="AC29" s="42">
        <v>7.1130850694444442E-2</v>
      </c>
      <c r="AD29" s="40">
        <f t="shared" si="12"/>
        <v>-0.58896344374999987</v>
      </c>
      <c r="AE29" s="26">
        <v>-7.18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48">
        <v>18.489999999999998</v>
      </c>
      <c r="C30" s="16">
        <f t="shared" si="4"/>
        <v>21.156666666666666</v>
      </c>
      <c r="D30" s="17">
        <v>3</v>
      </c>
      <c r="E30" s="17">
        <v>0</v>
      </c>
      <c r="F30" s="18">
        <v>63.47</v>
      </c>
      <c r="G30" s="18">
        <v>-51.61</v>
      </c>
      <c r="H30" s="32">
        <f t="shared" si="1"/>
        <v>0.81314006617299517</v>
      </c>
      <c r="I30" s="32">
        <f t="shared" si="2"/>
        <v>-0.58294596633251938</v>
      </c>
      <c r="J30" s="33">
        <f t="shared" si="5"/>
        <v>-36.999580483125001</v>
      </c>
      <c r="K30" s="33">
        <f t="shared" si="3"/>
        <v>-12.333193494375001</v>
      </c>
      <c r="L30" s="17">
        <v>73</v>
      </c>
      <c r="M30" s="34">
        <f t="shared" si="6"/>
        <v>4.1095890410958902E-2</v>
      </c>
      <c r="N30" s="17">
        <v>107</v>
      </c>
      <c r="O30" s="35">
        <f t="shared" ref="O30:P30" si="38">D30/7</f>
        <v>0.42857142857142855</v>
      </c>
      <c r="P30" s="35">
        <f t="shared" si="38"/>
        <v>0</v>
      </c>
      <c r="Q30" s="30">
        <f t="shared" si="8"/>
        <v>249</v>
      </c>
      <c r="R30" s="30"/>
      <c r="S30" s="22">
        <v>0.72727272727272729</v>
      </c>
      <c r="T30" s="29">
        <v>180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5.1609999999999996</v>
      </c>
      <c r="Z30" s="15">
        <v>10</v>
      </c>
      <c r="AA30" s="29" t="s">
        <v>58</v>
      </c>
      <c r="AB30" s="41">
        <f t="shared" si="11"/>
        <v>-0.69</v>
      </c>
      <c r="AC30" s="42">
        <v>7.1130850694444442E-2</v>
      </c>
      <c r="AD30" s="40">
        <f t="shared" si="12"/>
        <v>-0.29448172187499994</v>
      </c>
      <c r="AE30" s="26">
        <v>-7.18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4"/>
        <v>18.489999999999998</v>
      </c>
      <c r="D31" s="17">
        <v>8</v>
      </c>
      <c r="E31" s="17">
        <v>0</v>
      </c>
      <c r="F31" s="18">
        <v>147.91999999999999</v>
      </c>
      <c r="G31" s="43">
        <v>-56.44</v>
      </c>
      <c r="H31" s="32">
        <f t="shared" si="1"/>
        <v>0.38155759870200112</v>
      </c>
      <c r="I31" s="32">
        <f t="shared" si="2"/>
        <v>-0.2407532086375519</v>
      </c>
      <c r="J31" s="33">
        <f t="shared" si="5"/>
        <v>-35.612214621666674</v>
      </c>
      <c r="K31" s="33">
        <f t="shared" si="3"/>
        <v>-4.4515268277083342</v>
      </c>
      <c r="L31" s="17">
        <v>54</v>
      </c>
      <c r="M31" s="34">
        <f t="shared" si="6"/>
        <v>0.14814814814814814</v>
      </c>
      <c r="N31" s="17">
        <v>99</v>
      </c>
      <c r="O31" s="35">
        <f t="shared" ref="O31:P31" si="39">D31/7</f>
        <v>1.1428571428571428</v>
      </c>
      <c r="P31" s="35">
        <f t="shared" si="39"/>
        <v>0</v>
      </c>
      <c r="Q31" s="30">
        <f t="shared" si="8"/>
        <v>86</v>
      </c>
      <c r="R31" s="30"/>
      <c r="S31" s="22">
        <v>0.37246963562752999</v>
      </c>
      <c r="T31" s="15">
        <v>180</v>
      </c>
      <c r="U31" s="23" t="s">
        <v>56</v>
      </c>
      <c r="V31" s="1" t="s">
        <v>124</v>
      </c>
      <c r="W31" s="15">
        <v>4</v>
      </c>
      <c r="X31" s="39">
        <f t="shared" si="9"/>
        <v>0.5</v>
      </c>
      <c r="Y31" s="40">
        <f t="shared" si="10"/>
        <v>2.9705263157894737</v>
      </c>
      <c r="Z31" s="15">
        <v>15</v>
      </c>
      <c r="AA31" s="15" t="s">
        <v>58</v>
      </c>
      <c r="AB31" s="41">
        <f t="shared" si="11"/>
        <v>-0.69</v>
      </c>
      <c r="AC31" s="28">
        <v>7.1130850694444442E-2</v>
      </c>
      <c r="AD31" s="40">
        <f t="shared" si="12"/>
        <v>-0.78528459166666653</v>
      </c>
      <c r="AE31" s="44">
        <v>-7.18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18.489999999999998</v>
      </c>
      <c r="D32" s="17">
        <v>12</v>
      </c>
      <c r="E32" s="17">
        <v>0</v>
      </c>
      <c r="F32" s="18">
        <v>221.88</v>
      </c>
      <c r="G32" s="18">
        <v>-51.71</v>
      </c>
      <c r="H32" s="32">
        <f t="shared" si="1"/>
        <v>0.23305390301063639</v>
      </c>
      <c r="I32" s="32">
        <f t="shared" si="2"/>
        <v>-9.2249512946187176E-2</v>
      </c>
      <c r="J32" s="33">
        <f t="shared" si="5"/>
        <v>-20.468321932500011</v>
      </c>
      <c r="K32" s="33">
        <f t="shared" si="3"/>
        <v>-1.7056934943750008</v>
      </c>
      <c r="L32" s="17">
        <v>65</v>
      </c>
      <c r="M32" s="34">
        <f t="shared" si="6"/>
        <v>0.18461538461538463</v>
      </c>
      <c r="N32" s="17">
        <v>91</v>
      </c>
      <c r="O32" s="35">
        <f t="shared" ref="O32:P32" si="40">D32/7</f>
        <v>1.7142857142857142</v>
      </c>
      <c r="P32" s="35">
        <f t="shared" si="40"/>
        <v>0</v>
      </c>
      <c r="Q32" s="30">
        <f t="shared" si="8"/>
        <v>53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0.1299638989169675</v>
      </c>
      <c r="T32" s="15">
        <f ca="1">IFERROR(__xludf.DUMMYFUNCTION("IFERROR(VLOOKUP($B$2,IMPORTRANGE(""https://docs.google.com/spreadsheets/d/1KiWZV1ko8G7lnRucBRBd29jj3Be6ltMfljMDqzOkQmI/edit#gid=1381463014"",""Lookup!A:D""),4,FALSE),"""")"),180)</f>
        <v>180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180 At Factory 50-75 days from Earliest Arrival")</f>
        <v>No Transit, But 180 At Factory 50-75 days from Earliest Arrival</v>
      </c>
      <c r="W32" s="15">
        <v>10</v>
      </c>
      <c r="X32" s="39">
        <f t="shared" si="9"/>
        <v>0.83333333333333337</v>
      </c>
      <c r="Y32" s="40">
        <f t="shared" si="10"/>
        <v>2.5855000000000001</v>
      </c>
      <c r="Z32" s="15">
        <v>10</v>
      </c>
      <c r="AA32" s="15" t="s">
        <v>58</v>
      </c>
      <c r="AB32" s="41">
        <f t="shared" si="11"/>
        <v>-0.69</v>
      </c>
      <c r="AC32" s="28">
        <v>7.1130850694444442E-2</v>
      </c>
      <c r="AD32" s="40">
        <f t="shared" si="12"/>
        <v>-1.1779268874999997</v>
      </c>
      <c r="AE32" s="26">
        <v>-7.18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6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Blue &amp; Black")</f>
        <v>Corn Filled Cornhole Bags - Set of 8 Bean Bags for Corn Hole Game - Regulation Size &amp; Weight - Blue &amp; Black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Info!B1:BJ7000""),2,FALSE),"""")"),"B087YWC5QJ")</f>
        <v>B087YWC5QJ</v>
      </c>
      <c r="B2" s="47" t="s">
        <v>125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91.5" customHeight="1" x14ac:dyDescent="0.2">
      <c r="A3" s="62" t="s">
        <v>31</v>
      </c>
      <c r="B3" s="63"/>
      <c r="C3" s="4">
        <f>((AE32+AF32)/0.85)*-1</f>
        <v>15.311607357352942</v>
      </c>
      <c r="D3" s="5">
        <f>SUM(D4:D99765)</f>
        <v>31</v>
      </c>
      <c r="E3" s="5"/>
      <c r="F3" s="6">
        <f t="shared" ref="F3:G3" si="0">SUM(F4:F99765)</f>
        <v>665.44000000000017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0.20456951915879396</v>
      </c>
      <c r="J3" s="6">
        <f>SUM(J4:J99765)</f>
        <v>136.12874082902789</v>
      </c>
      <c r="K3" s="6">
        <f t="shared" ref="K3:K32" si="3">J3/D3</f>
        <v>4.3912497041621901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1 - April
1 - May
2 - June
2 - July
2 - Aug
1.5 - Sept
1 - Oct
0 - Nov
0 - Dec
0.1 - Jan
0.1 - Feb")</f>
        <v>0.5 - March
1 - April
1 - May
2 - June
2 - July
2 - Aug
1.5 - Sept
1 -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-12.488544455683659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126</v>
      </c>
      <c r="C4" s="16">
        <f t="shared" ref="C4:C32" si="4">IFERROR(F4/D4," - ")</f>
        <v>20.905000000000001</v>
      </c>
      <c r="D4" s="17">
        <v>2</v>
      </c>
      <c r="E4" s="17">
        <v>0</v>
      </c>
      <c r="F4" s="18">
        <v>41.81</v>
      </c>
      <c r="G4" s="18">
        <v>0</v>
      </c>
      <c r="H4" s="19">
        <f t="shared" si="1"/>
        <v>0</v>
      </c>
      <c r="I4" s="19">
        <f t="shared" si="2"/>
        <v>0.19938921386124034</v>
      </c>
      <c r="J4" s="18">
        <f t="shared" ref="J4:J32" si="5">F4*0.85+G4+AF4*D4+D4*AE4+AG4+AD4</f>
        <v>8.3364630315384591</v>
      </c>
      <c r="K4" s="18">
        <f t="shared" si="3"/>
        <v>4.1682315157692296</v>
      </c>
      <c r="L4" s="17">
        <v>0</v>
      </c>
      <c r="M4" s="20" t="str">
        <f t="shared" ref="M4:M32" si="6">IFERROR(D4/L4,"-")</f>
        <v>-</v>
      </c>
      <c r="N4" s="17">
        <v>30</v>
      </c>
      <c r="O4" s="21">
        <f t="shared" ref="O4:P4" si="7">D4/7</f>
        <v>0.2857142857142857</v>
      </c>
      <c r="P4" s="21">
        <f t="shared" si="7"/>
        <v>0</v>
      </c>
      <c r="Q4" s="17">
        <f t="shared" ref="Q4:Q32" si="8">ROUNDDOWN(N4/(O4+P4),0)</f>
        <v>105</v>
      </c>
      <c r="R4" s="17"/>
      <c r="S4" s="22">
        <v>1.4806629834254099</v>
      </c>
      <c r="T4" s="15">
        <v>190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0.29188119444444444</v>
      </c>
      <c r="AD4" s="26">
        <f t="shared" ref="AD4:AD32" si="12">IFERROR(AB4*AC4*D4*2,0)</f>
        <v>-0.80559209666666654</v>
      </c>
      <c r="AE4" s="26">
        <v>-7.32</v>
      </c>
      <c r="AF4" s="26">
        <v>-5.8782224358974364</v>
      </c>
      <c r="AG4" s="26">
        <v>0</v>
      </c>
    </row>
    <row r="5" spans="1:33" ht="15.75" customHeight="1" x14ac:dyDescent="0.2">
      <c r="A5" s="29" t="s">
        <v>33</v>
      </c>
      <c r="B5" s="29" t="s">
        <v>127</v>
      </c>
      <c r="C5" s="16">
        <f t="shared" si="4"/>
        <v>18.647500000000001</v>
      </c>
      <c r="D5" s="30">
        <v>4</v>
      </c>
      <c r="E5" s="30">
        <v>0</v>
      </c>
      <c r="F5" s="31">
        <v>74.59</v>
      </c>
      <c r="G5" s="31">
        <v>0</v>
      </c>
      <c r="H5" s="32">
        <f t="shared" si="1"/>
        <v>0</v>
      </c>
      <c r="I5" s="32">
        <f t="shared" si="2"/>
        <v>0.12060006845055088</v>
      </c>
      <c r="J5" s="33">
        <f t="shared" si="5"/>
        <v>8.9955591057265902</v>
      </c>
      <c r="K5" s="33">
        <f t="shared" si="3"/>
        <v>2.2488897764316476</v>
      </c>
      <c r="L5" s="30">
        <v>18</v>
      </c>
      <c r="M5" s="34">
        <f t="shared" si="6"/>
        <v>0.22222222222222221</v>
      </c>
      <c r="N5" s="30">
        <v>25</v>
      </c>
      <c r="O5" s="35">
        <f t="shared" ref="O5:P5" si="13">D5/7</f>
        <v>0.5714285714285714</v>
      </c>
      <c r="P5" s="35">
        <f t="shared" si="13"/>
        <v>0</v>
      </c>
      <c r="Q5" s="30">
        <f t="shared" si="8"/>
        <v>43</v>
      </c>
      <c r="R5" s="30"/>
      <c r="S5" s="36">
        <v>1.09230769230769</v>
      </c>
      <c r="T5" s="29">
        <v>190</v>
      </c>
      <c r="U5" s="37" t="s">
        <v>56</v>
      </c>
      <c r="V5" s="38" t="s">
        <v>56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58</v>
      </c>
      <c r="AB5" s="41">
        <f t="shared" si="11"/>
        <v>-0.69</v>
      </c>
      <c r="AC5" s="42">
        <v>0.29221941135573581</v>
      </c>
      <c r="AD5" s="40">
        <f t="shared" si="12"/>
        <v>-1.6130511506836616</v>
      </c>
      <c r="AE5" s="40">
        <v>-7.32</v>
      </c>
      <c r="AF5" s="40">
        <v>-5.8782224358974364</v>
      </c>
      <c r="AG5" s="40">
        <v>0</v>
      </c>
    </row>
    <row r="6" spans="1:33" ht="15.75" customHeight="1" x14ac:dyDescent="0.2">
      <c r="A6" s="29" t="s">
        <v>34</v>
      </c>
      <c r="B6" s="29" t="s">
        <v>128</v>
      </c>
      <c r="C6" s="16">
        <f t="shared" si="4"/>
        <v>18.329999999999998</v>
      </c>
      <c r="D6" s="30">
        <v>2</v>
      </c>
      <c r="E6" s="30">
        <v>0</v>
      </c>
      <c r="F6" s="31">
        <v>36.659999999999997</v>
      </c>
      <c r="G6" s="31">
        <v>0</v>
      </c>
      <c r="H6" s="32">
        <f t="shared" si="1"/>
        <v>0</v>
      </c>
      <c r="I6" s="32">
        <f t="shared" si="2"/>
        <v>0.10799135383356405</v>
      </c>
      <c r="J6" s="33">
        <f t="shared" si="5"/>
        <v>3.9589630315384579</v>
      </c>
      <c r="K6" s="33">
        <f t="shared" si="3"/>
        <v>1.9794815157692289</v>
      </c>
      <c r="L6" s="30">
        <v>26</v>
      </c>
      <c r="M6" s="34">
        <f t="shared" si="6"/>
        <v>7.6923076923076927E-2</v>
      </c>
      <c r="N6" s="30">
        <v>23</v>
      </c>
      <c r="O6" s="35">
        <f t="shared" ref="O6:P6" si="14">D6/7</f>
        <v>0.2857142857142857</v>
      </c>
      <c r="P6" s="35">
        <f t="shared" si="14"/>
        <v>0</v>
      </c>
      <c r="Q6" s="30">
        <f t="shared" si="8"/>
        <v>80</v>
      </c>
      <c r="R6" s="30"/>
      <c r="S6" s="36">
        <v>1.20325203252032</v>
      </c>
      <c r="T6" s="29">
        <v>190</v>
      </c>
      <c r="U6" s="37" t="s">
        <v>56</v>
      </c>
      <c r="V6" s="38" t="s">
        <v>63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58</v>
      </c>
      <c r="AB6" s="41">
        <f t="shared" si="11"/>
        <v>-0.69</v>
      </c>
      <c r="AC6" s="42">
        <v>0.29188119444444444</v>
      </c>
      <c r="AD6" s="40">
        <f t="shared" si="12"/>
        <v>-0.80559209666666654</v>
      </c>
      <c r="AE6" s="40">
        <v>-7.32</v>
      </c>
      <c r="AF6" s="40">
        <v>-5.8782224358974364</v>
      </c>
      <c r="AG6" s="40">
        <v>0</v>
      </c>
    </row>
    <row r="7" spans="1:33" ht="15.75" customHeight="1" x14ac:dyDescent="0.2">
      <c r="A7" s="29" t="s">
        <v>35</v>
      </c>
      <c r="B7" s="29" t="s">
        <v>127</v>
      </c>
      <c r="C7" s="16">
        <f t="shared" si="4"/>
        <v>22.100000000000005</v>
      </c>
      <c r="D7" s="30">
        <v>3</v>
      </c>
      <c r="E7" s="30">
        <v>0</v>
      </c>
      <c r="F7" s="31">
        <v>66.300000000000011</v>
      </c>
      <c r="G7" s="31">
        <v>0</v>
      </c>
      <c r="H7" s="32">
        <f t="shared" si="1"/>
        <v>0</v>
      </c>
      <c r="I7" s="32">
        <f t="shared" si="2"/>
        <v>0.23456929935607385</v>
      </c>
      <c r="J7" s="33">
        <f t="shared" si="5"/>
        <v>15.551944547307698</v>
      </c>
      <c r="K7" s="33">
        <f t="shared" si="3"/>
        <v>5.1839815157692328</v>
      </c>
      <c r="L7" s="30">
        <v>19</v>
      </c>
      <c r="M7" s="34">
        <f t="shared" si="6"/>
        <v>0.15789473684210525</v>
      </c>
      <c r="N7" s="30">
        <v>20</v>
      </c>
      <c r="O7" s="35">
        <f t="shared" ref="O7:P7" si="15">D7/7</f>
        <v>0.42857142857142855</v>
      </c>
      <c r="P7" s="35">
        <f t="shared" si="15"/>
        <v>0</v>
      </c>
      <c r="Q7" s="30">
        <f t="shared" si="8"/>
        <v>46</v>
      </c>
      <c r="R7" s="30"/>
      <c r="S7" s="36">
        <v>1.26696832579185</v>
      </c>
      <c r="T7" s="29">
        <v>190</v>
      </c>
      <c r="U7" s="37" t="s">
        <v>56</v>
      </c>
      <c r="V7" s="38" t="s">
        <v>63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58</v>
      </c>
      <c r="AB7" s="41">
        <f t="shared" si="11"/>
        <v>-0.69</v>
      </c>
      <c r="AC7" s="42">
        <v>0.29188119444444444</v>
      </c>
      <c r="AD7" s="40">
        <f t="shared" si="12"/>
        <v>-1.2083881449999998</v>
      </c>
      <c r="AE7" s="40">
        <v>-7.32</v>
      </c>
      <c r="AF7" s="40">
        <v>-5.8782224358974364</v>
      </c>
      <c r="AG7" s="40">
        <v>0</v>
      </c>
    </row>
    <row r="8" spans="1:33" ht="15.75" customHeight="1" x14ac:dyDescent="0.2">
      <c r="A8" s="29" t="s">
        <v>36</v>
      </c>
      <c r="B8" s="29" t="s">
        <v>127</v>
      </c>
      <c r="C8" s="16">
        <f t="shared" si="4"/>
        <v>22.365000000000002</v>
      </c>
      <c r="D8" s="30">
        <v>2</v>
      </c>
      <c r="E8" s="30">
        <v>0</v>
      </c>
      <c r="F8" s="31">
        <v>44.730000000000004</v>
      </c>
      <c r="G8" s="31">
        <v>0</v>
      </c>
      <c r="H8" s="32">
        <f t="shared" si="1"/>
        <v>0</v>
      </c>
      <c r="I8" s="32">
        <f t="shared" si="2"/>
        <v>0.24178197861241538</v>
      </c>
      <c r="J8" s="33">
        <f t="shared" si="5"/>
        <v>10.81490790333334</v>
      </c>
      <c r="K8" s="33">
        <f t="shared" si="3"/>
        <v>5.4074539516666702</v>
      </c>
      <c r="L8" s="30">
        <v>19</v>
      </c>
      <c r="M8" s="34">
        <f t="shared" si="6"/>
        <v>0.10526315789473684</v>
      </c>
      <c r="N8" s="30">
        <v>19</v>
      </c>
      <c r="O8" s="35">
        <f t="shared" ref="O8:P8" si="16">D8/7</f>
        <v>0.2857142857142857</v>
      </c>
      <c r="P8" s="35">
        <f t="shared" si="16"/>
        <v>0</v>
      </c>
      <c r="Q8" s="30">
        <f t="shared" si="8"/>
        <v>66</v>
      </c>
      <c r="R8" s="30"/>
      <c r="S8" s="36">
        <v>1.1940298507462599</v>
      </c>
      <c r="T8" s="29">
        <v>190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58</v>
      </c>
      <c r="AB8" s="41">
        <f t="shared" si="11"/>
        <v>-0.69</v>
      </c>
      <c r="AC8" s="42">
        <v>0.29188119444444444</v>
      </c>
      <c r="AD8" s="40">
        <f t="shared" si="12"/>
        <v>-0.80559209666666654</v>
      </c>
      <c r="AE8" s="40">
        <v>-7.32</v>
      </c>
      <c r="AF8" s="40">
        <v>-5.88</v>
      </c>
      <c r="AG8" s="40">
        <v>0</v>
      </c>
    </row>
    <row r="9" spans="1:33" ht="15.75" customHeight="1" x14ac:dyDescent="0.2">
      <c r="A9" s="29" t="s">
        <v>37</v>
      </c>
      <c r="B9" s="29" t="s">
        <v>127</v>
      </c>
      <c r="C9" s="16">
        <f t="shared" si="4"/>
        <v>23.179999999999996</v>
      </c>
      <c r="D9" s="30">
        <v>3</v>
      </c>
      <c r="E9" s="30">
        <v>0</v>
      </c>
      <c r="F9" s="31">
        <v>69.539999999999992</v>
      </c>
      <c r="G9" s="31">
        <v>0</v>
      </c>
      <c r="H9" s="32">
        <f t="shared" si="1"/>
        <v>0</v>
      </c>
      <c r="I9" s="32">
        <f t="shared" si="2"/>
        <v>0.24800588384659641</v>
      </c>
      <c r="J9" s="33">
        <f t="shared" si="5"/>
        <v>17.246329162692312</v>
      </c>
      <c r="K9" s="33">
        <f t="shared" si="3"/>
        <v>5.7487763875641038</v>
      </c>
      <c r="L9" s="30">
        <v>12</v>
      </c>
      <c r="M9" s="34">
        <f t="shared" si="6"/>
        <v>0.25</v>
      </c>
      <c r="N9" s="30">
        <v>16</v>
      </c>
      <c r="O9" s="35">
        <f t="shared" ref="O9:P9" si="17">D9/7</f>
        <v>0.42857142857142855</v>
      </c>
      <c r="P9" s="35">
        <f t="shared" si="17"/>
        <v>0</v>
      </c>
      <c r="Q9" s="30">
        <f t="shared" si="8"/>
        <v>37</v>
      </c>
      <c r="R9" s="30"/>
      <c r="S9" s="36">
        <v>1.3555555555555501</v>
      </c>
      <c r="T9" s="29">
        <v>190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58</v>
      </c>
      <c r="AB9" s="41">
        <f t="shared" si="11"/>
        <v>-0.69</v>
      </c>
      <c r="AC9" s="42">
        <v>0.29188119444444444</v>
      </c>
      <c r="AD9" s="40">
        <f t="shared" si="12"/>
        <v>-1.2083881449999998</v>
      </c>
      <c r="AE9" s="40">
        <v>-7.32</v>
      </c>
      <c r="AF9" s="40">
        <v>-6.2314275641025603</v>
      </c>
      <c r="AG9" s="40">
        <v>0</v>
      </c>
    </row>
    <row r="10" spans="1:33" ht="15.75" customHeight="1" x14ac:dyDescent="0.2">
      <c r="A10" s="29" t="s">
        <v>38</v>
      </c>
      <c r="B10" s="29" t="s">
        <v>127</v>
      </c>
      <c r="C10" s="16">
        <f t="shared" si="4"/>
        <v>23.323333333333334</v>
      </c>
      <c r="D10" s="30">
        <v>3</v>
      </c>
      <c r="E10" s="30">
        <v>0</v>
      </c>
      <c r="F10" s="31">
        <v>69.97</v>
      </c>
      <c r="G10" s="31">
        <v>0</v>
      </c>
      <c r="H10" s="32">
        <f t="shared" si="1"/>
        <v>0</v>
      </c>
      <c r="I10" s="32">
        <f t="shared" si="2"/>
        <v>0.25170543322412914</v>
      </c>
      <c r="J10" s="33">
        <f t="shared" si="5"/>
        <v>17.611829162692317</v>
      </c>
      <c r="K10" s="33">
        <f t="shared" si="3"/>
        <v>5.8706097208974386</v>
      </c>
      <c r="L10" s="30">
        <v>16</v>
      </c>
      <c r="M10" s="34">
        <f t="shared" si="6"/>
        <v>0.1875</v>
      </c>
      <c r="N10" s="30">
        <v>12</v>
      </c>
      <c r="O10" s="35">
        <f t="shared" ref="O10:P10" si="18">D10/7</f>
        <v>0.42857142857142855</v>
      </c>
      <c r="P10" s="35">
        <f t="shared" si="18"/>
        <v>0</v>
      </c>
      <c r="Q10" s="30">
        <f t="shared" si="8"/>
        <v>28</v>
      </c>
      <c r="R10" s="30"/>
      <c r="S10" s="36">
        <v>1.55555555555555</v>
      </c>
      <c r="T10" s="29">
        <v>190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58</v>
      </c>
      <c r="AB10" s="41">
        <f t="shared" si="11"/>
        <v>-0.69</v>
      </c>
      <c r="AC10" s="42">
        <v>0.29188119444444444</v>
      </c>
      <c r="AD10" s="40">
        <f t="shared" si="12"/>
        <v>-1.2083881449999998</v>
      </c>
      <c r="AE10" s="40">
        <v>-7.32</v>
      </c>
      <c r="AF10" s="40">
        <v>-6.2314275641025603</v>
      </c>
      <c r="AG10" s="40">
        <v>0</v>
      </c>
    </row>
    <row r="11" spans="1:33" ht="15.75" customHeight="1" x14ac:dyDescent="0.2">
      <c r="A11" s="29" t="s">
        <v>39</v>
      </c>
      <c r="B11" s="29" t="s">
        <v>127</v>
      </c>
      <c r="C11" s="16">
        <f t="shared" si="4"/>
        <v>25.51</v>
      </c>
      <c r="D11" s="30">
        <v>2</v>
      </c>
      <c r="E11" s="30">
        <v>0</v>
      </c>
      <c r="F11" s="31">
        <v>51.02</v>
      </c>
      <c r="G11" s="31">
        <v>0</v>
      </c>
      <c r="H11" s="32">
        <f t="shared" si="1"/>
        <v>0</v>
      </c>
      <c r="I11" s="32">
        <f t="shared" si="2"/>
        <v>0.30299005831297954</v>
      </c>
      <c r="J11" s="33">
        <f t="shared" si="5"/>
        <v>15.458552775128217</v>
      </c>
      <c r="K11" s="33">
        <f t="shared" si="3"/>
        <v>7.7292763875641084</v>
      </c>
      <c r="L11" s="30">
        <v>14</v>
      </c>
      <c r="M11" s="34">
        <f t="shared" si="6"/>
        <v>0.14285714285714285</v>
      </c>
      <c r="N11" s="30">
        <v>9</v>
      </c>
      <c r="O11" s="35">
        <f t="shared" ref="O11:P11" si="19">D11/7</f>
        <v>0.2857142857142857</v>
      </c>
      <c r="P11" s="35">
        <f t="shared" si="19"/>
        <v>0</v>
      </c>
      <c r="Q11" s="30">
        <f t="shared" si="8"/>
        <v>31</v>
      </c>
      <c r="R11" s="30"/>
      <c r="S11" s="36">
        <v>1.69444444444444</v>
      </c>
      <c r="T11" s="29">
        <v>378</v>
      </c>
      <c r="U11" s="37" t="s">
        <v>56</v>
      </c>
      <c r="V11" s="38" t="s">
        <v>129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58</v>
      </c>
      <c r="AB11" s="41">
        <f t="shared" si="11"/>
        <v>-0.69</v>
      </c>
      <c r="AC11" s="42">
        <v>0.29188119444444444</v>
      </c>
      <c r="AD11" s="40">
        <f t="shared" si="12"/>
        <v>-0.80559209666666654</v>
      </c>
      <c r="AE11" s="40">
        <v>-7.32</v>
      </c>
      <c r="AF11" s="40">
        <v>-6.2314275641025603</v>
      </c>
      <c r="AG11" s="40">
        <v>0</v>
      </c>
    </row>
    <row r="12" spans="1:33" ht="15.75" customHeight="1" x14ac:dyDescent="0.2">
      <c r="A12" s="29" t="s">
        <v>40</v>
      </c>
      <c r="B12" s="29" t="s">
        <v>127</v>
      </c>
      <c r="C12" s="16">
        <f t="shared" si="4"/>
        <v>23.27</v>
      </c>
      <c r="D12" s="30">
        <v>3</v>
      </c>
      <c r="E12" s="30">
        <v>0</v>
      </c>
      <c r="F12" s="31">
        <v>69.81</v>
      </c>
      <c r="G12" s="31">
        <v>0</v>
      </c>
      <c r="H12" s="32">
        <f t="shared" si="1"/>
        <v>0</v>
      </c>
      <c r="I12" s="32">
        <f t="shared" si="2"/>
        <v>0.24658774819014251</v>
      </c>
      <c r="J12" s="33">
        <f t="shared" si="5"/>
        <v>17.21429070115385</v>
      </c>
      <c r="K12" s="33">
        <f t="shared" si="3"/>
        <v>5.7380969003846163</v>
      </c>
      <c r="L12" s="30">
        <v>14</v>
      </c>
      <c r="M12" s="34">
        <f t="shared" si="6"/>
        <v>0.21428571428571427</v>
      </c>
      <c r="N12" s="30">
        <v>7</v>
      </c>
      <c r="O12" s="35">
        <f t="shared" ref="O12:P12" si="20">D12/7</f>
        <v>0.42857142857142855</v>
      </c>
      <c r="P12" s="35">
        <f t="shared" si="20"/>
        <v>0</v>
      </c>
      <c r="Q12" s="30">
        <f t="shared" si="8"/>
        <v>16</v>
      </c>
      <c r="R12" s="30"/>
      <c r="S12" s="36">
        <v>1.8294573643410801</v>
      </c>
      <c r="T12" s="29">
        <v>0</v>
      </c>
      <c r="U12" s="37" t="s">
        <v>56</v>
      </c>
      <c r="V12" s="38" t="s">
        <v>56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58</v>
      </c>
      <c r="AB12" s="41">
        <f t="shared" si="11"/>
        <v>-0.69</v>
      </c>
      <c r="AC12" s="42">
        <v>0.29188119444444444</v>
      </c>
      <c r="AD12" s="40">
        <f t="shared" si="12"/>
        <v>-1.2083881449999998</v>
      </c>
      <c r="AE12" s="40">
        <v>-7.32</v>
      </c>
      <c r="AF12" s="40">
        <v>-6.3186070512820498</v>
      </c>
      <c r="AG12" s="40">
        <v>0</v>
      </c>
    </row>
    <row r="13" spans="1:33" ht="15.75" customHeight="1" x14ac:dyDescent="0.2">
      <c r="A13" s="29" t="s">
        <v>41</v>
      </c>
      <c r="B13" s="29" t="s">
        <v>127</v>
      </c>
      <c r="C13" s="16">
        <f t="shared" si="4"/>
        <v>21.99</v>
      </c>
      <c r="D13" s="30">
        <v>1</v>
      </c>
      <c r="E13" s="30">
        <v>0</v>
      </c>
      <c r="F13" s="33">
        <v>21.99</v>
      </c>
      <c r="G13" s="31">
        <v>0</v>
      </c>
      <c r="H13" s="32">
        <f t="shared" si="1"/>
        <v>0</v>
      </c>
      <c r="I13" s="32">
        <f t="shared" si="2"/>
        <v>0.20242741935728353</v>
      </c>
      <c r="J13" s="33">
        <f t="shared" si="5"/>
        <v>4.4513789516666646</v>
      </c>
      <c r="K13" s="33">
        <f t="shared" si="3"/>
        <v>4.4513789516666646</v>
      </c>
      <c r="L13" s="30">
        <v>11</v>
      </c>
      <c r="M13" s="34">
        <f t="shared" si="6"/>
        <v>9.0909090909090912E-2</v>
      </c>
      <c r="N13" s="30">
        <v>5</v>
      </c>
      <c r="O13" s="35">
        <f t="shared" ref="O13:P13" si="21">D13/7</f>
        <v>0.14285714285714285</v>
      </c>
      <c r="P13" s="35">
        <f t="shared" si="21"/>
        <v>0</v>
      </c>
      <c r="Q13" s="30">
        <f t="shared" si="8"/>
        <v>35</v>
      </c>
      <c r="R13" s="30"/>
      <c r="S13" s="36">
        <v>1.8879999999999999</v>
      </c>
      <c r="T13" s="29">
        <v>0</v>
      </c>
      <c r="U13" s="37" t="s">
        <v>56</v>
      </c>
      <c r="V13" s="38" t="s">
        <v>56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58</v>
      </c>
      <c r="AB13" s="41">
        <f t="shared" si="11"/>
        <v>-0.69</v>
      </c>
      <c r="AC13" s="42">
        <v>0.29188119444444444</v>
      </c>
      <c r="AD13" s="40">
        <f t="shared" si="12"/>
        <v>-0.40279604833333327</v>
      </c>
      <c r="AE13" s="40">
        <v>-7.32</v>
      </c>
      <c r="AF13" s="40">
        <v>-6.5173249999999996</v>
      </c>
      <c r="AG13" s="40">
        <v>0</v>
      </c>
    </row>
    <row r="14" spans="1:33" ht="15.75" customHeight="1" x14ac:dyDescent="0.2">
      <c r="A14" s="29" t="s">
        <v>42</v>
      </c>
      <c r="B14" s="29"/>
      <c r="C14" s="16">
        <f t="shared" si="4"/>
        <v>21.99</v>
      </c>
      <c r="D14" s="30">
        <v>1</v>
      </c>
      <c r="E14" s="30">
        <v>0</v>
      </c>
      <c r="F14" s="33">
        <v>21.99</v>
      </c>
      <c r="G14" s="31">
        <v>0</v>
      </c>
      <c r="H14" s="32">
        <f t="shared" si="1"/>
        <v>0</v>
      </c>
      <c r="I14" s="32">
        <f t="shared" si="2"/>
        <v>0.20242741935728353</v>
      </c>
      <c r="J14" s="33">
        <f t="shared" si="5"/>
        <v>4.4513789516666646</v>
      </c>
      <c r="K14" s="33">
        <f t="shared" si="3"/>
        <v>4.4513789516666646</v>
      </c>
      <c r="L14" s="30">
        <v>19</v>
      </c>
      <c r="M14" s="34">
        <f t="shared" si="6"/>
        <v>5.2631578947368418E-2</v>
      </c>
      <c r="N14" s="30">
        <v>4</v>
      </c>
      <c r="O14" s="35">
        <f t="shared" ref="O14:P14" si="22">D14/7</f>
        <v>0.14285714285714285</v>
      </c>
      <c r="P14" s="35">
        <f t="shared" si="22"/>
        <v>0</v>
      </c>
      <c r="Q14" s="30">
        <f t="shared" si="8"/>
        <v>28</v>
      </c>
      <c r="R14" s="30"/>
      <c r="S14" s="36">
        <v>1.9780219780219701</v>
      </c>
      <c r="T14" s="29">
        <v>0</v>
      </c>
      <c r="U14" s="37" t="s">
        <v>56</v>
      </c>
      <c r="V14" s="38" t="s">
        <v>56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58</v>
      </c>
      <c r="AB14" s="41">
        <f t="shared" si="11"/>
        <v>-0.69</v>
      </c>
      <c r="AC14" s="42">
        <v>0.29188119444444444</v>
      </c>
      <c r="AD14" s="40">
        <f t="shared" si="12"/>
        <v>-0.40279604833333327</v>
      </c>
      <c r="AE14" s="40">
        <v>-7.32</v>
      </c>
      <c r="AF14" s="40">
        <v>-6.5173249999999996</v>
      </c>
      <c r="AG14" s="40">
        <v>0</v>
      </c>
    </row>
    <row r="15" spans="1:33" ht="15.75" customHeight="1" x14ac:dyDescent="0.2">
      <c r="A15" s="29" t="s">
        <v>43</v>
      </c>
      <c r="B15" s="29" t="s">
        <v>130</v>
      </c>
      <c r="C15" s="16">
        <f t="shared" si="4"/>
        <v>23.946666666666669</v>
      </c>
      <c r="D15" s="30">
        <v>3</v>
      </c>
      <c r="E15" s="30">
        <v>0</v>
      </c>
      <c r="F15" s="33">
        <v>71.84</v>
      </c>
      <c r="G15" s="31">
        <v>0</v>
      </c>
      <c r="H15" s="32">
        <f t="shared" si="1"/>
        <v>0</v>
      </c>
      <c r="I15" s="32">
        <f t="shared" si="2"/>
        <v>0.25534015666759463</v>
      </c>
      <c r="J15" s="33">
        <f t="shared" si="5"/>
        <v>18.343636855</v>
      </c>
      <c r="K15" s="33">
        <f t="shared" si="3"/>
        <v>6.1145456183333335</v>
      </c>
      <c r="L15" s="30">
        <v>20</v>
      </c>
      <c r="M15" s="34">
        <f t="shared" si="6"/>
        <v>0.15</v>
      </c>
      <c r="N15" s="30">
        <v>2</v>
      </c>
      <c r="O15" s="35">
        <f t="shared" ref="O15:P15" si="23">D15/7</f>
        <v>0.42857142857142855</v>
      </c>
      <c r="P15" s="35">
        <f t="shared" si="23"/>
        <v>0</v>
      </c>
      <c r="Q15" s="30">
        <f t="shared" si="8"/>
        <v>4</v>
      </c>
      <c r="R15" s="30"/>
      <c r="S15" s="36">
        <v>1.9220779220779201</v>
      </c>
      <c r="T15" s="29">
        <v>0</v>
      </c>
      <c r="U15" s="37" t="s">
        <v>56</v>
      </c>
      <c r="V15" s="38" t="s">
        <v>56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58</v>
      </c>
      <c r="AB15" s="41">
        <f t="shared" si="11"/>
        <v>-0.69</v>
      </c>
      <c r="AC15" s="42">
        <v>0.29188119444444444</v>
      </c>
      <c r="AD15" s="40">
        <f t="shared" si="12"/>
        <v>-1.2083881449999998</v>
      </c>
      <c r="AE15" s="40">
        <v>-7.32</v>
      </c>
      <c r="AF15" s="40">
        <v>-6.5173249999999996</v>
      </c>
      <c r="AG15" s="40">
        <v>0</v>
      </c>
    </row>
    <row r="16" spans="1:33" ht="15.75" customHeight="1" x14ac:dyDescent="0.2">
      <c r="A16" s="29" t="s">
        <v>44</v>
      </c>
      <c r="B16" s="29"/>
      <c r="C16" s="16">
        <f t="shared" si="4"/>
        <v>0</v>
      </c>
      <c r="D16" s="30">
        <v>1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-14.300331048333334</v>
      </c>
      <c r="K16" s="33">
        <f t="shared" si="3"/>
        <v>-14.300331048333334</v>
      </c>
      <c r="L16" s="30">
        <v>17</v>
      </c>
      <c r="M16" s="34">
        <f t="shared" si="6"/>
        <v>5.8823529411764705E-2</v>
      </c>
      <c r="N16" s="30">
        <v>1</v>
      </c>
      <c r="O16" s="35">
        <f t="shared" ref="O16:P16" si="24">D16/7</f>
        <v>0.14285714285714285</v>
      </c>
      <c r="P16" s="35">
        <f t="shared" si="24"/>
        <v>0</v>
      </c>
      <c r="Q16" s="30">
        <f t="shared" si="8"/>
        <v>7</v>
      </c>
      <c r="R16" s="30"/>
      <c r="S16" s="36" t="e">
        <v>#N/A</v>
      </c>
      <c r="T16" s="29">
        <v>0</v>
      </c>
      <c r="U16" s="37" t="s">
        <v>56</v>
      </c>
      <c r="V16" s="38" t="s">
        <v>56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58</v>
      </c>
      <c r="AB16" s="41">
        <f t="shared" si="11"/>
        <v>-0.69</v>
      </c>
      <c r="AC16" s="42">
        <v>0.29188119444444444</v>
      </c>
      <c r="AD16" s="40">
        <f t="shared" si="12"/>
        <v>-0.40279604833333327</v>
      </c>
      <c r="AE16" s="40">
        <v>-7.32</v>
      </c>
      <c r="AF16" s="40">
        <v>-6.5775350000000001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56</v>
      </c>
      <c r="V17" s="38" t="s">
        <v>56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58</v>
      </c>
      <c r="AB17" s="41">
        <f t="shared" si="11"/>
        <v>-0.69</v>
      </c>
      <c r="AC17" s="42">
        <v>0.29188119444444444</v>
      </c>
      <c r="AD17" s="40">
        <f t="shared" si="12"/>
        <v>0</v>
      </c>
      <c r="AE17" s="40">
        <v>-7.32</v>
      </c>
      <c r="AF17" s="40">
        <v>-6.5775350000000001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30</v>
      </c>
      <c r="U18" s="37" t="s">
        <v>56</v>
      </c>
      <c r="V18" s="38" t="s">
        <v>56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58</v>
      </c>
      <c r="AB18" s="41">
        <f t="shared" si="11"/>
        <v>-0.69</v>
      </c>
      <c r="AC18" s="42">
        <v>0.29188119444444444</v>
      </c>
      <c r="AD18" s="40">
        <f t="shared" si="12"/>
        <v>0</v>
      </c>
      <c r="AE18" s="40">
        <v>-7.32</v>
      </c>
      <c r="AF18" s="40">
        <v>-6.5775350000000001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30</v>
      </c>
      <c r="U19" s="37" t="s">
        <v>56</v>
      </c>
      <c r="V19" s="38" t="s">
        <v>56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58</v>
      </c>
      <c r="AB19" s="41">
        <f t="shared" si="11"/>
        <v>-0.69</v>
      </c>
      <c r="AC19" s="42">
        <v>0.29188119444444444</v>
      </c>
      <c r="AD19" s="40">
        <f t="shared" si="12"/>
        <v>0</v>
      </c>
      <c r="AE19" s="40">
        <v>-7.32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30</v>
      </c>
      <c r="U20" s="37" t="s">
        <v>56</v>
      </c>
      <c r="V20" s="38" t="s">
        <v>56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58</v>
      </c>
      <c r="AB20" s="41">
        <f t="shared" si="11"/>
        <v>-0.69</v>
      </c>
      <c r="AC20" s="42">
        <v>0.29188119444444444</v>
      </c>
      <c r="AD20" s="40">
        <f t="shared" si="12"/>
        <v>0</v>
      </c>
      <c r="AE20" s="40">
        <v>-7.32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30</v>
      </c>
      <c r="U21" s="37" t="s">
        <v>56</v>
      </c>
      <c r="V21" s="38" t="s">
        <v>56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58</v>
      </c>
      <c r="AB21" s="41">
        <f t="shared" si="11"/>
        <v>-0.69</v>
      </c>
      <c r="AC21" s="42">
        <v>0.29188119444444444</v>
      </c>
      <c r="AD21" s="40">
        <f t="shared" si="12"/>
        <v>0</v>
      </c>
      <c r="AE21" s="40">
        <v>-7.32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30</v>
      </c>
      <c r="U22" s="37" t="s">
        <v>56</v>
      </c>
      <c r="V22" s="38" t="s">
        <v>56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58</v>
      </c>
      <c r="AB22" s="41">
        <f t="shared" si="11"/>
        <v>-0.69</v>
      </c>
      <c r="AC22" s="42">
        <v>0.29188119444444444</v>
      </c>
      <c r="AD22" s="40">
        <f t="shared" si="12"/>
        <v>0</v>
      </c>
      <c r="AE22" s="40">
        <v>-7.32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30</v>
      </c>
      <c r="U23" s="37" t="s">
        <v>56</v>
      </c>
      <c r="V23" s="38" t="s">
        <v>56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58</v>
      </c>
      <c r="AB23" s="41">
        <f t="shared" si="11"/>
        <v>-0.69</v>
      </c>
      <c r="AC23" s="42">
        <v>0.29188119444444444</v>
      </c>
      <c r="AD23" s="40">
        <f t="shared" si="12"/>
        <v>0</v>
      </c>
      <c r="AE23" s="40">
        <v>-7.32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30</v>
      </c>
      <c r="U24" s="37" t="s">
        <v>56</v>
      </c>
      <c r="V24" s="38" t="s">
        <v>56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42">
        <v>0.29188119444444444</v>
      </c>
      <c r="AD24" s="40">
        <f t="shared" si="12"/>
        <v>0</v>
      </c>
      <c r="AE24" s="40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0.29188119444444444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218</v>
      </c>
      <c r="U26" s="23">
        <v>188</v>
      </c>
      <c r="V26" s="1" t="s">
        <v>131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0.29188119444444444</v>
      </c>
      <c r="AD26" s="40">
        <f t="shared" si="12"/>
        <v>0</v>
      </c>
      <c r="AE26" s="26">
        <v>-7.32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15">
        <v>218</v>
      </c>
      <c r="U27" s="23">
        <v>188</v>
      </c>
      <c r="V27" s="1" t="s">
        <v>131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0.29188119444444444</v>
      </c>
      <c r="AD27" s="40">
        <f t="shared" si="12"/>
        <v>0</v>
      </c>
      <c r="AE27" s="26">
        <v>-7.32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>
        <v>218</v>
      </c>
      <c r="U28" s="23">
        <v>188</v>
      </c>
      <c r="V28" s="1" t="s">
        <v>132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0.29188119444444444</v>
      </c>
      <c r="AD28" s="40">
        <f t="shared" si="12"/>
        <v>0</v>
      </c>
      <c r="AE28" s="26">
        <v>-7.32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218</v>
      </c>
      <c r="U29" s="23">
        <v>188</v>
      </c>
      <c r="V29" s="1" t="s">
        <v>132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0.29188119444444444</v>
      </c>
      <c r="AD29" s="40">
        <f t="shared" si="12"/>
        <v>0</v>
      </c>
      <c r="AE29" s="26">
        <v>-7.32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2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30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0.29188119444444444</v>
      </c>
      <c r="AD30" s="40">
        <f t="shared" si="12"/>
        <v>0</v>
      </c>
      <c r="AE30" s="26">
        <v>-7.18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4"/>
        <v>25.19</v>
      </c>
      <c r="D31" s="17">
        <v>1</v>
      </c>
      <c r="E31" s="17">
        <v>0</v>
      </c>
      <c r="F31" s="18">
        <v>25.19</v>
      </c>
      <c r="G31" s="43">
        <v>0</v>
      </c>
      <c r="H31" s="32">
        <f t="shared" si="1"/>
        <v>0</v>
      </c>
      <c r="I31" s="32">
        <f t="shared" si="2"/>
        <v>0.31734171091372237</v>
      </c>
      <c r="J31" s="33">
        <f t="shared" si="5"/>
        <v>7.9938376979166668</v>
      </c>
      <c r="K31" s="33">
        <f t="shared" si="3"/>
        <v>7.9938376979166668</v>
      </c>
      <c r="L31" s="17">
        <v>21</v>
      </c>
      <c r="M31" s="34">
        <f t="shared" si="6"/>
        <v>4.7619047619047616E-2</v>
      </c>
      <c r="N31" s="17">
        <v>1</v>
      </c>
      <c r="O31" s="35">
        <f t="shared" ref="O31:P31" si="39">D31/7</f>
        <v>0.14285714285714285</v>
      </c>
      <c r="P31" s="35">
        <f t="shared" si="39"/>
        <v>0</v>
      </c>
      <c r="Q31" s="30">
        <f t="shared" si="8"/>
        <v>7</v>
      </c>
      <c r="R31" s="30"/>
      <c r="S31" s="22">
        <v>0</v>
      </c>
      <c r="T31" s="15">
        <v>30</v>
      </c>
      <c r="U31" s="23" t="s">
        <v>56</v>
      </c>
      <c r="V31" s="1" t="s">
        <v>133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0.29188119444444444</v>
      </c>
      <c r="AD31" s="40">
        <f t="shared" si="12"/>
        <v>-0.40279604833333327</v>
      </c>
      <c r="AE31" s="44">
        <v>-7.18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1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0.1299638989169675</v>
      </c>
      <c r="T32" s="15">
        <f ca="1">IFERROR(__xludf.DUMMYFUNCTION("IFERROR(VLOOKUP($B$2,IMPORTRANGE(""https://docs.google.com/spreadsheets/d/1KiWZV1ko8G7lnRucBRBd29jj3Be6ltMfljMDqzOkQmI/edit#gid=1381463014"",""Lookup!A:D""),4,FALSE),"""")"),30)</f>
        <v>30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30 At Factory 50-75 days from Earliest Arrival")</f>
        <v>No Transit, But 30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0.29188119444444444</v>
      </c>
      <c r="AD32" s="40">
        <f t="shared" si="12"/>
        <v>0</v>
      </c>
      <c r="AE32" s="26">
        <v>-7.18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1:33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1:33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1:33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1:33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1:33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1:33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1:33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1:33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1:33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1:33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1:33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1:33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1:33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1:33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Blue &amp; Gray")</f>
        <v>Corn Filled Cornhole Bags - Set of 8 Bean Bags for Corn Hole Game - Blue &amp; Gray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Info!B1:BJ7000""),2,FALSE),"""")"),"B07MWK3KRW")</f>
        <v>B07MWK3KRW</v>
      </c>
      <c r="B2" s="47" t="s">
        <v>134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14.97331136568193</v>
      </c>
      <c r="D3" s="5">
        <f>SUM(D4:D99765)</f>
        <v>9</v>
      </c>
      <c r="E3" s="5"/>
      <c r="F3" s="6">
        <f t="shared" ref="F3:G3" si="0">SUM(F4:F99765)</f>
        <v>263.02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0.39778217144175665</v>
      </c>
      <c r="J3" s="6">
        <f>SUM(J4:J99765)</f>
        <v>104.62466673261082</v>
      </c>
      <c r="K3" s="6">
        <f t="shared" ref="K3:K32" si="3">J3/D3</f>
        <v>11.624962970290092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1 - April
4 - May
4 - June
3 - July
2.5 - Aug
1 - Sept
0.5 - Oct
0 - Nov
0 - Dec
0.1 - Jan
0.1 - Feb")</f>
        <v>0.5 - March
1 - April
4 - May
4 - June
3 - July
2.5 - Aug
1 - Sept
0.5 -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-0.89603219289944658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Info!B2:BZ7000""),36,FALSE)),"""")*-1"),-5.54731466082964)</f>
        <v>-5.54731466082964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6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>
        <v>2.2857142857142798</v>
      </c>
      <c r="T4" s="15">
        <v>500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7.2135011574074093E-2</v>
      </c>
      <c r="AD4" s="26">
        <f t="shared" ref="AD4:AD32" si="12">IFERROR(AB4*AC4*D4*2,0)</f>
        <v>0</v>
      </c>
      <c r="AE4" s="26">
        <v>-7.32</v>
      </c>
      <c r="AF4" s="26">
        <v>-5.6508808429770827</v>
      </c>
      <c r="AG4" s="26">
        <v>0</v>
      </c>
    </row>
    <row r="5" spans="1:33" ht="15.75" customHeight="1" x14ac:dyDescent="0.2">
      <c r="A5" s="29" t="s">
        <v>33</v>
      </c>
      <c r="B5" s="29" t="s">
        <v>135</v>
      </c>
      <c r="C5" s="16">
        <f t="shared" si="4"/>
        <v>28.99</v>
      </c>
      <c r="D5" s="30">
        <v>1</v>
      </c>
      <c r="E5" s="30">
        <v>0</v>
      </c>
      <c r="F5" s="31">
        <v>28.99</v>
      </c>
      <c r="G5" s="31">
        <v>0</v>
      </c>
      <c r="H5" s="32">
        <f t="shared" si="1"/>
        <v>0</v>
      </c>
      <c r="I5" s="32">
        <f t="shared" si="2"/>
        <v>0.39913616736465141</v>
      </c>
      <c r="J5" s="33">
        <f t="shared" si="5"/>
        <v>11.570957491901243</v>
      </c>
      <c r="K5" s="33">
        <f t="shared" si="3"/>
        <v>11.570957491901243</v>
      </c>
      <c r="L5" s="30">
        <v>11</v>
      </c>
      <c r="M5" s="34">
        <f t="shared" si="6"/>
        <v>9.0909090909090912E-2</v>
      </c>
      <c r="N5" s="30">
        <v>5</v>
      </c>
      <c r="O5" s="35">
        <f t="shared" ref="O5:P5" si="13">D5/7</f>
        <v>0.14285714285714285</v>
      </c>
      <c r="P5" s="35">
        <f t="shared" si="13"/>
        <v>0</v>
      </c>
      <c r="Q5" s="30">
        <f t="shared" si="8"/>
        <v>35</v>
      </c>
      <c r="R5" s="30"/>
      <c r="S5" s="36">
        <v>3.17241379310344</v>
      </c>
      <c r="T5" s="29">
        <v>500</v>
      </c>
      <c r="U5" s="37" t="s">
        <v>56</v>
      </c>
      <c r="V5" s="38" t="s">
        <v>56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58</v>
      </c>
      <c r="AB5" s="41">
        <f t="shared" si="11"/>
        <v>-0.69</v>
      </c>
      <c r="AC5" s="42">
        <v>7.2218597914252627E-2</v>
      </c>
      <c r="AD5" s="40">
        <f t="shared" si="12"/>
        <v>-9.9661665121668616E-2</v>
      </c>
      <c r="AE5" s="40">
        <v>-7.32</v>
      </c>
      <c r="AF5" s="40">
        <v>-5.6508808429770827</v>
      </c>
      <c r="AG5" s="40">
        <v>0</v>
      </c>
    </row>
    <row r="6" spans="1:33" ht="15.75" customHeight="1" x14ac:dyDescent="0.2">
      <c r="A6" s="29" t="s">
        <v>34</v>
      </c>
      <c r="B6" s="29" t="s">
        <v>127</v>
      </c>
      <c r="C6" s="16">
        <f t="shared" si="4"/>
        <v>27.98</v>
      </c>
      <c r="D6" s="30">
        <v>2</v>
      </c>
      <c r="E6" s="30">
        <v>0</v>
      </c>
      <c r="F6" s="31">
        <v>55.96</v>
      </c>
      <c r="G6" s="31">
        <v>0</v>
      </c>
      <c r="H6" s="32">
        <f t="shared" si="1"/>
        <v>0</v>
      </c>
      <c r="I6" s="32">
        <f t="shared" si="2"/>
        <v>0.38286536243926722</v>
      </c>
      <c r="J6" s="33">
        <f t="shared" si="5"/>
        <v>21.425145682101395</v>
      </c>
      <c r="K6" s="33">
        <f t="shared" si="3"/>
        <v>10.712572841050697</v>
      </c>
      <c r="L6" s="30">
        <v>10</v>
      </c>
      <c r="M6" s="34">
        <f t="shared" si="6"/>
        <v>0.2</v>
      </c>
      <c r="N6" s="30">
        <v>5</v>
      </c>
      <c r="O6" s="35">
        <f t="shared" ref="O6:P6" si="14">D6/7</f>
        <v>0.2857142857142857</v>
      </c>
      <c r="P6" s="35">
        <f t="shared" si="14"/>
        <v>0</v>
      </c>
      <c r="Q6" s="30">
        <f t="shared" si="8"/>
        <v>17</v>
      </c>
      <c r="R6" s="30"/>
      <c r="S6" s="36">
        <v>4</v>
      </c>
      <c r="T6" s="29">
        <v>500</v>
      </c>
      <c r="U6" s="37" t="s">
        <v>56</v>
      </c>
      <c r="V6" s="38" t="s">
        <v>63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58</v>
      </c>
      <c r="AB6" s="41">
        <f t="shared" si="11"/>
        <v>-0.69</v>
      </c>
      <c r="AC6" s="42">
        <v>7.2135011574074093E-2</v>
      </c>
      <c r="AD6" s="40">
        <f t="shared" si="12"/>
        <v>-0.19909263194444449</v>
      </c>
      <c r="AE6" s="40">
        <v>-7.32</v>
      </c>
      <c r="AF6" s="40">
        <v>-5.6508808429770827</v>
      </c>
      <c r="AG6" s="40">
        <v>0</v>
      </c>
    </row>
    <row r="7" spans="1:33" ht="15.75" customHeight="1" x14ac:dyDescent="0.2">
      <c r="A7" s="29" t="s">
        <v>35</v>
      </c>
      <c r="B7" s="29" t="s">
        <v>127</v>
      </c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5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>
        <v>2.3589743589743501</v>
      </c>
      <c r="T7" s="29">
        <v>500</v>
      </c>
      <c r="U7" s="37" t="s">
        <v>56</v>
      </c>
      <c r="V7" s="38" t="s">
        <v>63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58</v>
      </c>
      <c r="AB7" s="41">
        <f t="shared" si="11"/>
        <v>-0.69</v>
      </c>
      <c r="AC7" s="42">
        <v>7.2135011574074093E-2</v>
      </c>
      <c r="AD7" s="40">
        <f t="shared" si="12"/>
        <v>0</v>
      </c>
      <c r="AE7" s="40">
        <v>-7.32</v>
      </c>
      <c r="AF7" s="40">
        <v>-5.6508808429770827</v>
      </c>
      <c r="AG7" s="40">
        <v>0</v>
      </c>
    </row>
    <row r="8" spans="1:33" ht="15.75" customHeight="1" x14ac:dyDescent="0.2">
      <c r="A8" s="29" t="s">
        <v>36</v>
      </c>
      <c r="B8" s="29" t="s">
        <v>136</v>
      </c>
      <c r="C8" s="16">
        <f t="shared" si="4"/>
        <v>29.94</v>
      </c>
      <c r="D8" s="30">
        <v>1</v>
      </c>
      <c r="E8" s="30">
        <v>0</v>
      </c>
      <c r="F8" s="31">
        <v>29.94</v>
      </c>
      <c r="G8" s="31">
        <v>0</v>
      </c>
      <c r="H8" s="32">
        <f t="shared" si="1"/>
        <v>0</v>
      </c>
      <c r="I8" s="32">
        <f t="shared" si="2"/>
        <v>0.41347540694815549</v>
      </c>
      <c r="J8" s="33">
        <f t="shared" si="5"/>
        <v>12.379453684027776</v>
      </c>
      <c r="K8" s="33">
        <f t="shared" si="3"/>
        <v>12.379453684027776</v>
      </c>
      <c r="L8" s="30">
        <v>6</v>
      </c>
      <c r="M8" s="34">
        <f t="shared" si="6"/>
        <v>0.16666666666666666</v>
      </c>
      <c r="N8" s="30">
        <v>4</v>
      </c>
      <c r="O8" s="35">
        <f t="shared" ref="O8:P8" si="16">D8/7</f>
        <v>0.14285714285714285</v>
      </c>
      <c r="P8" s="35">
        <f t="shared" si="16"/>
        <v>0</v>
      </c>
      <c r="Q8" s="30">
        <f t="shared" si="8"/>
        <v>28</v>
      </c>
      <c r="R8" s="30"/>
      <c r="S8" s="36">
        <v>2</v>
      </c>
      <c r="T8" s="29">
        <v>500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58</v>
      </c>
      <c r="AB8" s="41">
        <f t="shared" si="11"/>
        <v>-0.69</v>
      </c>
      <c r="AC8" s="42">
        <v>7.2135011574074093E-2</v>
      </c>
      <c r="AD8" s="40">
        <f t="shared" si="12"/>
        <v>-9.9546315972222243E-2</v>
      </c>
      <c r="AE8" s="40">
        <v>-7.32</v>
      </c>
      <c r="AF8" s="40">
        <v>-5.65</v>
      </c>
      <c r="AG8" s="40">
        <v>0</v>
      </c>
    </row>
    <row r="9" spans="1:33" ht="15.75" customHeight="1" x14ac:dyDescent="0.2">
      <c r="A9" s="29" t="s">
        <v>37</v>
      </c>
      <c r="B9" s="29" t="s">
        <v>127</v>
      </c>
      <c r="C9" s="16">
        <f t="shared" si="4"/>
        <v>27.99</v>
      </c>
      <c r="D9" s="30">
        <v>2</v>
      </c>
      <c r="E9" s="30">
        <v>0</v>
      </c>
      <c r="F9" s="31">
        <v>55.98</v>
      </c>
      <c r="G9" s="31">
        <v>0</v>
      </c>
      <c r="H9" s="32">
        <f t="shared" si="1"/>
        <v>0</v>
      </c>
      <c r="I9" s="32">
        <f t="shared" si="2"/>
        <v>0.37041328020169939</v>
      </c>
      <c r="J9" s="33">
        <f t="shared" si="5"/>
        <v>20.735735425691132</v>
      </c>
      <c r="K9" s="33">
        <f t="shared" si="3"/>
        <v>10.367867712845566</v>
      </c>
      <c r="L9" s="30">
        <v>5</v>
      </c>
      <c r="M9" s="34">
        <f t="shared" si="6"/>
        <v>0.4</v>
      </c>
      <c r="N9" s="30">
        <v>2</v>
      </c>
      <c r="O9" s="35">
        <f t="shared" ref="O9:P9" si="17">D9/7</f>
        <v>0.2857142857142857</v>
      </c>
      <c r="P9" s="35">
        <f t="shared" si="17"/>
        <v>0</v>
      </c>
      <c r="Q9" s="30">
        <f t="shared" si="8"/>
        <v>7</v>
      </c>
      <c r="R9" s="30"/>
      <c r="S9" s="36">
        <v>2.4864864864864802</v>
      </c>
      <c r="T9" s="29">
        <v>500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58</v>
      </c>
      <c r="AB9" s="41">
        <f t="shared" si="11"/>
        <v>-0.69</v>
      </c>
      <c r="AC9" s="42">
        <v>7.2135011574074093E-2</v>
      </c>
      <c r="AD9" s="40">
        <f t="shared" si="12"/>
        <v>-0.19909263194444449</v>
      </c>
      <c r="AE9" s="40">
        <v>-7.32</v>
      </c>
      <c r="AF9" s="40">
        <v>-6.0040859711822101</v>
      </c>
      <c r="AG9" s="40">
        <v>0</v>
      </c>
    </row>
    <row r="10" spans="1:33" ht="15.75" customHeight="1" x14ac:dyDescent="0.2">
      <c r="A10" s="29" t="s">
        <v>38</v>
      </c>
      <c r="B10" s="29" t="s">
        <v>137</v>
      </c>
      <c r="C10" s="16">
        <f t="shared" si="4"/>
        <v>30.22</v>
      </c>
      <c r="D10" s="30">
        <v>2</v>
      </c>
      <c r="E10" s="30">
        <v>0</v>
      </c>
      <c r="F10" s="31">
        <v>60.44</v>
      </c>
      <c r="G10" s="31">
        <v>0</v>
      </c>
      <c r="H10" s="32">
        <f t="shared" si="1"/>
        <v>0</v>
      </c>
      <c r="I10" s="32">
        <f t="shared" si="2"/>
        <v>0.40580303483936347</v>
      </c>
      <c r="J10" s="33">
        <f t="shared" si="5"/>
        <v>24.526735425691129</v>
      </c>
      <c r="K10" s="33">
        <f t="shared" si="3"/>
        <v>12.263367712845564</v>
      </c>
      <c r="L10" s="30">
        <v>4</v>
      </c>
      <c r="M10" s="34">
        <f t="shared" si="6"/>
        <v>0.5</v>
      </c>
      <c r="N10" s="30">
        <v>1</v>
      </c>
      <c r="O10" s="35">
        <f t="shared" ref="O10:P10" si="18">D10/7</f>
        <v>0.2857142857142857</v>
      </c>
      <c r="P10" s="35">
        <f t="shared" si="18"/>
        <v>0</v>
      </c>
      <c r="Q10" s="30">
        <f t="shared" si="8"/>
        <v>3</v>
      </c>
      <c r="R10" s="30"/>
      <c r="S10" s="36">
        <v>2</v>
      </c>
      <c r="T10" s="29">
        <v>500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58</v>
      </c>
      <c r="AB10" s="41">
        <f t="shared" si="11"/>
        <v>-0.69</v>
      </c>
      <c r="AC10" s="42">
        <v>7.2135011574074093E-2</v>
      </c>
      <c r="AD10" s="40">
        <f t="shared" si="12"/>
        <v>-0.19909263194444449</v>
      </c>
      <c r="AE10" s="40">
        <v>-7.32</v>
      </c>
      <c r="AF10" s="40">
        <v>-6.0040859711822101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780</v>
      </c>
      <c r="U11" s="37" t="s">
        <v>56</v>
      </c>
      <c r="V11" s="38" t="s">
        <v>138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-6.0040859711822101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280</v>
      </c>
      <c r="U12" s="37">
        <v>280</v>
      </c>
      <c r="V12" s="38" t="s">
        <v>139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-6.0912654583616899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280</v>
      </c>
      <c r="U13" s="37">
        <v>280</v>
      </c>
      <c r="V13" s="38" t="s">
        <v>140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-6.2899834070796397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280</v>
      </c>
      <c r="U14" s="37">
        <v>280</v>
      </c>
      <c r="V14" s="38" t="s">
        <v>140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-6.2899834070796397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280</v>
      </c>
      <c r="U15" s="37">
        <v>280</v>
      </c>
      <c r="V15" s="38" t="s">
        <v>140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-6.2899834070796397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280</v>
      </c>
      <c r="U16" s="37">
        <v>280</v>
      </c>
      <c r="V16" s="38" t="s">
        <v>140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-6.2899834070796468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280</v>
      </c>
      <c r="U17" s="37">
        <v>280</v>
      </c>
      <c r="V17" s="38" t="s">
        <v>140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-6.2899834070796397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500</v>
      </c>
      <c r="U18" s="37">
        <v>280</v>
      </c>
      <c r="V18" s="38" t="s">
        <v>141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-6.2899834070796397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500</v>
      </c>
      <c r="U19" s="37">
        <v>280</v>
      </c>
      <c r="V19" s="38" t="s">
        <v>142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-6.2899834070796468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500</v>
      </c>
      <c r="U20" s="37">
        <v>280</v>
      </c>
      <c r="V20" s="38" t="s">
        <v>142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-6.2899834070796468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500</v>
      </c>
      <c r="U21" s="37">
        <v>280</v>
      </c>
      <c r="V21" s="38" t="s">
        <v>143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-6.2899834070796468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500</v>
      </c>
      <c r="U22" s="37">
        <v>280</v>
      </c>
      <c r="V22" s="38" t="s">
        <v>144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-6.2899834070796468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500</v>
      </c>
      <c r="U23" s="37">
        <v>280</v>
      </c>
      <c r="V23" s="38" t="s">
        <v>145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-6.2899834070796468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500</v>
      </c>
      <c r="U24" s="37">
        <v>280</v>
      </c>
      <c r="V24" s="38" t="s">
        <v>145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42">
        <v>7.2135011574074093E-2</v>
      </c>
      <c r="AD24" s="40">
        <f t="shared" si="12"/>
        <v>0</v>
      </c>
      <c r="AE24" s="40">
        <v>-7.32</v>
      </c>
      <c r="AF24" s="40">
        <v>-6.2899834070796468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7.2135011574074093E-2</v>
      </c>
      <c r="AD25" s="40">
        <f t="shared" si="12"/>
        <v>0</v>
      </c>
      <c r="AE25" s="40">
        <v>-7.32</v>
      </c>
      <c r="AF25" s="40">
        <v>-6.29</v>
      </c>
      <c r="AG25" s="40">
        <v>0</v>
      </c>
    </row>
    <row r="26" spans="1:33" ht="15.75" customHeight="1" x14ac:dyDescent="0.2">
      <c r="A26" s="15" t="s">
        <v>54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500</v>
      </c>
      <c r="U26" s="23">
        <v>280</v>
      </c>
      <c r="V26" s="1" t="s">
        <v>146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7.2135011574074093E-2</v>
      </c>
      <c r="AD26" s="40">
        <f t="shared" si="12"/>
        <v>0</v>
      </c>
      <c r="AE26" s="26">
        <v>-7.32</v>
      </c>
      <c r="AF26" s="26">
        <v>-6.2899834070796397</v>
      </c>
      <c r="AG26" s="26">
        <v>0</v>
      </c>
    </row>
    <row r="27" spans="1:33" ht="15.75" customHeight="1" x14ac:dyDescent="0.2">
      <c r="A27" s="15" t="s">
        <v>74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15">
        <v>500</v>
      </c>
      <c r="U27" s="23">
        <v>280</v>
      </c>
      <c r="V27" s="1" t="s">
        <v>146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7.2135011574074093E-2</v>
      </c>
      <c r="AD27" s="40">
        <f t="shared" si="12"/>
        <v>0</v>
      </c>
      <c r="AE27" s="26">
        <v>-7.32</v>
      </c>
      <c r="AF27" s="26">
        <v>-6.2899834070796397</v>
      </c>
      <c r="AG27" s="26">
        <v>0</v>
      </c>
    </row>
    <row r="28" spans="1:33" ht="15.75" customHeight="1" x14ac:dyDescent="0.2">
      <c r="A28" s="15" t="s">
        <v>75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>
        <v>500</v>
      </c>
      <c r="U28" s="23">
        <v>280</v>
      </c>
      <c r="V28" s="1" t="s">
        <v>147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7.2135011574074093E-2</v>
      </c>
      <c r="AD28" s="40">
        <f t="shared" si="12"/>
        <v>0</v>
      </c>
      <c r="AE28" s="26">
        <v>-7.32</v>
      </c>
      <c r="AF28" s="26">
        <v>-6.2899834070796397</v>
      </c>
      <c r="AG28" s="26">
        <v>0</v>
      </c>
    </row>
    <row r="29" spans="1:33" ht="15.75" customHeight="1" x14ac:dyDescent="0.2">
      <c r="A29" s="15" t="s">
        <v>77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500</v>
      </c>
      <c r="U29" s="23">
        <v>280</v>
      </c>
      <c r="V29" s="1" t="s">
        <v>147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7.2135011574074093E-2</v>
      </c>
      <c r="AD29" s="40">
        <f t="shared" si="12"/>
        <v>0</v>
      </c>
      <c r="AE29" s="26">
        <v>-7.32</v>
      </c>
      <c r="AF29" s="26">
        <v>-6.2899834070796397</v>
      </c>
      <c r="AG29" s="26">
        <v>0</v>
      </c>
    </row>
    <row r="30" spans="1:33" ht="15.75" customHeight="1" x14ac:dyDescent="0.2">
      <c r="A30" s="15" t="s">
        <v>78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220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7.2135011574074093E-2</v>
      </c>
      <c r="AD30" s="40">
        <f t="shared" si="12"/>
        <v>0</v>
      </c>
      <c r="AE30" s="26">
        <v>-7.32</v>
      </c>
      <c r="AF30" s="26">
        <v>-5.54731466082964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4"/>
        <v>31.71</v>
      </c>
      <c r="D31" s="17">
        <v>1</v>
      </c>
      <c r="E31" s="17">
        <v>0</v>
      </c>
      <c r="F31" s="18">
        <v>31.71</v>
      </c>
      <c r="G31" s="43">
        <v>0</v>
      </c>
      <c r="H31" s="32">
        <f t="shared" si="1"/>
        <v>0</v>
      </c>
      <c r="I31" s="32">
        <f t="shared" si="2"/>
        <v>0.44107975475238514</v>
      </c>
      <c r="J31" s="33">
        <f t="shared" si="5"/>
        <v>13.986639023198133</v>
      </c>
      <c r="K31" s="33">
        <f t="shared" si="3"/>
        <v>13.986639023198133</v>
      </c>
      <c r="L31" s="17">
        <v>10</v>
      </c>
      <c r="M31" s="34">
        <f t="shared" si="6"/>
        <v>0.1</v>
      </c>
      <c r="N31" s="17">
        <v>279</v>
      </c>
      <c r="O31" s="35">
        <f t="shared" ref="O31:P31" si="39">D31/7</f>
        <v>0.14285714285714285</v>
      </c>
      <c r="P31" s="35">
        <f t="shared" si="39"/>
        <v>0</v>
      </c>
      <c r="Q31" s="30">
        <f t="shared" si="8"/>
        <v>1953</v>
      </c>
      <c r="R31" s="30"/>
      <c r="S31" s="22">
        <v>0</v>
      </c>
      <c r="T31" s="15">
        <v>220</v>
      </c>
      <c r="U31" s="23" t="s">
        <v>56</v>
      </c>
      <c r="V31" s="1" t="s">
        <v>148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7.2135011574074093E-2</v>
      </c>
      <c r="AD31" s="40">
        <f t="shared" si="12"/>
        <v>-9.9546315972222243E-2</v>
      </c>
      <c r="AE31" s="44">
        <v>-7.32</v>
      </c>
      <c r="AF31" s="44">
        <v>-5.5473146608296462</v>
      </c>
      <c r="AG31" s="26">
        <v>0</v>
      </c>
    </row>
    <row r="32" spans="1:33" ht="15.75" customHeight="1" x14ac:dyDescent="0.2">
      <c r="A32" s="15" t="s">
        <v>59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279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1.4336917562724011E-2</v>
      </c>
      <c r="T32" s="15">
        <f ca="1">IFERROR(__xludf.DUMMYFUNCTION("IFERROR(VLOOKUP($B$2,IMPORTRANGE(""https://docs.google.com/spreadsheets/d/1KiWZV1ko8G7lnRucBRBd29jj3Be6ltMfljMDqzOkQmI/edit#gid=1381463014"",""Lookup!A:D""),4,FALSE),"""")"),220)</f>
        <v>220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220 At Factory 50-75 days from Earliest Arrival")</f>
        <v>No Transit, But 220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7.2135011574074093E-2</v>
      </c>
      <c r="AD32" s="40">
        <f t="shared" si="12"/>
        <v>0</v>
      </c>
      <c r="AE32" s="26">
        <v>-7.18</v>
      </c>
      <c r="AF32" s="26">
        <v>-5.54731466082964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Blue &amp; Yellow")</f>
        <v>Corn Filled Cornhole Bags - Set of 8 Bean Bags for Corn Hole Game - Blue &amp; Yellow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Info!B1:BJ7000""),2,FALSE),"""")"),"B07MWJML2K")</f>
        <v>B07MWJML2K</v>
      </c>
      <c r="B2" s="47" t="s">
        <v>149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15.311607357352942</v>
      </c>
      <c r="D3" s="5">
        <f>SUM(D4:D99765)</f>
        <v>44</v>
      </c>
      <c r="E3" s="5"/>
      <c r="F3" s="6">
        <f t="shared" ref="F3:G3" si="0">SUM(F4:F99765)</f>
        <v>858.06000000000017</v>
      </c>
      <c r="G3" s="6">
        <f t="shared" si="0"/>
        <v>-23.02</v>
      </c>
      <c r="H3" s="7">
        <f t="shared" ref="H3:H32" si="1">G3/F3*-1</f>
        <v>2.6827960748665589E-2</v>
      </c>
      <c r="I3" s="8">
        <f t="shared" ref="I3:I32" si="2">J3/F3</f>
        <v>0.12512409141714351</v>
      </c>
      <c r="J3" s="6">
        <f>SUM(J4:J99765)</f>
        <v>107.36397788139418</v>
      </c>
      <c r="K3" s="6">
        <f t="shared" ref="K3:K32" si="3">J3/D3</f>
        <v>2.4400904063953224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1.5 - April
3 - May
3.5 - June
3 - July
2.5 - Aug
1.5 - Sept
1 - Oct
0 - Nov
0 - Dec
0.1 - Jan
0.1 - Feb")</f>
        <v>0.5 - March
1.5 - April
3 - May
3.5 - June
3 - July
2.5 - Aug
1.5 - Sept
1 -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2</v>
      </c>
      <c r="X3" s="7">
        <f>W3/D3</f>
        <v>4.5454545454545456E-2</v>
      </c>
      <c r="Y3" s="6"/>
      <c r="Z3" s="5"/>
      <c r="AA3" s="5"/>
      <c r="AB3" s="5"/>
      <c r="AC3" s="5"/>
      <c r="AD3" s="6">
        <f>SUM(AD4:AD99765)</f>
        <v>-4.9132771302083338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>
        <f t="shared" ref="C4:C32" si="4">IFERROR(F4/D4," - ")</f>
        <v>19.989999999999998</v>
      </c>
      <c r="D4" s="17">
        <v>1</v>
      </c>
      <c r="E4" s="17">
        <v>0</v>
      </c>
      <c r="F4" s="18">
        <v>19.989999999999998</v>
      </c>
      <c r="G4" s="18">
        <v>0</v>
      </c>
      <c r="H4" s="19">
        <f t="shared" si="1"/>
        <v>0</v>
      </c>
      <c r="I4" s="19">
        <f t="shared" si="2"/>
        <v>0.20023099370197914</v>
      </c>
      <c r="J4" s="18">
        <f t="shared" ref="J4:J32" si="5">F4*0.85+G4+AF4*D4+D4*AE4+AG4+AD4</f>
        <v>4.0026175641025628</v>
      </c>
      <c r="K4" s="18">
        <f t="shared" si="3"/>
        <v>4.0026175641025628</v>
      </c>
      <c r="L4" s="17">
        <v>2</v>
      </c>
      <c r="M4" s="20">
        <f t="shared" ref="M4:M32" si="6">IFERROR(D4/L4,"-")</f>
        <v>0.5</v>
      </c>
      <c r="N4" s="17">
        <v>0</v>
      </c>
      <c r="O4" s="21">
        <f t="shared" ref="O4:P4" si="7">D4/7</f>
        <v>0.14285714285714285</v>
      </c>
      <c r="P4" s="21">
        <f t="shared" si="7"/>
        <v>0</v>
      </c>
      <c r="Q4" s="17">
        <f t="shared" ref="Q4:Q32" si="8">ROUNDDOWN(N4/(O4+P4),0)</f>
        <v>0</v>
      </c>
      <c r="R4" s="17"/>
      <c r="S4" s="22" t="e">
        <v>#N/A</v>
      </c>
      <c r="T4" s="15">
        <v>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8.1000000000000003E-2</v>
      </c>
      <c r="AD4" s="26">
        <f t="shared" ref="AD4:AD32" si="12">IFERROR(AB4*AC4*D4*2,0)</f>
        <v>-0.11177999999999999</v>
      </c>
      <c r="AE4" s="26">
        <v>-7.32</v>
      </c>
      <c r="AF4" s="26">
        <v>-5.5571024358974359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200</v>
      </c>
      <c r="U5" s="37">
        <v>200</v>
      </c>
      <c r="V5" s="38" t="s">
        <v>150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200</v>
      </c>
      <c r="U6" s="37">
        <v>200</v>
      </c>
      <c r="V6" s="38" t="s">
        <v>151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200</v>
      </c>
      <c r="U7" s="37">
        <v>200</v>
      </c>
      <c r="V7" s="38" t="s">
        <v>152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200</v>
      </c>
      <c r="U11" s="37">
        <v>200</v>
      </c>
      <c r="V11" s="38" t="s">
        <v>153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200</v>
      </c>
      <c r="U12" s="37">
        <v>200</v>
      </c>
      <c r="V12" s="38" t="s">
        <v>154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200</v>
      </c>
      <c r="U13" s="37">
        <v>200</v>
      </c>
      <c r="V13" s="38" t="s">
        <v>155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200</v>
      </c>
      <c r="U14" s="37">
        <v>200</v>
      </c>
      <c r="V14" s="38" t="s">
        <v>156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200</v>
      </c>
      <c r="U15" s="37">
        <v>200</v>
      </c>
      <c r="V15" s="38" t="s">
        <v>157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200</v>
      </c>
      <c r="U16" s="37">
        <v>200</v>
      </c>
      <c r="V16" s="38" t="s">
        <v>157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-6.5775350000000001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200</v>
      </c>
      <c r="U17" s="37">
        <v>200</v>
      </c>
      <c r="V17" s="38" t="s">
        <v>157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-6.5775350000000001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476</v>
      </c>
      <c r="U18" s="37">
        <v>180</v>
      </c>
      <c r="V18" s="38" t="s">
        <v>158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-6.5775350000000001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476</v>
      </c>
      <c r="U19" s="37">
        <v>180</v>
      </c>
      <c r="V19" s="38" t="s">
        <v>158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476</v>
      </c>
      <c r="U20" s="37">
        <v>180</v>
      </c>
      <c r="V20" s="38" t="s">
        <v>158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476</v>
      </c>
      <c r="U21" s="37">
        <v>180</v>
      </c>
      <c r="V21" s="38" t="s">
        <v>158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476</v>
      </c>
      <c r="U22" s="37">
        <v>180</v>
      </c>
      <c r="V22" s="38" t="s">
        <v>159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476</v>
      </c>
      <c r="U23" s="37">
        <v>180</v>
      </c>
      <c r="V23" s="38" t="s">
        <v>159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476</v>
      </c>
      <c r="U24" s="37">
        <v>180</v>
      </c>
      <c r="V24" s="38" t="s">
        <v>160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58</v>
      </c>
      <c r="AB24" s="41">
        <f t="shared" si="11"/>
        <v>-0.69</v>
      </c>
      <c r="AC24" s="28">
        <v>8.1000000000000003E-2</v>
      </c>
      <c r="AD24" s="40">
        <f t="shared" si="12"/>
        <v>0</v>
      </c>
      <c r="AE24" s="26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8.1000000000000003E-2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 t="s">
        <v>161</v>
      </c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180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296</v>
      </c>
      <c r="U26" s="23" t="s">
        <v>56</v>
      </c>
      <c r="V26" s="1" t="s">
        <v>56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8.1000000000000003E-2</v>
      </c>
      <c r="AD26" s="40">
        <f t="shared" si="12"/>
        <v>0</v>
      </c>
      <c r="AE26" s="26">
        <v>-7.32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15" t="s">
        <v>162</v>
      </c>
      <c r="C27" s="16">
        <f t="shared" si="4"/>
        <v>20.990000000000002</v>
      </c>
      <c r="D27" s="17">
        <v>7</v>
      </c>
      <c r="E27" s="17">
        <v>0</v>
      </c>
      <c r="F27" s="18">
        <v>146.93</v>
      </c>
      <c r="G27" s="18">
        <v>-23.02</v>
      </c>
      <c r="H27" s="32">
        <f t="shared" si="1"/>
        <v>0.15667324576328864</v>
      </c>
      <c r="I27" s="32">
        <f t="shared" si="2"/>
        <v>3.2574123271569264E-2</v>
      </c>
      <c r="J27" s="33">
        <f t="shared" si="5"/>
        <v>4.786115932291672</v>
      </c>
      <c r="K27" s="33">
        <f t="shared" si="3"/>
        <v>0.68373084747023882</v>
      </c>
      <c r="L27" s="17">
        <v>22</v>
      </c>
      <c r="M27" s="34">
        <f t="shared" si="6"/>
        <v>0.31818181818181818</v>
      </c>
      <c r="N27" s="17">
        <v>172</v>
      </c>
      <c r="O27" s="35">
        <f t="shared" ref="O27:P27" si="35">D27/7</f>
        <v>1</v>
      </c>
      <c r="P27" s="35">
        <f t="shared" si="35"/>
        <v>0</v>
      </c>
      <c r="Q27" s="30">
        <f t="shared" si="8"/>
        <v>172</v>
      </c>
      <c r="R27" s="30"/>
      <c r="S27" s="22">
        <v>6.8181818181818177E-2</v>
      </c>
      <c r="T27" s="15">
        <v>296</v>
      </c>
      <c r="U27" s="23" t="s">
        <v>56</v>
      </c>
      <c r="V27" s="1" t="s">
        <v>56</v>
      </c>
      <c r="W27" s="15">
        <v>2</v>
      </c>
      <c r="X27" s="39">
        <f t="shared" si="9"/>
        <v>0.2857142857142857</v>
      </c>
      <c r="Y27" s="40">
        <f t="shared" si="10"/>
        <v>4.6040000000000001</v>
      </c>
      <c r="Z27" s="15">
        <v>3</v>
      </c>
      <c r="AA27" s="29" t="s">
        <v>58</v>
      </c>
      <c r="AB27" s="41">
        <f t="shared" si="11"/>
        <v>-0.69</v>
      </c>
      <c r="AC27" s="42">
        <v>8.0915017361111119E-2</v>
      </c>
      <c r="AD27" s="40">
        <f t="shared" si="12"/>
        <v>-0.78163906770833336</v>
      </c>
      <c r="AE27" s="26">
        <v>-7.18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 t="s">
        <v>96</v>
      </c>
      <c r="C28" s="16">
        <f t="shared" si="4"/>
        <v>19.353636363636362</v>
      </c>
      <c r="D28" s="17">
        <v>11</v>
      </c>
      <c r="E28" s="17">
        <v>0</v>
      </c>
      <c r="F28" s="18">
        <v>212.89</v>
      </c>
      <c r="G28" s="18">
        <v>0</v>
      </c>
      <c r="H28" s="32">
        <f t="shared" si="1"/>
        <v>0</v>
      </c>
      <c r="I28" s="32">
        <f t="shared" si="2"/>
        <v>0.13338026697570729</v>
      </c>
      <c r="J28" s="33">
        <f t="shared" si="5"/>
        <v>28.395325036458321</v>
      </c>
      <c r="K28" s="33">
        <f t="shared" si="3"/>
        <v>2.5813931851325744</v>
      </c>
      <c r="L28" s="17">
        <v>21</v>
      </c>
      <c r="M28" s="34">
        <f t="shared" si="6"/>
        <v>0.52380952380952384</v>
      </c>
      <c r="N28" s="17">
        <v>136</v>
      </c>
      <c r="O28" s="35">
        <f t="shared" ref="O28:P28" si="36">D28/7</f>
        <v>1.5714285714285714</v>
      </c>
      <c r="P28" s="35">
        <f t="shared" si="36"/>
        <v>0</v>
      </c>
      <c r="Q28" s="30">
        <f t="shared" si="8"/>
        <v>86</v>
      </c>
      <c r="R28" s="30"/>
      <c r="S28" s="22">
        <v>0.41935483870967738</v>
      </c>
      <c r="T28" s="15">
        <v>296</v>
      </c>
      <c r="U28" s="23" t="s">
        <v>56</v>
      </c>
      <c r="V28" s="1" t="s">
        <v>56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8.0915017361111119E-2</v>
      </c>
      <c r="AD28" s="40">
        <f t="shared" si="12"/>
        <v>-1.2282899635416666</v>
      </c>
      <c r="AE28" s="26">
        <v>-7.18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 t="s">
        <v>96</v>
      </c>
      <c r="C29" s="16">
        <f t="shared" si="4"/>
        <v>18.989999999999998</v>
      </c>
      <c r="D29" s="17">
        <v>11</v>
      </c>
      <c r="E29" s="17">
        <v>5</v>
      </c>
      <c r="F29" s="18">
        <v>208.89</v>
      </c>
      <c r="G29" s="18">
        <v>0</v>
      </c>
      <c r="H29" s="32">
        <f t="shared" si="1"/>
        <v>0</v>
      </c>
      <c r="I29" s="32">
        <f t="shared" si="2"/>
        <v>0.11965783444137257</v>
      </c>
      <c r="J29" s="33">
        <f t="shared" si="5"/>
        <v>24.995325036458315</v>
      </c>
      <c r="K29" s="33">
        <f t="shared" si="3"/>
        <v>2.2723022760416649</v>
      </c>
      <c r="L29" s="17">
        <v>17</v>
      </c>
      <c r="M29" s="34">
        <f t="shared" si="6"/>
        <v>0.6470588235294118</v>
      </c>
      <c r="N29" s="17">
        <v>143</v>
      </c>
      <c r="O29" s="35">
        <f t="shared" ref="O29:P29" si="37">D29/7</f>
        <v>1.5714285714285714</v>
      </c>
      <c r="P29" s="35">
        <f t="shared" si="37"/>
        <v>0.7142857142857143</v>
      </c>
      <c r="Q29" s="30">
        <f t="shared" si="8"/>
        <v>62</v>
      </c>
      <c r="R29" s="30"/>
      <c r="S29" s="22">
        <v>0.85106382978723405</v>
      </c>
      <c r="T29" s="15">
        <v>296</v>
      </c>
      <c r="U29" s="23" t="s">
        <v>56</v>
      </c>
      <c r="V29" s="1" t="s">
        <v>56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8.0915017361111119E-2</v>
      </c>
      <c r="AD29" s="40">
        <f t="shared" si="12"/>
        <v>-1.2282899635416666</v>
      </c>
      <c r="AE29" s="26">
        <v>-7.18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48">
        <v>19.489999999999998</v>
      </c>
      <c r="C30" s="16">
        <f t="shared" si="4"/>
        <v>18.989999999999998</v>
      </c>
      <c r="D30" s="17">
        <v>5</v>
      </c>
      <c r="E30" s="17">
        <v>4</v>
      </c>
      <c r="F30" s="18">
        <v>94.949999999999989</v>
      </c>
      <c r="G30" s="18">
        <v>0</v>
      </c>
      <c r="H30" s="32">
        <f t="shared" si="1"/>
        <v>0</v>
      </c>
      <c r="I30" s="32">
        <f t="shared" si="2"/>
        <v>0.15876624656617508</v>
      </c>
      <c r="J30" s="33">
        <f t="shared" si="5"/>
        <v>15.074855111458321</v>
      </c>
      <c r="K30" s="33">
        <f t="shared" si="3"/>
        <v>3.0149710222916641</v>
      </c>
      <c r="L30" s="17">
        <v>9</v>
      </c>
      <c r="M30" s="34">
        <f t="shared" si="6"/>
        <v>0.55555555555555558</v>
      </c>
      <c r="N30" s="17">
        <v>132</v>
      </c>
      <c r="O30" s="35">
        <f t="shared" ref="O30:P30" si="38">D30/7</f>
        <v>0.7142857142857143</v>
      </c>
      <c r="P30" s="35">
        <f t="shared" si="38"/>
        <v>0.5714285714285714</v>
      </c>
      <c r="Q30" s="30">
        <f t="shared" si="8"/>
        <v>102</v>
      </c>
      <c r="R30" s="30"/>
      <c r="S30" s="22">
        <v>1.1014492753623191</v>
      </c>
      <c r="T30" s="29">
        <v>296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8.0915017361111119E-2</v>
      </c>
      <c r="AD30" s="40">
        <f t="shared" si="12"/>
        <v>-0.55831361979166672</v>
      </c>
      <c r="AE30" s="26">
        <v>-7.18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4"/>
        <v>19.239999999999998</v>
      </c>
      <c r="D31" s="17">
        <v>4</v>
      </c>
      <c r="E31" s="17">
        <v>10</v>
      </c>
      <c r="F31" s="18">
        <v>76.959999999999994</v>
      </c>
      <c r="G31" s="43">
        <v>0</v>
      </c>
      <c r="H31" s="32">
        <f t="shared" si="1"/>
        <v>0</v>
      </c>
      <c r="I31" s="32">
        <f t="shared" si="2"/>
        <v>0.16774797413158349</v>
      </c>
      <c r="J31" s="33">
        <f t="shared" si="5"/>
        <v>12.909884089166663</v>
      </c>
      <c r="K31" s="33">
        <f t="shared" si="3"/>
        <v>3.2274710222916658</v>
      </c>
      <c r="L31" s="17">
        <v>21</v>
      </c>
      <c r="M31" s="34">
        <f t="shared" si="6"/>
        <v>0.19047619047619047</v>
      </c>
      <c r="N31" s="17">
        <v>123</v>
      </c>
      <c r="O31" s="35">
        <f t="shared" ref="O31:P31" si="39">D31/7</f>
        <v>0.5714285714285714</v>
      </c>
      <c r="P31" s="35">
        <f t="shared" si="39"/>
        <v>1.4285714285714286</v>
      </c>
      <c r="Q31" s="30">
        <f t="shared" si="8"/>
        <v>61</v>
      </c>
      <c r="R31" s="30"/>
      <c r="S31" s="22">
        <v>0.68421052631578905</v>
      </c>
      <c r="T31" s="15">
        <v>296</v>
      </c>
      <c r="U31" s="23" t="s">
        <v>56</v>
      </c>
      <c r="V31" s="1" t="s">
        <v>163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8.0915017361111119E-2</v>
      </c>
      <c r="AD31" s="40">
        <f t="shared" si="12"/>
        <v>-0.44665089583333334</v>
      </c>
      <c r="AE31" s="44">
        <v>-7.18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19.489999999999998</v>
      </c>
      <c r="D32" s="17">
        <v>5</v>
      </c>
      <c r="E32" s="17">
        <v>4</v>
      </c>
      <c r="F32" s="18">
        <v>97.449999999999989</v>
      </c>
      <c r="G32" s="18">
        <v>0</v>
      </c>
      <c r="H32" s="32">
        <f t="shared" si="1"/>
        <v>0</v>
      </c>
      <c r="I32" s="32">
        <f t="shared" si="2"/>
        <v>0.17649928282666316</v>
      </c>
      <c r="J32" s="33">
        <f t="shared" si="5"/>
        <v>17.199855111458323</v>
      </c>
      <c r="K32" s="33">
        <f t="shared" si="3"/>
        <v>3.4399710222916644</v>
      </c>
      <c r="L32" s="17">
        <v>9</v>
      </c>
      <c r="M32" s="34">
        <f t="shared" si="6"/>
        <v>0.55555555555555558</v>
      </c>
      <c r="N32" s="17">
        <v>110</v>
      </c>
      <c r="O32" s="35">
        <f t="shared" ref="O32:P32" si="40">D32/7</f>
        <v>0.7142857142857143</v>
      </c>
      <c r="P32" s="35">
        <f t="shared" si="40"/>
        <v>0.5714285714285714</v>
      </c>
      <c r="Q32" s="30">
        <f t="shared" si="8"/>
        <v>85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0.90647482014388492</v>
      </c>
      <c r="T32" s="15">
        <f ca="1">IFERROR(__xludf.DUMMYFUNCTION("IFERROR(VLOOKUP($B$2,IMPORTRANGE(""https://docs.google.com/spreadsheets/d/1KiWZV1ko8G7lnRucBRBd29jj3Be6ltMfljMDqzOkQmI/edit#gid=1381463014"",""Lookup!A:D""),4,FALSE),"""")"),296)</f>
        <v>296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296 At Factory 50-75 days from Earliest Arrival")</f>
        <v>No Transit, But 296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8.0915017361111119E-2</v>
      </c>
      <c r="AD32" s="40">
        <f t="shared" si="12"/>
        <v>-0.55831361979166672</v>
      </c>
      <c r="AE32" s="26">
        <v>-7.18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Royal Blue &amp; White")</f>
        <v>Corn Filled Cornhole Bags - Set of 8 Bean Bags for Corn Hole Game - Regulation Size &amp; Weight - Royal Blue &amp; White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Info!B1:BJ7000""),2,FALSE),"""")"),"B07ZTP8L29")</f>
        <v>B07ZTP8L29</v>
      </c>
      <c r="B2" s="47" t="s">
        <v>164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16.727077945588238</v>
      </c>
      <c r="D3" s="5">
        <f>SUM(D4:D99765)</f>
        <v>2</v>
      </c>
      <c r="E3" s="5"/>
      <c r="F3" s="6">
        <f t="shared" ref="F3:G3" si="0">SUM(F4:F99765)</f>
        <v>39.979999999999997</v>
      </c>
      <c r="G3" s="6">
        <f t="shared" si="0"/>
        <v>0</v>
      </c>
      <c r="H3" s="7">
        <f>G3/F3*-1</f>
        <v>0</v>
      </c>
      <c r="I3" s="8">
        <f>J3/F3</f>
        <v>0.11718148408579278</v>
      </c>
      <c r="J3" s="6">
        <f>SUM(J4:J99765)</f>
        <v>4.6849157337499951</v>
      </c>
      <c r="K3" s="6">
        <f>J3/D3</f>
        <v>2.3424578668749976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-0.86205175875000006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hidden="1" customHeight="1" x14ac:dyDescent="0.2">
      <c r="A4" s="15" t="s">
        <v>32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35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36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37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38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39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40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41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42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43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44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45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46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47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48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49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50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51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52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"/>
      <c r="AB24" s="41"/>
      <c r="AC24" s="28"/>
      <c r="AD24" s="40"/>
      <c r="AE24" s="26"/>
      <c r="AF24" s="40"/>
      <c r="AG24" s="40"/>
    </row>
    <row r="25" spans="1:33" ht="15.75" hidden="1" customHeight="1" x14ac:dyDescent="0.2">
      <c r="A25" s="29" t="s">
        <v>53</v>
      </c>
      <c r="B25" s="15"/>
      <c r="C25" s="16"/>
      <c r="D25" s="30"/>
      <c r="E25" s="30"/>
      <c r="F25" s="33"/>
      <c r="G25" s="33"/>
      <c r="H25" s="32"/>
      <c r="I25" s="32"/>
      <c r="J25" s="33"/>
      <c r="K25" s="33"/>
      <c r="L25" s="30"/>
      <c r="M25" s="34"/>
      <c r="N25" s="30"/>
      <c r="O25" s="35"/>
      <c r="P25" s="35"/>
      <c r="Q25" s="30"/>
      <c r="R25" s="30"/>
      <c r="S25" s="36"/>
      <c r="T25" s="15"/>
      <c r="U25" s="23"/>
      <c r="V25" s="1"/>
      <c r="W25" s="15"/>
      <c r="X25" s="39"/>
      <c r="Y25" s="40"/>
      <c r="Z25" s="15"/>
      <c r="AA25" s="29"/>
      <c r="AB25" s="41"/>
      <c r="AC25" s="42"/>
      <c r="AD25" s="40"/>
      <c r="AE25" s="40"/>
      <c r="AF25" s="40"/>
      <c r="AG25" s="40"/>
    </row>
    <row r="26" spans="1:33" ht="15.75" hidden="1" customHeight="1" x14ac:dyDescent="0.2">
      <c r="A26" s="15" t="s">
        <v>54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15"/>
      <c r="U26" s="23"/>
      <c r="V26" s="1"/>
      <c r="W26" s="15"/>
      <c r="X26" s="39"/>
      <c r="Y26" s="40"/>
      <c r="Z26" s="15"/>
      <c r="AA26" s="29"/>
      <c r="AB26" s="41"/>
      <c r="AC26" s="42"/>
      <c r="AD26" s="40"/>
      <c r="AE26" s="26"/>
      <c r="AF26" s="26"/>
      <c r="AG26" s="26"/>
    </row>
    <row r="27" spans="1:33" ht="15.75" hidden="1" customHeight="1" x14ac:dyDescent="0.2">
      <c r="A27" s="15" t="s">
        <v>74</v>
      </c>
      <c r="B27" s="15"/>
      <c r="C27" s="16"/>
      <c r="D27" s="17"/>
      <c r="E27" s="17"/>
      <c r="F27" s="18"/>
      <c r="G27" s="18"/>
      <c r="H27" s="32"/>
      <c r="I27" s="32"/>
      <c r="J27" s="33"/>
      <c r="K27" s="33"/>
      <c r="L27" s="17"/>
      <c r="M27" s="34"/>
      <c r="N27" s="17"/>
      <c r="O27" s="35"/>
      <c r="P27" s="35"/>
      <c r="Q27" s="30"/>
      <c r="R27" s="30"/>
      <c r="S27" s="22"/>
      <c r="T27" s="15"/>
      <c r="U27" s="23"/>
      <c r="V27" s="1"/>
      <c r="W27" s="15"/>
      <c r="X27" s="39"/>
      <c r="Y27" s="40"/>
      <c r="Z27" s="15"/>
      <c r="AA27" s="29"/>
      <c r="AB27" s="41"/>
      <c r="AC27" s="42"/>
      <c r="AD27" s="40"/>
      <c r="AE27" s="26"/>
      <c r="AF27" s="26"/>
      <c r="AG27" s="26"/>
    </row>
    <row r="28" spans="1:33" ht="15.75" hidden="1" customHeight="1" x14ac:dyDescent="0.2">
      <c r="A28" s="15" t="s">
        <v>75</v>
      </c>
      <c r="B28" s="15"/>
      <c r="C28" s="16"/>
      <c r="D28" s="17"/>
      <c r="E28" s="17"/>
      <c r="F28" s="18"/>
      <c r="G28" s="18"/>
      <c r="H28" s="32"/>
      <c r="I28" s="32"/>
      <c r="J28" s="33"/>
      <c r="K28" s="33"/>
      <c r="L28" s="17"/>
      <c r="M28" s="34"/>
      <c r="N28" s="17"/>
      <c r="O28" s="35"/>
      <c r="P28" s="35"/>
      <c r="Q28" s="30"/>
      <c r="R28" s="30"/>
      <c r="S28" s="22"/>
      <c r="T28" s="15"/>
      <c r="U28" s="23"/>
      <c r="V28" s="1"/>
      <c r="W28" s="15"/>
      <c r="X28" s="39"/>
      <c r="Y28" s="40"/>
      <c r="Z28" s="15"/>
      <c r="AA28" s="29"/>
      <c r="AB28" s="41"/>
      <c r="AC28" s="42"/>
      <c r="AD28" s="40"/>
      <c r="AE28" s="26"/>
      <c r="AF28" s="26"/>
      <c r="AG28" s="26"/>
    </row>
    <row r="29" spans="1:33" ht="15.75" hidden="1" customHeight="1" x14ac:dyDescent="0.2">
      <c r="A29" s="15" t="s">
        <v>77</v>
      </c>
      <c r="B29" s="15"/>
      <c r="C29" s="16"/>
      <c r="D29" s="17"/>
      <c r="E29" s="17"/>
      <c r="F29" s="18"/>
      <c r="G29" s="18"/>
      <c r="H29" s="32"/>
      <c r="I29" s="32"/>
      <c r="J29" s="33"/>
      <c r="K29" s="33"/>
      <c r="L29" s="17"/>
      <c r="M29" s="34"/>
      <c r="N29" s="17"/>
      <c r="O29" s="35"/>
      <c r="P29" s="35"/>
      <c r="Q29" s="30"/>
      <c r="R29" s="30"/>
      <c r="S29" s="22"/>
      <c r="T29" s="15"/>
      <c r="U29" s="23"/>
      <c r="V29" s="1"/>
      <c r="W29" s="15"/>
      <c r="X29" s="39"/>
      <c r="Y29" s="40"/>
      <c r="Z29" s="15"/>
      <c r="AA29" s="29"/>
      <c r="AB29" s="41"/>
      <c r="AC29" s="42"/>
      <c r="AD29" s="40"/>
      <c r="AE29" s="26"/>
      <c r="AF29" s="26"/>
      <c r="AG29" s="26"/>
    </row>
    <row r="30" spans="1:33" ht="15.75" hidden="1" customHeight="1" x14ac:dyDescent="0.2">
      <c r="A30" s="15" t="s">
        <v>78</v>
      </c>
      <c r="B30" s="48"/>
      <c r="C30" s="16"/>
      <c r="D30" s="17"/>
      <c r="E30" s="17"/>
      <c r="F30" s="18"/>
      <c r="G30" s="18"/>
      <c r="H30" s="32"/>
      <c r="I30" s="32"/>
      <c r="J30" s="33"/>
      <c r="K30" s="33"/>
      <c r="L30" s="17"/>
      <c r="M30" s="34"/>
      <c r="N30" s="17"/>
      <c r="O30" s="35"/>
      <c r="P30" s="35"/>
      <c r="Q30" s="30"/>
      <c r="R30" s="30"/>
      <c r="S30" s="22"/>
      <c r="T30" s="29"/>
      <c r="U30" s="37"/>
      <c r="V30" s="38"/>
      <c r="W30" s="15"/>
      <c r="X30" s="39"/>
      <c r="Y30" s="40"/>
      <c r="Z30" s="15"/>
      <c r="AA30" s="29"/>
      <c r="AB30" s="41"/>
      <c r="AC30" s="42"/>
      <c r="AD30" s="40"/>
      <c r="AE30" s="26"/>
      <c r="AF30" s="26"/>
      <c r="AG30" s="26"/>
    </row>
    <row r="31" spans="1:33" ht="15.75" customHeight="1" x14ac:dyDescent="0.2">
      <c r="A31" s="15" t="s">
        <v>55</v>
      </c>
      <c r="B31" s="15"/>
      <c r="C31" s="16"/>
      <c r="D31" s="17"/>
      <c r="E31" s="17"/>
      <c r="F31" s="18"/>
      <c r="G31" s="43"/>
      <c r="H31" s="32"/>
      <c r="I31" s="32"/>
      <c r="J31" s="33"/>
      <c r="K31" s="33"/>
      <c r="L31" s="17"/>
      <c r="M31" s="34"/>
      <c r="N31" s="17"/>
      <c r="O31" s="35"/>
      <c r="P31" s="35"/>
      <c r="Q31" s="30"/>
      <c r="R31" s="30"/>
      <c r="S31" s="22"/>
      <c r="T31" s="15"/>
      <c r="U31" s="23"/>
      <c r="V31" s="1"/>
      <c r="W31" s="15"/>
      <c r="X31" s="39"/>
      <c r="Y31" s="40"/>
      <c r="Z31" s="15"/>
      <c r="AA31" s="15"/>
      <c r="AB31" s="41"/>
      <c r="AC31" s="28"/>
      <c r="AD31" s="40"/>
      <c r="AE31" s="44"/>
      <c r="AF31" s="44"/>
      <c r="AG31" s="26"/>
    </row>
    <row r="32" spans="1:33" ht="15.75" customHeight="1" x14ac:dyDescent="0.2">
      <c r="A32" s="15" t="s">
        <v>59</v>
      </c>
      <c r="B32" s="15"/>
      <c r="C32" s="16">
        <f>IFERROR(F32/D32," - ")</f>
        <v>19.989999999999998</v>
      </c>
      <c r="D32" s="17">
        <v>2</v>
      </c>
      <c r="E32" s="17">
        <v>0</v>
      </c>
      <c r="F32" s="18">
        <v>39.979999999999997</v>
      </c>
      <c r="G32" s="18">
        <v>0</v>
      </c>
      <c r="H32" s="32">
        <f>G32/F32*-1</f>
        <v>0</v>
      </c>
      <c r="I32" s="32">
        <f>J32/F32</f>
        <v>0.11718148408579278</v>
      </c>
      <c r="J32" s="33">
        <f>F32*0.85+G32+AF32*D32+D32*AE32+AG32+AD32</f>
        <v>4.6849157337499951</v>
      </c>
      <c r="K32" s="33">
        <f>J32/D32</f>
        <v>2.3424578668749976</v>
      </c>
      <c r="L32" s="17">
        <v>6</v>
      </c>
      <c r="M32" s="34">
        <f>IFERROR(D32/L32,"-")</f>
        <v>0.33333333333333331</v>
      </c>
      <c r="N32" s="17">
        <v>98</v>
      </c>
      <c r="O32" s="35">
        <f t="shared" ref="O32:P32" si="1">D32/7</f>
        <v>0.2857142857142857</v>
      </c>
      <c r="P32" s="35">
        <f t="shared" si="1"/>
        <v>0</v>
      </c>
      <c r="Q32" s="30">
        <f>ROUNDDOWN(N32/(O32+P32),0)</f>
        <v>343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8.1632653061224483E-2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>IFERROR(W32/D32,0)</f>
        <v>0</v>
      </c>
      <c r="Y32" s="40">
        <f>IFERROR(G32/(W32+Z32)*-1,0)</f>
        <v>0</v>
      </c>
      <c r="Z32" s="15">
        <v>0</v>
      </c>
      <c r="AA32" s="15" t="s">
        <v>58</v>
      </c>
      <c r="AB32" s="41">
        <f>IF(OR(AA32="UsLargeStandardSize",AA32="UsSmallStandardSize"),-0.69,-0.48)</f>
        <v>-0.69</v>
      </c>
      <c r="AC32" s="28">
        <v>0.31233759375000003</v>
      </c>
      <c r="AD32" s="40">
        <f>IFERROR(AB32*AC32*D32*2,0)</f>
        <v>-0.86205175875000006</v>
      </c>
      <c r="AE32" s="26">
        <v>-7.48</v>
      </c>
      <c r="AF32" s="26">
        <v>-6.7380162537499997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Football Bean Bags for Corn Hole Game - Regulation Size &amp; Weight - Light vs Dark Footballs")</f>
        <v>Corn Filled Cornhole Bags - Set of 8 Football Bean Bags for Corn Hole Game - Regulation Size &amp; Weight - Light vs Dark Footballs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Info!B1:BJ7000""),2,FALSE),"""")"),"B07ZTPC358")</f>
        <v>B07ZTPC358</v>
      </c>
      <c r="B2" s="47" t="s">
        <v>165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16.998613239705882</v>
      </c>
      <c r="D3" s="5">
        <f>SUM(D4:D99765)</f>
        <v>2</v>
      </c>
      <c r="E3" s="5"/>
      <c r="F3" s="6">
        <f t="shared" ref="F3:G3" si="0">SUM(F4:F99765)</f>
        <v>39.979999999999997</v>
      </c>
      <c r="G3" s="6">
        <f t="shared" si="0"/>
        <v>0</v>
      </c>
      <c r="H3" s="7">
        <f>G3/F3*-1</f>
        <v>0</v>
      </c>
      <c r="I3" s="8">
        <f>J3/F3</f>
        <v>0.10425397395572775</v>
      </c>
      <c r="J3" s="6">
        <f>SUM(J4:J99765)</f>
        <v>4.1680738787499951</v>
      </c>
      <c r="K3" s="6">
        <f>J3/D3</f>
        <v>2.0840369393749976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-0.91728361374999989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Info!B2:BZ7000""),36,FALSE)),"""")*-1"),-6.96882125375)</f>
        <v>-6.9688212537499998</v>
      </c>
      <c r="AG3" s="6">
        <f>SUM(AG4:AG99765)</f>
        <v>0</v>
      </c>
    </row>
    <row r="4" spans="1:33" ht="15.75" hidden="1" customHeight="1" x14ac:dyDescent="0.2">
      <c r="A4" s="15" t="s">
        <v>32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35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36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37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38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39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40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41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42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43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44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45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46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47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48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49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50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51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52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"/>
      <c r="AB24" s="41"/>
      <c r="AC24" s="28"/>
      <c r="AD24" s="40"/>
      <c r="AE24" s="26"/>
      <c r="AF24" s="40"/>
      <c r="AG24" s="40"/>
    </row>
    <row r="25" spans="1:33" ht="15.75" hidden="1" customHeight="1" x14ac:dyDescent="0.2">
      <c r="A25" s="29" t="s">
        <v>53</v>
      </c>
      <c r="B25" s="15"/>
      <c r="C25" s="16"/>
      <c r="D25" s="30"/>
      <c r="E25" s="30"/>
      <c r="F25" s="33"/>
      <c r="G25" s="33"/>
      <c r="H25" s="32"/>
      <c r="I25" s="32"/>
      <c r="J25" s="33"/>
      <c r="K25" s="33"/>
      <c r="L25" s="30"/>
      <c r="M25" s="34"/>
      <c r="N25" s="30"/>
      <c r="O25" s="35"/>
      <c r="P25" s="35"/>
      <c r="Q25" s="30"/>
      <c r="R25" s="30"/>
      <c r="S25" s="36"/>
      <c r="T25" s="15"/>
      <c r="U25" s="23"/>
      <c r="V25" s="1"/>
      <c r="W25" s="15"/>
      <c r="X25" s="39"/>
      <c r="Y25" s="40"/>
      <c r="Z25" s="15"/>
      <c r="AA25" s="29"/>
      <c r="AB25" s="41"/>
      <c r="AC25" s="42"/>
      <c r="AD25" s="40"/>
      <c r="AE25" s="40"/>
      <c r="AF25" s="40"/>
      <c r="AG25" s="40"/>
    </row>
    <row r="26" spans="1:33" ht="15.75" hidden="1" customHeight="1" x14ac:dyDescent="0.2">
      <c r="A26" s="15" t="s">
        <v>54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15"/>
      <c r="U26" s="23"/>
      <c r="V26" s="1"/>
      <c r="W26" s="15"/>
      <c r="X26" s="39"/>
      <c r="Y26" s="40"/>
      <c r="Z26" s="15"/>
      <c r="AA26" s="29"/>
      <c r="AB26" s="41"/>
      <c r="AC26" s="42"/>
      <c r="AD26" s="40"/>
      <c r="AE26" s="26"/>
      <c r="AF26" s="26"/>
      <c r="AG26" s="26"/>
    </row>
    <row r="27" spans="1:33" ht="15.75" hidden="1" customHeight="1" x14ac:dyDescent="0.2">
      <c r="A27" s="15" t="s">
        <v>74</v>
      </c>
      <c r="B27" s="15"/>
      <c r="C27" s="16"/>
      <c r="D27" s="17"/>
      <c r="E27" s="17"/>
      <c r="F27" s="18"/>
      <c r="G27" s="18"/>
      <c r="H27" s="32"/>
      <c r="I27" s="32"/>
      <c r="J27" s="33"/>
      <c r="K27" s="33"/>
      <c r="L27" s="17"/>
      <c r="M27" s="34"/>
      <c r="N27" s="17"/>
      <c r="O27" s="35"/>
      <c r="P27" s="35"/>
      <c r="Q27" s="30"/>
      <c r="R27" s="30"/>
      <c r="S27" s="22"/>
      <c r="T27" s="15"/>
      <c r="U27" s="23"/>
      <c r="V27" s="1"/>
      <c r="W27" s="15"/>
      <c r="X27" s="39"/>
      <c r="Y27" s="40"/>
      <c r="Z27" s="15"/>
      <c r="AA27" s="29"/>
      <c r="AB27" s="41"/>
      <c r="AC27" s="42"/>
      <c r="AD27" s="40"/>
      <c r="AE27" s="26"/>
      <c r="AF27" s="26"/>
      <c r="AG27" s="26"/>
    </row>
    <row r="28" spans="1:33" ht="15.75" hidden="1" customHeight="1" x14ac:dyDescent="0.2">
      <c r="A28" s="15" t="s">
        <v>75</v>
      </c>
      <c r="B28" s="15"/>
      <c r="C28" s="16"/>
      <c r="D28" s="17"/>
      <c r="E28" s="17"/>
      <c r="F28" s="18"/>
      <c r="G28" s="18"/>
      <c r="H28" s="32"/>
      <c r="I28" s="32"/>
      <c r="J28" s="33"/>
      <c r="K28" s="33"/>
      <c r="L28" s="17"/>
      <c r="M28" s="34"/>
      <c r="N28" s="17"/>
      <c r="O28" s="35"/>
      <c r="P28" s="35"/>
      <c r="Q28" s="30"/>
      <c r="R28" s="30"/>
      <c r="S28" s="22"/>
      <c r="T28" s="15"/>
      <c r="U28" s="23"/>
      <c r="V28" s="1"/>
      <c r="W28" s="15"/>
      <c r="X28" s="39"/>
      <c r="Y28" s="40"/>
      <c r="Z28" s="15"/>
      <c r="AA28" s="29"/>
      <c r="AB28" s="41"/>
      <c r="AC28" s="42"/>
      <c r="AD28" s="40"/>
      <c r="AE28" s="26"/>
      <c r="AF28" s="26"/>
      <c r="AG28" s="26"/>
    </row>
    <row r="29" spans="1:33" ht="15.75" hidden="1" customHeight="1" x14ac:dyDescent="0.2">
      <c r="A29" s="15" t="s">
        <v>77</v>
      </c>
      <c r="B29" s="15"/>
      <c r="C29" s="16"/>
      <c r="D29" s="17"/>
      <c r="E29" s="17"/>
      <c r="F29" s="18"/>
      <c r="G29" s="18"/>
      <c r="H29" s="32"/>
      <c r="I29" s="32"/>
      <c r="J29" s="33"/>
      <c r="K29" s="33"/>
      <c r="L29" s="17"/>
      <c r="M29" s="34"/>
      <c r="N29" s="17"/>
      <c r="O29" s="35"/>
      <c r="P29" s="35"/>
      <c r="Q29" s="30"/>
      <c r="R29" s="30"/>
      <c r="S29" s="22"/>
      <c r="T29" s="15"/>
      <c r="U29" s="23"/>
      <c r="V29" s="1"/>
      <c r="W29" s="15"/>
      <c r="X29" s="39"/>
      <c r="Y29" s="40"/>
      <c r="Z29" s="15"/>
      <c r="AA29" s="29"/>
      <c r="AB29" s="41"/>
      <c r="AC29" s="42"/>
      <c r="AD29" s="40"/>
      <c r="AE29" s="26"/>
      <c r="AF29" s="26"/>
      <c r="AG29" s="26"/>
    </row>
    <row r="30" spans="1:33" ht="15.75" hidden="1" customHeight="1" x14ac:dyDescent="0.2">
      <c r="A30" s="15" t="s">
        <v>78</v>
      </c>
      <c r="B30" s="48"/>
      <c r="C30" s="16"/>
      <c r="D30" s="17"/>
      <c r="E30" s="17"/>
      <c r="F30" s="18"/>
      <c r="G30" s="18"/>
      <c r="H30" s="32"/>
      <c r="I30" s="32"/>
      <c r="J30" s="33"/>
      <c r="K30" s="33"/>
      <c r="L30" s="17"/>
      <c r="M30" s="34"/>
      <c r="N30" s="17"/>
      <c r="O30" s="35"/>
      <c r="P30" s="35"/>
      <c r="Q30" s="30"/>
      <c r="R30" s="30"/>
      <c r="S30" s="22"/>
      <c r="T30" s="29"/>
      <c r="U30" s="37"/>
      <c r="V30" s="38"/>
      <c r="W30" s="15"/>
      <c r="X30" s="39"/>
      <c r="Y30" s="40"/>
      <c r="Z30" s="15"/>
      <c r="AA30" s="29"/>
      <c r="AB30" s="41"/>
      <c r="AC30" s="42"/>
      <c r="AD30" s="40"/>
      <c r="AE30" s="26"/>
      <c r="AF30" s="26"/>
      <c r="AG30" s="26"/>
    </row>
    <row r="31" spans="1:33" ht="15.75" customHeight="1" x14ac:dyDescent="0.2">
      <c r="A31" s="15" t="s">
        <v>55</v>
      </c>
      <c r="B31" s="15"/>
      <c r="C31" s="16"/>
      <c r="D31" s="17"/>
      <c r="E31" s="17"/>
      <c r="F31" s="18"/>
      <c r="G31" s="43"/>
      <c r="H31" s="32"/>
      <c r="I31" s="32"/>
      <c r="J31" s="33"/>
      <c r="K31" s="33"/>
      <c r="L31" s="17"/>
      <c r="M31" s="34"/>
      <c r="N31" s="17"/>
      <c r="O31" s="35"/>
      <c r="P31" s="35"/>
      <c r="Q31" s="30"/>
      <c r="R31" s="30"/>
      <c r="S31" s="22"/>
      <c r="T31" s="15"/>
      <c r="U31" s="23"/>
      <c r="V31" s="1"/>
      <c r="W31" s="15"/>
      <c r="X31" s="39"/>
      <c r="Y31" s="40"/>
      <c r="Z31" s="15"/>
      <c r="AA31" s="15"/>
      <c r="AB31" s="41"/>
      <c r="AC31" s="28"/>
      <c r="AD31" s="40"/>
      <c r="AE31" s="44"/>
      <c r="AF31" s="44"/>
      <c r="AG31" s="26"/>
    </row>
    <row r="32" spans="1:33" ht="15.75" customHeight="1" x14ac:dyDescent="0.2">
      <c r="A32" s="15" t="s">
        <v>59</v>
      </c>
      <c r="B32" s="15"/>
      <c r="C32" s="16">
        <f>IFERROR(F32/D32," - ")</f>
        <v>19.989999999999998</v>
      </c>
      <c r="D32" s="17">
        <v>2</v>
      </c>
      <c r="E32" s="17">
        <v>0</v>
      </c>
      <c r="F32" s="18">
        <v>39.979999999999997</v>
      </c>
      <c r="G32" s="18">
        <v>0</v>
      </c>
      <c r="H32" s="32">
        <f>G32/F32*-1</f>
        <v>0</v>
      </c>
      <c r="I32" s="32">
        <f>J32/F32</f>
        <v>0.10425397395572775</v>
      </c>
      <c r="J32" s="33">
        <f>F32*0.85+G32+AF32*D32+D32*AE32+AG32+AD32</f>
        <v>4.1680738787499951</v>
      </c>
      <c r="K32" s="33">
        <f>J32/D32</f>
        <v>2.0840369393749976</v>
      </c>
      <c r="L32" s="17">
        <v>18</v>
      </c>
      <c r="M32" s="34">
        <f>IFERROR(D32/L32,"-")</f>
        <v>0.1111111111111111</v>
      </c>
      <c r="N32" s="17">
        <v>99</v>
      </c>
      <c r="O32" s="35">
        <f t="shared" ref="O32:P32" si="1">D32/7</f>
        <v>0.2857142857142857</v>
      </c>
      <c r="P32" s="35">
        <f t="shared" si="1"/>
        <v>0</v>
      </c>
      <c r="Q32" s="30">
        <f>ROUNDDOWN(N32/(O32+P32),0)</f>
        <v>346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>IFERROR(W32/D32,0)</f>
        <v>0</v>
      </c>
      <c r="Y32" s="40">
        <f>IFERROR(G32/(W32+Z32)*-1,0)</f>
        <v>0</v>
      </c>
      <c r="Z32" s="15">
        <v>0</v>
      </c>
      <c r="AA32" s="15" t="s">
        <v>58</v>
      </c>
      <c r="AB32" s="41">
        <f>IF(OR(AA32="UsLargeStandardSize",AA32="UsSmallStandardSize"),-0.69,-0.48)</f>
        <v>-0.69</v>
      </c>
      <c r="AC32" s="28">
        <v>0.33234913541666666</v>
      </c>
      <c r="AD32" s="40">
        <f>IFERROR(AB32*AC32*D32*2,0)</f>
        <v>-0.91728361374999989</v>
      </c>
      <c r="AE32" s="26">
        <v>-7.48</v>
      </c>
      <c r="AF32" s="26">
        <v>-6.9688212537499998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Hunter Green &amp; Gray")</f>
        <v>Corn Filled Cornhole Bags - Set of 8 Bean Bags for Corn Hole Game - Regulation Size &amp; Weight - Hunter Green &amp; Gray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Info!B1:BJ7000""),2,FALSE),"""")"),"B07ZTL1MWL")</f>
        <v>B07ZTL1MWL</v>
      </c>
      <c r="B2" s="47" t="s">
        <v>166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16.727077945588238</v>
      </c>
      <c r="D3" s="5">
        <f>SUM(D4:D99765)</f>
        <v>1</v>
      </c>
      <c r="E3" s="5"/>
      <c r="F3" s="6">
        <f t="shared" ref="F3:G3" si="0">SUM(F4:F99765)</f>
        <v>19.989999999999998</v>
      </c>
      <c r="G3" s="6">
        <f t="shared" si="0"/>
        <v>0</v>
      </c>
      <c r="H3" s="7">
        <f>G3/F3*-1</f>
        <v>0</v>
      </c>
      <c r="I3" s="8">
        <f>J3/F3</f>
        <v>0.11767093881315646</v>
      </c>
      <c r="J3" s="6">
        <f>SUM(J4:J99765)</f>
        <v>2.3522420668749975</v>
      </c>
      <c r="K3" s="6">
        <f>J3/D3</f>
        <v>2.3522420668749975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-0.42124167937499996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hidden="1" customHeight="1" x14ac:dyDescent="0.2">
      <c r="A4" s="15" t="s">
        <v>32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35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36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37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38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39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40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41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42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43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44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45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46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47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48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49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50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51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52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"/>
      <c r="AB24" s="41"/>
      <c r="AC24" s="28"/>
      <c r="AD24" s="40"/>
      <c r="AE24" s="26"/>
      <c r="AF24" s="40"/>
      <c r="AG24" s="40"/>
    </row>
    <row r="25" spans="1:33" ht="15.75" hidden="1" customHeight="1" x14ac:dyDescent="0.2">
      <c r="A25" s="29" t="s">
        <v>53</v>
      </c>
      <c r="B25" s="15"/>
      <c r="C25" s="16"/>
      <c r="D25" s="30"/>
      <c r="E25" s="30"/>
      <c r="F25" s="33"/>
      <c r="G25" s="33"/>
      <c r="H25" s="32"/>
      <c r="I25" s="32"/>
      <c r="J25" s="33"/>
      <c r="K25" s="33"/>
      <c r="L25" s="30"/>
      <c r="M25" s="34"/>
      <c r="N25" s="30"/>
      <c r="O25" s="35"/>
      <c r="P25" s="35"/>
      <c r="Q25" s="30"/>
      <c r="R25" s="30"/>
      <c r="S25" s="36"/>
      <c r="T25" s="15"/>
      <c r="U25" s="23"/>
      <c r="V25" s="1"/>
      <c r="W25" s="15"/>
      <c r="X25" s="39"/>
      <c r="Y25" s="40"/>
      <c r="Z25" s="15"/>
      <c r="AA25" s="29"/>
      <c r="AB25" s="41"/>
      <c r="AC25" s="42"/>
      <c r="AD25" s="40"/>
      <c r="AE25" s="40"/>
      <c r="AF25" s="40"/>
      <c r="AG25" s="40"/>
    </row>
    <row r="26" spans="1:33" ht="15.75" hidden="1" customHeight="1" x14ac:dyDescent="0.2">
      <c r="A26" s="15" t="s">
        <v>54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15"/>
      <c r="U26" s="23"/>
      <c r="V26" s="1"/>
      <c r="W26" s="15"/>
      <c r="X26" s="39"/>
      <c r="Y26" s="40"/>
      <c r="Z26" s="15"/>
      <c r="AA26" s="29"/>
      <c r="AB26" s="41"/>
      <c r="AC26" s="42"/>
      <c r="AD26" s="40"/>
      <c r="AE26" s="26"/>
      <c r="AF26" s="26"/>
      <c r="AG26" s="26"/>
    </row>
    <row r="27" spans="1:33" ht="15.75" hidden="1" customHeight="1" x14ac:dyDescent="0.2">
      <c r="A27" s="15" t="s">
        <v>74</v>
      </c>
      <c r="B27" s="15"/>
      <c r="C27" s="16"/>
      <c r="D27" s="17"/>
      <c r="E27" s="17"/>
      <c r="F27" s="18"/>
      <c r="G27" s="18"/>
      <c r="H27" s="32"/>
      <c r="I27" s="32"/>
      <c r="J27" s="33"/>
      <c r="K27" s="33"/>
      <c r="L27" s="17"/>
      <c r="M27" s="34"/>
      <c r="N27" s="17"/>
      <c r="O27" s="35"/>
      <c r="P27" s="35"/>
      <c r="Q27" s="30"/>
      <c r="R27" s="30"/>
      <c r="S27" s="22"/>
      <c r="T27" s="15"/>
      <c r="U27" s="23"/>
      <c r="V27" s="1"/>
      <c r="W27" s="15"/>
      <c r="X27" s="39"/>
      <c r="Y27" s="40"/>
      <c r="Z27" s="15"/>
      <c r="AA27" s="29"/>
      <c r="AB27" s="41"/>
      <c r="AC27" s="42"/>
      <c r="AD27" s="40"/>
      <c r="AE27" s="26"/>
      <c r="AF27" s="26"/>
      <c r="AG27" s="26"/>
    </row>
    <row r="28" spans="1:33" ht="15.75" hidden="1" customHeight="1" x14ac:dyDescent="0.2">
      <c r="A28" s="15" t="s">
        <v>75</v>
      </c>
      <c r="B28" s="15"/>
      <c r="C28" s="16"/>
      <c r="D28" s="17"/>
      <c r="E28" s="17"/>
      <c r="F28" s="18"/>
      <c r="G28" s="18"/>
      <c r="H28" s="32"/>
      <c r="I28" s="32"/>
      <c r="J28" s="33"/>
      <c r="K28" s="33"/>
      <c r="L28" s="17"/>
      <c r="M28" s="34"/>
      <c r="N28" s="17"/>
      <c r="O28" s="35"/>
      <c r="P28" s="35"/>
      <c r="Q28" s="30"/>
      <c r="R28" s="30"/>
      <c r="S28" s="22"/>
      <c r="T28" s="15"/>
      <c r="U28" s="23"/>
      <c r="V28" s="1"/>
      <c r="W28" s="15"/>
      <c r="X28" s="39"/>
      <c r="Y28" s="40"/>
      <c r="Z28" s="15"/>
      <c r="AA28" s="29"/>
      <c r="AB28" s="41"/>
      <c r="AC28" s="42"/>
      <c r="AD28" s="40"/>
      <c r="AE28" s="26"/>
      <c r="AF28" s="26"/>
      <c r="AG28" s="26"/>
    </row>
    <row r="29" spans="1:33" ht="15.75" hidden="1" customHeight="1" x14ac:dyDescent="0.2">
      <c r="A29" s="15" t="s">
        <v>77</v>
      </c>
      <c r="B29" s="15"/>
      <c r="C29" s="16"/>
      <c r="D29" s="17"/>
      <c r="E29" s="17"/>
      <c r="F29" s="18"/>
      <c r="G29" s="18"/>
      <c r="H29" s="32"/>
      <c r="I29" s="32"/>
      <c r="J29" s="33"/>
      <c r="K29" s="33"/>
      <c r="L29" s="17"/>
      <c r="M29" s="34"/>
      <c r="N29" s="17"/>
      <c r="O29" s="35"/>
      <c r="P29" s="35"/>
      <c r="Q29" s="30"/>
      <c r="R29" s="30"/>
      <c r="S29" s="22"/>
      <c r="T29" s="15"/>
      <c r="U29" s="23"/>
      <c r="V29" s="1"/>
      <c r="W29" s="15"/>
      <c r="X29" s="39"/>
      <c r="Y29" s="40"/>
      <c r="Z29" s="15"/>
      <c r="AA29" s="29"/>
      <c r="AB29" s="41"/>
      <c r="AC29" s="42"/>
      <c r="AD29" s="40"/>
      <c r="AE29" s="26"/>
      <c r="AF29" s="26"/>
      <c r="AG29" s="26"/>
    </row>
    <row r="30" spans="1:33" ht="15.75" hidden="1" customHeight="1" x14ac:dyDescent="0.2">
      <c r="A30" s="15" t="s">
        <v>78</v>
      </c>
      <c r="B30" s="48"/>
      <c r="C30" s="16"/>
      <c r="D30" s="17"/>
      <c r="E30" s="17"/>
      <c r="F30" s="18"/>
      <c r="G30" s="18"/>
      <c r="H30" s="32"/>
      <c r="I30" s="32"/>
      <c r="J30" s="33"/>
      <c r="K30" s="33"/>
      <c r="L30" s="17"/>
      <c r="M30" s="34"/>
      <c r="N30" s="17"/>
      <c r="O30" s="35"/>
      <c r="P30" s="35"/>
      <c r="Q30" s="30"/>
      <c r="R30" s="30"/>
      <c r="S30" s="22"/>
      <c r="T30" s="29"/>
      <c r="U30" s="37"/>
      <c r="V30" s="38"/>
      <c r="W30" s="15"/>
      <c r="X30" s="39"/>
      <c r="Y30" s="40"/>
      <c r="Z30" s="15"/>
      <c r="AA30" s="29"/>
      <c r="AB30" s="41"/>
      <c r="AC30" s="42"/>
      <c r="AD30" s="40"/>
      <c r="AE30" s="26"/>
      <c r="AF30" s="26"/>
      <c r="AG30" s="26"/>
    </row>
    <row r="31" spans="1:33" ht="15.75" customHeight="1" x14ac:dyDescent="0.2">
      <c r="A31" s="15" t="s">
        <v>55</v>
      </c>
      <c r="B31" s="15"/>
      <c r="C31" s="16"/>
      <c r="D31" s="17"/>
      <c r="E31" s="17"/>
      <c r="F31" s="18"/>
      <c r="G31" s="43"/>
      <c r="H31" s="32"/>
      <c r="I31" s="32"/>
      <c r="J31" s="33"/>
      <c r="K31" s="33"/>
      <c r="L31" s="17"/>
      <c r="M31" s="34"/>
      <c r="N31" s="17"/>
      <c r="O31" s="35"/>
      <c r="P31" s="35"/>
      <c r="Q31" s="30"/>
      <c r="R31" s="30"/>
      <c r="S31" s="22"/>
      <c r="T31" s="15"/>
      <c r="U31" s="23"/>
      <c r="V31" s="1"/>
      <c r="W31" s="15"/>
      <c r="X31" s="39"/>
      <c r="Y31" s="40"/>
      <c r="Z31" s="15"/>
      <c r="AA31" s="15"/>
      <c r="AB31" s="41"/>
      <c r="AC31" s="28"/>
      <c r="AD31" s="40"/>
      <c r="AE31" s="44"/>
      <c r="AF31" s="44"/>
      <c r="AG31" s="26"/>
    </row>
    <row r="32" spans="1:33" ht="15.75" customHeight="1" x14ac:dyDescent="0.2">
      <c r="A32" s="15" t="s">
        <v>59</v>
      </c>
      <c r="B32" s="15"/>
      <c r="C32" s="16">
        <f>IFERROR(F32/D32," - ")</f>
        <v>19.989999999999998</v>
      </c>
      <c r="D32" s="17">
        <v>1</v>
      </c>
      <c r="E32" s="17">
        <v>0</v>
      </c>
      <c r="F32" s="18">
        <v>19.989999999999998</v>
      </c>
      <c r="G32" s="18">
        <v>0</v>
      </c>
      <c r="H32" s="32">
        <f>G32/F32*-1</f>
        <v>0</v>
      </c>
      <c r="I32" s="32">
        <f>J32/F32</f>
        <v>0.11767093881315646</v>
      </c>
      <c r="J32" s="33">
        <f>F32*0.85+G32+AF32*D32+D32*AE32+AG32+AD32</f>
        <v>2.3522420668749975</v>
      </c>
      <c r="K32" s="33">
        <f>J32/D32</f>
        <v>2.3522420668749975</v>
      </c>
      <c r="L32" s="17">
        <v>9</v>
      </c>
      <c r="M32" s="34">
        <f>IFERROR(D32/L32,"-")</f>
        <v>0.1111111111111111</v>
      </c>
      <c r="N32" s="17">
        <v>79</v>
      </c>
      <c r="O32" s="35">
        <f t="shared" ref="O32:P32" si="1">D32/7</f>
        <v>0.14285714285714285</v>
      </c>
      <c r="P32" s="35">
        <f t="shared" si="1"/>
        <v>0</v>
      </c>
      <c r="Q32" s="30">
        <f>ROUNDDOWN(N32/(O32+P32),0)</f>
        <v>553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5.0632911392405063E-2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>IFERROR(W32/D32,0)</f>
        <v>0</v>
      </c>
      <c r="Y32" s="40">
        <f>IFERROR(G32/(W32+Z32)*-1,0)</f>
        <v>0</v>
      </c>
      <c r="Z32" s="15">
        <v>0</v>
      </c>
      <c r="AA32" s="15" t="s">
        <v>58</v>
      </c>
      <c r="AB32" s="41">
        <f>IF(OR(AA32="UsLargeStandardSize",AA32="UsSmallStandardSize"),-0.69,-0.48)</f>
        <v>-0.69</v>
      </c>
      <c r="AC32" s="28">
        <v>0.30524759374999999</v>
      </c>
      <c r="AD32" s="40">
        <f>IFERROR(AB32*AC32*D32*2,0)</f>
        <v>-0.42124167937499996</v>
      </c>
      <c r="AE32" s="26">
        <v>-7.48</v>
      </c>
      <c r="AF32" s="26">
        <v>-6.7380162537499997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Hunter Green &amp; White")</f>
        <v>Corn Filled Cornhole Bags - Set of 8 Bean Bags for Corn Hole Game - Regulation Size &amp; Weight - Hunter Green &amp; White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Info!B1:BJ7000""),2,FALSE),"""")"),"B07ZTQ4V8B")</f>
        <v>B07ZTQ4V8B</v>
      </c>
      <c r="B2" s="47" t="s">
        <v>167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16.727077945588238</v>
      </c>
      <c r="D3" s="5">
        <f>SUM(D4:D99765)</f>
        <v>1</v>
      </c>
      <c r="E3" s="5"/>
      <c r="F3" s="6">
        <f t="shared" ref="F3:G3" si="0">SUM(F4:F99765)</f>
        <v>19.989999999999998</v>
      </c>
      <c r="G3" s="6">
        <f t="shared" si="0"/>
        <v>0</v>
      </c>
      <c r="H3" s="7">
        <f>G3/F3*-1</f>
        <v>0</v>
      </c>
      <c r="I3" s="8">
        <f>J3/F3</f>
        <v>0.11666098755627803</v>
      </c>
      <c r="J3" s="6">
        <f>SUM(J4:J99765)</f>
        <v>2.3320531412499976</v>
      </c>
      <c r="K3" s="6">
        <f>J3/D3</f>
        <v>2.3320531412499976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-0.44143060499999998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hidden="1" customHeight="1" x14ac:dyDescent="0.2">
      <c r="A4" s="15" t="s">
        <v>32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35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36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37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38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39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40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41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42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43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44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45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46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47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48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49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50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51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52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"/>
      <c r="AB24" s="41"/>
      <c r="AC24" s="28"/>
      <c r="AD24" s="40"/>
      <c r="AE24" s="26"/>
      <c r="AF24" s="40"/>
      <c r="AG24" s="40"/>
    </row>
    <row r="25" spans="1:33" ht="15.75" hidden="1" customHeight="1" x14ac:dyDescent="0.2">
      <c r="A25" s="29" t="s">
        <v>53</v>
      </c>
      <c r="B25" s="15"/>
      <c r="C25" s="16"/>
      <c r="D25" s="30"/>
      <c r="E25" s="30"/>
      <c r="F25" s="33"/>
      <c r="G25" s="33"/>
      <c r="H25" s="32"/>
      <c r="I25" s="32"/>
      <c r="J25" s="33"/>
      <c r="K25" s="33"/>
      <c r="L25" s="30"/>
      <c r="M25" s="34"/>
      <c r="N25" s="30"/>
      <c r="O25" s="35"/>
      <c r="P25" s="35"/>
      <c r="Q25" s="30"/>
      <c r="R25" s="30"/>
      <c r="S25" s="36"/>
      <c r="T25" s="15"/>
      <c r="U25" s="23"/>
      <c r="V25" s="1"/>
      <c r="W25" s="15"/>
      <c r="X25" s="39"/>
      <c r="Y25" s="40"/>
      <c r="Z25" s="15"/>
      <c r="AA25" s="29"/>
      <c r="AB25" s="41"/>
      <c r="AC25" s="42"/>
      <c r="AD25" s="40"/>
      <c r="AE25" s="40"/>
      <c r="AF25" s="40"/>
      <c r="AG25" s="40"/>
    </row>
    <row r="26" spans="1:33" ht="15.75" hidden="1" customHeight="1" x14ac:dyDescent="0.2">
      <c r="A26" s="15" t="s">
        <v>54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15"/>
      <c r="U26" s="23"/>
      <c r="V26" s="1"/>
      <c r="W26" s="15"/>
      <c r="X26" s="39"/>
      <c r="Y26" s="40"/>
      <c r="Z26" s="15"/>
      <c r="AA26" s="29"/>
      <c r="AB26" s="41"/>
      <c r="AC26" s="42"/>
      <c r="AD26" s="40"/>
      <c r="AE26" s="26"/>
      <c r="AF26" s="26"/>
      <c r="AG26" s="26"/>
    </row>
    <row r="27" spans="1:33" ht="15.75" hidden="1" customHeight="1" x14ac:dyDescent="0.2">
      <c r="A27" s="15" t="s">
        <v>74</v>
      </c>
      <c r="B27" s="15"/>
      <c r="C27" s="16"/>
      <c r="D27" s="17"/>
      <c r="E27" s="17"/>
      <c r="F27" s="18"/>
      <c r="G27" s="18"/>
      <c r="H27" s="32"/>
      <c r="I27" s="32"/>
      <c r="J27" s="33"/>
      <c r="K27" s="33"/>
      <c r="L27" s="17"/>
      <c r="M27" s="34"/>
      <c r="N27" s="17"/>
      <c r="O27" s="35"/>
      <c r="P27" s="35"/>
      <c r="Q27" s="30"/>
      <c r="R27" s="30"/>
      <c r="S27" s="22"/>
      <c r="T27" s="15"/>
      <c r="U27" s="23"/>
      <c r="V27" s="1"/>
      <c r="W27" s="15"/>
      <c r="X27" s="39"/>
      <c r="Y27" s="40"/>
      <c r="Z27" s="15"/>
      <c r="AA27" s="29"/>
      <c r="AB27" s="41"/>
      <c r="AC27" s="42"/>
      <c r="AD27" s="40"/>
      <c r="AE27" s="26"/>
      <c r="AF27" s="26"/>
      <c r="AG27" s="26"/>
    </row>
    <row r="28" spans="1:33" ht="15.75" hidden="1" customHeight="1" x14ac:dyDescent="0.2">
      <c r="A28" s="15" t="s">
        <v>75</v>
      </c>
      <c r="B28" s="15"/>
      <c r="C28" s="16"/>
      <c r="D28" s="17"/>
      <c r="E28" s="17"/>
      <c r="F28" s="18"/>
      <c r="G28" s="18"/>
      <c r="H28" s="32"/>
      <c r="I28" s="32"/>
      <c r="J28" s="33"/>
      <c r="K28" s="33"/>
      <c r="L28" s="17"/>
      <c r="M28" s="34"/>
      <c r="N28" s="17"/>
      <c r="O28" s="35"/>
      <c r="P28" s="35"/>
      <c r="Q28" s="30"/>
      <c r="R28" s="30"/>
      <c r="S28" s="22"/>
      <c r="T28" s="15"/>
      <c r="U28" s="23"/>
      <c r="V28" s="1"/>
      <c r="W28" s="15"/>
      <c r="X28" s="39"/>
      <c r="Y28" s="40"/>
      <c r="Z28" s="15"/>
      <c r="AA28" s="29"/>
      <c r="AB28" s="41"/>
      <c r="AC28" s="42"/>
      <c r="AD28" s="40"/>
      <c r="AE28" s="26"/>
      <c r="AF28" s="26"/>
      <c r="AG28" s="26"/>
    </row>
    <row r="29" spans="1:33" ht="15.75" hidden="1" customHeight="1" x14ac:dyDescent="0.2">
      <c r="A29" s="15" t="s">
        <v>77</v>
      </c>
      <c r="B29" s="15"/>
      <c r="C29" s="16"/>
      <c r="D29" s="17"/>
      <c r="E29" s="17"/>
      <c r="F29" s="18"/>
      <c r="G29" s="18"/>
      <c r="H29" s="32"/>
      <c r="I29" s="32"/>
      <c r="J29" s="33"/>
      <c r="K29" s="33"/>
      <c r="L29" s="17"/>
      <c r="M29" s="34"/>
      <c r="N29" s="17"/>
      <c r="O29" s="35"/>
      <c r="P29" s="35"/>
      <c r="Q29" s="30"/>
      <c r="R29" s="30"/>
      <c r="S29" s="22"/>
      <c r="T29" s="15"/>
      <c r="U29" s="23"/>
      <c r="V29" s="1"/>
      <c r="W29" s="15"/>
      <c r="X29" s="39"/>
      <c r="Y29" s="40"/>
      <c r="Z29" s="15"/>
      <c r="AA29" s="29"/>
      <c r="AB29" s="41"/>
      <c r="AC29" s="42"/>
      <c r="AD29" s="40"/>
      <c r="AE29" s="26"/>
      <c r="AF29" s="26"/>
      <c r="AG29" s="26"/>
    </row>
    <row r="30" spans="1:33" ht="15.75" hidden="1" customHeight="1" x14ac:dyDescent="0.2">
      <c r="A30" s="15" t="s">
        <v>78</v>
      </c>
      <c r="B30" s="48"/>
      <c r="C30" s="16"/>
      <c r="D30" s="17"/>
      <c r="E30" s="17"/>
      <c r="F30" s="18"/>
      <c r="G30" s="18"/>
      <c r="H30" s="32"/>
      <c r="I30" s="32"/>
      <c r="J30" s="33"/>
      <c r="K30" s="33"/>
      <c r="L30" s="17"/>
      <c r="M30" s="34"/>
      <c r="N30" s="17"/>
      <c r="O30" s="35"/>
      <c r="P30" s="35"/>
      <c r="Q30" s="30"/>
      <c r="R30" s="30"/>
      <c r="S30" s="22"/>
      <c r="T30" s="29"/>
      <c r="U30" s="37"/>
      <c r="V30" s="38"/>
      <c r="W30" s="15"/>
      <c r="X30" s="39"/>
      <c r="Y30" s="40"/>
      <c r="Z30" s="15"/>
      <c r="AA30" s="29"/>
      <c r="AB30" s="41"/>
      <c r="AC30" s="42"/>
      <c r="AD30" s="40"/>
      <c r="AE30" s="26"/>
      <c r="AF30" s="26"/>
      <c r="AG30" s="26"/>
    </row>
    <row r="31" spans="1:33" ht="15.75" customHeight="1" x14ac:dyDescent="0.2">
      <c r="A31" s="15" t="s">
        <v>55</v>
      </c>
      <c r="B31" s="15"/>
      <c r="C31" s="16"/>
      <c r="D31" s="17"/>
      <c r="E31" s="17"/>
      <c r="F31" s="18"/>
      <c r="G31" s="43"/>
      <c r="H31" s="32"/>
      <c r="I31" s="32"/>
      <c r="J31" s="33"/>
      <c r="K31" s="33"/>
      <c r="L31" s="17"/>
      <c r="M31" s="34"/>
      <c r="N31" s="17"/>
      <c r="O31" s="35"/>
      <c r="P31" s="35"/>
      <c r="Q31" s="30"/>
      <c r="R31" s="30"/>
      <c r="S31" s="22"/>
      <c r="T31" s="15"/>
      <c r="U31" s="23"/>
      <c r="V31" s="1"/>
      <c r="W31" s="15"/>
      <c r="X31" s="39"/>
      <c r="Y31" s="40"/>
      <c r="Z31" s="15"/>
      <c r="AA31" s="15"/>
      <c r="AB31" s="41"/>
      <c r="AC31" s="28"/>
      <c r="AD31" s="40"/>
      <c r="AE31" s="44"/>
      <c r="AF31" s="44"/>
      <c r="AG31" s="26"/>
    </row>
    <row r="32" spans="1:33" ht="15.75" customHeight="1" x14ac:dyDescent="0.2">
      <c r="A32" s="15" t="s">
        <v>59</v>
      </c>
      <c r="B32" s="15"/>
      <c r="C32" s="16">
        <f>IFERROR(F32/D32," - ")</f>
        <v>19.989999999999998</v>
      </c>
      <c r="D32" s="17">
        <v>1</v>
      </c>
      <c r="E32" s="17">
        <v>0</v>
      </c>
      <c r="F32" s="18">
        <v>19.989999999999998</v>
      </c>
      <c r="G32" s="18">
        <v>0</v>
      </c>
      <c r="H32" s="32">
        <f>G32/F32*-1</f>
        <v>0</v>
      </c>
      <c r="I32" s="32">
        <f>J32/F32</f>
        <v>0.11666098755627803</v>
      </c>
      <c r="J32" s="33">
        <f>F32*0.85+G32+AF32*D32+D32*AE32+AG32+AD32</f>
        <v>2.3320531412499976</v>
      </c>
      <c r="K32" s="33">
        <f>J32/D32</f>
        <v>2.3320531412499976</v>
      </c>
      <c r="L32" s="17">
        <v>7</v>
      </c>
      <c r="M32" s="34">
        <f>IFERROR(D32/L32,"-")</f>
        <v>0.14285714285714285</v>
      </c>
      <c r="N32" s="17">
        <v>100</v>
      </c>
      <c r="O32" s="35">
        <f t="shared" ref="O32:P32" si="1">D32/7</f>
        <v>0.14285714285714285</v>
      </c>
      <c r="P32" s="35">
        <f t="shared" si="1"/>
        <v>0</v>
      </c>
      <c r="Q32" s="30">
        <f>ROUNDDOWN(N32/(O32+P32),0)</f>
        <v>700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>IFERROR(W32/D32,0)</f>
        <v>0</v>
      </c>
      <c r="Y32" s="40">
        <f>IFERROR(G32/(W32+Z32)*-1,0)</f>
        <v>0</v>
      </c>
      <c r="Z32" s="15">
        <v>0</v>
      </c>
      <c r="AA32" s="15" t="s">
        <v>58</v>
      </c>
      <c r="AB32" s="41">
        <f>IF(OR(AA32="UsLargeStandardSize",AA32="UsSmallStandardSize"),-0.69,-0.48)</f>
        <v>-0.69</v>
      </c>
      <c r="AC32" s="28">
        <v>0.31987725</v>
      </c>
      <c r="AD32" s="40">
        <f>IFERROR(AB32*AC32*D32*2,0)</f>
        <v>-0.44143060499999998</v>
      </c>
      <c r="AE32" s="26">
        <v>-7.48</v>
      </c>
      <c r="AF32" s="26">
        <v>-6.7380162537499997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EA9999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51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Bright American Flag Bean Bags for Corn Hole Game - Regulation Size &amp; Weight - Stars and Stripes")</f>
        <v>Corn Filled Cornhole Bags - Set of 8 Bright American Flag Bean Bags for Corn Hole Game - Regulation Size &amp; Weight - Stars and Stripes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Info!B1:BJ7000""),2,FALSE),"""")"),"B07PFXZ4WY")</f>
        <v>B07PFXZ4WY</v>
      </c>
      <c r="B2" s="47" t="s">
        <v>168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16.374136769117648</v>
      </c>
      <c r="D3" s="5">
        <f>SUM(D4:D99765)</f>
        <v>152</v>
      </c>
      <c r="E3" s="5"/>
      <c r="F3" s="6">
        <f t="shared" ref="F3:G3" si="0">SUM(F4:F99765)</f>
        <v>3133.71</v>
      </c>
      <c r="G3" s="6">
        <f t="shared" si="0"/>
        <v>-184.17999999999998</v>
      </c>
      <c r="H3" s="7">
        <f t="shared" ref="H3:H32" si="1">G3/F3*-1</f>
        <v>5.8773785704484452E-2</v>
      </c>
      <c r="I3" s="8">
        <f t="shared" ref="I3:I32" si="2">J3/F3</f>
        <v>9.053617414498856E-2</v>
      </c>
      <c r="J3" s="6">
        <f>SUM(J4:J99765)</f>
        <v>283.7141142798921</v>
      </c>
      <c r="K3" s="6">
        <f t="shared" ref="K3:K32" si="3">J3/D3</f>
        <v>1.8665402255256058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10 - May
18 - June
20 - July
15 - Aug
8.5 - Sept
2 - Oct
0 - Nov
0 - Dec
0.1 - Jan
0.1 - Feb")</f>
        <v>1 - March
1 - April
10 - May
18 - June
20 - July
15 - Aug
8.5 - Sept
2 -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QTY-3")</f>
        <v>Del QTY-3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29</v>
      </c>
      <c r="X3" s="7">
        <f>W3/D3</f>
        <v>0.19078947368421054</v>
      </c>
      <c r="Y3" s="6"/>
      <c r="Z3" s="5"/>
      <c r="AA3" s="5"/>
      <c r="AB3" s="5"/>
      <c r="AC3" s="5"/>
      <c r="AD3" s="6">
        <f>SUM(AD4:AD99765)</f>
        <v>-52.047357396678244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169</v>
      </c>
      <c r="C4" s="16">
        <f t="shared" ref="C4:C32" si="4">IFERROR(F4/D4," - ")</f>
        <v>16.444545454545455</v>
      </c>
      <c r="D4" s="17">
        <v>11</v>
      </c>
      <c r="E4" s="17">
        <v>0</v>
      </c>
      <c r="F4" s="18">
        <v>180.89000000000001</v>
      </c>
      <c r="G4" s="18">
        <v>-5.33</v>
      </c>
      <c r="H4" s="19">
        <f t="shared" si="1"/>
        <v>2.9465420974072638E-2</v>
      </c>
      <c r="I4" s="19">
        <f t="shared" si="2"/>
        <v>-2.8761869729585581E-3</v>
      </c>
      <c r="J4" s="18">
        <f t="shared" ref="J4:J32" si="5">F4*0.85+G4+AF4*D4+D4*AE4+AG4+AD4</f>
        <v>-0.52027346153847365</v>
      </c>
      <c r="K4" s="18">
        <f t="shared" si="3"/>
        <v>-4.7297587412588514E-2</v>
      </c>
      <c r="L4" s="17">
        <v>14</v>
      </c>
      <c r="M4" s="20">
        <f t="shared" ref="M4:M32" si="6">IFERROR(D4/L4,"-")</f>
        <v>0.7857142857142857</v>
      </c>
      <c r="N4" s="17">
        <v>57</v>
      </c>
      <c r="O4" s="21">
        <f t="shared" ref="O4:P4" si="7">D4/7</f>
        <v>1.5714285714285714</v>
      </c>
      <c r="P4" s="21">
        <f t="shared" si="7"/>
        <v>0</v>
      </c>
      <c r="Q4" s="17">
        <f t="shared" ref="Q4:Q32" si="8">ROUNDDOWN(N4/(O4+P4),0)</f>
        <v>36</v>
      </c>
      <c r="R4" s="17"/>
      <c r="S4" s="22">
        <v>1.11598746081504</v>
      </c>
      <c r="T4" s="15">
        <v>804</v>
      </c>
      <c r="U4" s="23" t="s">
        <v>56</v>
      </c>
      <c r="V4" s="24" t="s">
        <v>56</v>
      </c>
      <c r="W4" s="15">
        <v>2</v>
      </c>
      <c r="X4" s="25">
        <f t="shared" ref="X4:X32" si="9">IFERROR(W4/D4,0)</f>
        <v>0.18181818181818182</v>
      </c>
      <c r="Y4" s="26">
        <f t="shared" ref="Y4:Y32" si="10">IFERROR(G4/(W4+Z4)*-1,0)</f>
        <v>1.3325</v>
      </c>
      <c r="Z4" s="15">
        <v>2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0.24811111111111106</v>
      </c>
      <c r="AD4" s="26">
        <f t="shared" ref="AD4:AD32" si="12">IFERROR(AB4*AC4*D4*2,0)</f>
        <v>-3.7663266666666653</v>
      </c>
      <c r="AE4" s="26">
        <v>-7.32</v>
      </c>
      <c r="AF4" s="26">
        <v>-5.8782224358974364</v>
      </c>
      <c r="AG4" s="26">
        <v>0</v>
      </c>
    </row>
    <row r="5" spans="1:33" ht="15.75" customHeight="1" x14ac:dyDescent="0.2">
      <c r="A5" s="29" t="s">
        <v>33</v>
      </c>
      <c r="B5" s="29" t="s">
        <v>127</v>
      </c>
      <c r="C5" s="16">
        <f t="shared" si="4"/>
        <v>16.545555555555556</v>
      </c>
      <c r="D5" s="30">
        <v>9</v>
      </c>
      <c r="E5" s="30">
        <v>0</v>
      </c>
      <c r="F5" s="31">
        <v>148.91</v>
      </c>
      <c r="G5" s="31">
        <v>-4.870000000000001</v>
      </c>
      <c r="H5" s="32">
        <f t="shared" si="1"/>
        <v>3.2704318044456393E-2</v>
      </c>
      <c r="I5" s="32">
        <f t="shared" si="2"/>
        <v>-1.1121660942079797E-3</v>
      </c>
      <c r="J5" s="33">
        <f t="shared" si="5"/>
        <v>-0.16561265308851025</v>
      </c>
      <c r="K5" s="33">
        <f t="shared" si="3"/>
        <v>-1.8401405898723362E-2</v>
      </c>
      <c r="L5" s="30">
        <v>21</v>
      </c>
      <c r="M5" s="34">
        <f t="shared" si="6"/>
        <v>0.42857142857142855</v>
      </c>
      <c r="N5" s="30">
        <v>46</v>
      </c>
      <c r="O5" s="35">
        <f t="shared" ref="O5:P5" si="13">D5/7</f>
        <v>1.2857142857142858</v>
      </c>
      <c r="P5" s="35">
        <f t="shared" si="13"/>
        <v>0</v>
      </c>
      <c r="Q5" s="30">
        <f t="shared" si="8"/>
        <v>35</v>
      </c>
      <c r="R5" s="30"/>
      <c r="S5" s="36">
        <v>0.93087557603686599</v>
      </c>
      <c r="T5" s="29">
        <v>920</v>
      </c>
      <c r="U5" s="37">
        <v>116</v>
      </c>
      <c r="V5" s="38" t="s">
        <v>170</v>
      </c>
      <c r="W5" s="29">
        <v>2</v>
      </c>
      <c r="X5" s="39">
        <f t="shared" si="9"/>
        <v>0.22222222222222221</v>
      </c>
      <c r="Y5" s="40">
        <f t="shared" si="10"/>
        <v>2.4350000000000005</v>
      </c>
      <c r="Z5" s="29">
        <v>0</v>
      </c>
      <c r="AA5" s="29" t="s">
        <v>58</v>
      </c>
      <c r="AB5" s="41">
        <f t="shared" si="11"/>
        <v>-0.69</v>
      </c>
      <c r="AC5" s="42">
        <v>0.24839860950173809</v>
      </c>
      <c r="AD5" s="40">
        <f t="shared" si="12"/>
        <v>-3.085110730011587</v>
      </c>
      <c r="AE5" s="40">
        <v>-7.32</v>
      </c>
      <c r="AF5" s="40">
        <v>-5.8782224358974364</v>
      </c>
      <c r="AG5" s="40">
        <v>0</v>
      </c>
    </row>
    <row r="6" spans="1:33" ht="15.75" customHeight="1" x14ac:dyDescent="0.2">
      <c r="A6" s="29" t="s">
        <v>34</v>
      </c>
      <c r="B6" s="29" t="s">
        <v>171</v>
      </c>
      <c r="C6" s="16">
        <f t="shared" si="4"/>
        <v>16.989999999999998</v>
      </c>
      <c r="D6" s="30">
        <v>5</v>
      </c>
      <c r="E6" s="30">
        <v>4</v>
      </c>
      <c r="F6" s="31">
        <v>84.949999999999989</v>
      </c>
      <c r="G6" s="31">
        <v>-4.2200000000000006</v>
      </c>
      <c r="H6" s="32">
        <f t="shared" si="1"/>
        <v>4.9676280164802841E-2</v>
      </c>
      <c r="I6" s="32">
        <f t="shared" si="2"/>
        <v>3.3481006927149502E-3</v>
      </c>
      <c r="J6" s="33">
        <f t="shared" si="5"/>
        <v>0.28442115384613498</v>
      </c>
      <c r="K6" s="33">
        <f t="shared" si="3"/>
        <v>5.6884230769226996E-2</v>
      </c>
      <c r="L6" s="30">
        <v>17</v>
      </c>
      <c r="M6" s="34">
        <f t="shared" si="6"/>
        <v>0.29411764705882354</v>
      </c>
      <c r="N6" s="30">
        <v>38</v>
      </c>
      <c r="O6" s="35">
        <f t="shared" ref="O6:P6" si="14">D6/7</f>
        <v>0.7142857142857143</v>
      </c>
      <c r="P6" s="35">
        <f t="shared" si="14"/>
        <v>0.5714285714285714</v>
      </c>
      <c r="Q6" s="30">
        <f t="shared" si="8"/>
        <v>29</v>
      </c>
      <c r="R6" s="30"/>
      <c r="S6" s="36">
        <v>1.0536585365853599</v>
      </c>
      <c r="T6" s="29">
        <v>920</v>
      </c>
      <c r="U6" s="37">
        <v>116</v>
      </c>
      <c r="V6" s="38" t="s">
        <v>172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58</v>
      </c>
      <c r="AB6" s="41">
        <f t="shared" si="11"/>
        <v>-0.69</v>
      </c>
      <c r="AC6" s="42">
        <v>0.24811111111111106</v>
      </c>
      <c r="AD6" s="40">
        <f t="shared" si="12"/>
        <v>-1.7119666666666662</v>
      </c>
      <c r="AE6" s="40">
        <v>-7.32</v>
      </c>
      <c r="AF6" s="40">
        <v>-5.8782224358974364</v>
      </c>
      <c r="AG6" s="40">
        <v>0</v>
      </c>
    </row>
    <row r="7" spans="1:33" ht="15.75" customHeight="1" x14ac:dyDescent="0.2">
      <c r="A7" s="29" t="s">
        <v>35</v>
      </c>
      <c r="B7" s="29" t="s">
        <v>173</v>
      </c>
      <c r="C7" s="16">
        <f t="shared" si="4"/>
        <v>16.989999999999998</v>
      </c>
      <c r="D7" s="30">
        <v>5</v>
      </c>
      <c r="E7" s="30">
        <v>5</v>
      </c>
      <c r="F7" s="31">
        <v>84.949999999999989</v>
      </c>
      <c r="G7" s="31">
        <v>0</v>
      </c>
      <c r="H7" s="32">
        <f t="shared" si="1"/>
        <v>0</v>
      </c>
      <c r="I7" s="32">
        <f t="shared" si="2"/>
        <v>5.3024380857517768E-2</v>
      </c>
      <c r="J7" s="33">
        <f t="shared" si="5"/>
        <v>4.5044211538461338</v>
      </c>
      <c r="K7" s="33">
        <f t="shared" si="3"/>
        <v>0.90088423076922675</v>
      </c>
      <c r="L7" s="30">
        <v>19</v>
      </c>
      <c r="M7" s="34">
        <f t="shared" si="6"/>
        <v>0.26315789473684209</v>
      </c>
      <c r="N7" s="30">
        <v>28</v>
      </c>
      <c r="O7" s="35">
        <f t="shared" ref="O7:P7" si="15">D7/7</f>
        <v>0.7142857142857143</v>
      </c>
      <c r="P7" s="35">
        <f t="shared" si="15"/>
        <v>0.7142857142857143</v>
      </c>
      <c r="Q7" s="30">
        <f t="shared" si="8"/>
        <v>19</v>
      </c>
      <c r="R7" s="30"/>
      <c r="S7" s="36">
        <v>1.2324324324324301</v>
      </c>
      <c r="T7" s="29">
        <v>920</v>
      </c>
      <c r="U7" s="37">
        <v>116</v>
      </c>
      <c r="V7" s="38" t="s">
        <v>174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58</v>
      </c>
      <c r="AB7" s="41">
        <f t="shared" si="11"/>
        <v>-0.69</v>
      </c>
      <c r="AC7" s="42">
        <v>0.24811111111111106</v>
      </c>
      <c r="AD7" s="40">
        <f t="shared" si="12"/>
        <v>-1.7119666666666662</v>
      </c>
      <c r="AE7" s="40">
        <v>-7.32</v>
      </c>
      <c r="AF7" s="40">
        <v>-5.8782224358974364</v>
      </c>
      <c r="AG7" s="40">
        <v>0</v>
      </c>
    </row>
    <row r="8" spans="1:33" ht="15.75" customHeight="1" x14ac:dyDescent="0.2">
      <c r="A8" s="29" t="s">
        <v>36</v>
      </c>
      <c r="B8" s="29" t="s">
        <v>175</v>
      </c>
      <c r="C8" s="16">
        <f t="shared" si="4"/>
        <v>17.89</v>
      </c>
      <c r="D8" s="30">
        <v>10</v>
      </c>
      <c r="E8" s="30">
        <v>8</v>
      </c>
      <c r="F8" s="31">
        <v>178.9</v>
      </c>
      <c r="G8" s="31">
        <v>0</v>
      </c>
      <c r="H8" s="32">
        <f t="shared" si="1"/>
        <v>0</v>
      </c>
      <c r="I8" s="32">
        <f t="shared" si="2"/>
        <v>9.3018818706912615E-2</v>
      </c>
      <c r="J8" s="33">
        <f t="shared" si="5"/>
        <v>16.641066666666667</v>
      </c>
      <c r="K8" s="33">
        <f t="shared" si="3"/>
        <v>1.6641066666666666</v>
      </c>
      <c r="L8" s="30">
        <v>11</v>
      </c>
      <c r="M8" s="34">
        <f t="shared" si="6"/>
        <v>0.90909090909090906</v>
      </c>
      <c r="N8" s="30">
        <v>11</v>
      </c>
      <c r="O8" s="35">
        <f t="shared" ref="O8:P8" si="16">D8/7</f>
        <v>1.4285714285714286</v>
      </c>
      <c r="P8" s="35">
        <f t="shared" si="16"/>
        <v>1.1428571428571428</v>
      </c>
      <c r="Q8" s="30">
        <f t="shared" si="8"/>
        <v>4</v>
      </c>
      <c r="R8" s="30"/>
      <c r="S8" s="36">
        <v>1.4328358208955201</v>
      </c>
      <c r="T8" s="29">
        <v>804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58</v>
      </c>
      <c r="AB8" s="41">
        <f t="shared" si="11"/>
        <v>-0.69</v>
      </c>
      <c r="AC8" s="42">
        <v>0.24811111111111106</v>
      </c>
      <c r="AD8" s="40">
        <f t="shared" si="12"/>
        <v>-3.4239333333333324</v>
      </c>
      <c r="AE8" s="40">
        <v>-7.32</v>
      </c>
      <c r="AF8" s="40">
        <v>-5.88</v>
      </c>
      <c r="AG8" s="40">
        <v>0</v>
      </c>
    </row>
    <row r="9" spans="1:33" ht="15.75" customHeight="1" x14ac:dyDescent="0.2">
      <c r="A9" s="29" t="s">
        <v>37</v>
      </c>
      <c r="B9" s="29" t="s">
        <v>127</v>
      </c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8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>
        <v>1.6891891891891799</v>
      </c>
      <c r="T9" s="29">
        <v>804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58</v>
      </c>
      <c r="AB9" s="41">
        <f t="shared" si="11"/>
        <v>-0.69</v>
      </c>
      <c r="AC9" s="42">
        <v>0.24811111111111106</v>
      </c>
      <c r="AD9" s="40">
        <f t="shared" si="12"/>
        <v>0</v>
      </c>
      <c r="AE9" s="40">
        <v>-7.32</v>
      </c>
      <c r="AF9" s="40">
        <v>-6.2314275641025603</v>
      </c>
      <c r="AG9" s="40">
        <v>0</v>
      </c>
    </row>
    <row r="10" spans="1:33" ht="15.75" customHeight="1" x14ac:dyDescent="0.2">
      <c r="A10" s="29" t="s">
        <v>38</v>
      </c>
      <c r="B10" s="29" t="s">
        <v>96</v>
      </c>
      <c r="C10" s="16">
        <f t="shared" si="4"/>
        <v>20.99</v>
      </c>
      <c r="D10" s="30">
        <v>3</v>
      </c>
      <c r="E10" s="30">
        <v>0</v>
      </c>
      <c r="F10" s="31">
        <v>62.97</v>
      </c>
      <c r="G10" s="31">
        <v>0</v>
      </c>
      <c r="H10" s="32">
        <f t="shared" si="1"/>
        <v>0</v>
      </c>
      <c r="I10" s="32">
        <f t="shared" si="2"/>
        <v>0.18807427834988591</v>
      </c>
      <c r="J10" s="33">
        <f t="shared" si="5"/>
        <v>11.843037307692315</v>
      </c>
      <c r="K10" s="33">
        <f t="shared" si="3"/>
        <v>3.9476791025641051</v>
      </c>
      <c r="L10" s="30">
        <v>10</v>
      </c>
      <c r="M10" s="34">
        <f t="shared" si="6"/>
        <v>0.3</v>
      </c>
      <c r="N10" s="30">
        <v>6</v>
      </c>
      <c r="O10" s="35">
        <f t="shared" ref="O10:P10" si="18">D10/7</f>
        <v>0.42857142857142855</v>
      </c>
      <c r="P10" s="35">
        <f t="shared" si="18"/>
        <v>0</v>
      </c>
      <c r="Q10" s="30">
        <f t="shared" si="8"/>
        <v>14</v>
      </c>
      <c r="R10" s="30"/>
      <c r="S10" s="36">
        <v>1.8382352941176401</v>
      </c>
      <c r="T10" s="29">
        <v>884</v>
      </c>
      <c r="U10" s="37">
        <v>80</v>
      </c>
      <c r="V10" s="38" t="s">
        <v>176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58</v>
      </c>
      <c r="AB10" s="41">
        <f t="shared" si="11"/>
        <v>-0.69</v>
      </c>
      <c r="AC10" s="42">
        <v>0.24811111111111106</v>
      </c>
      <c r="AD10" s="40">
        <f t="shared" si="12"/>
        <v>-1.0271799999999995</v>
      </c>
      <c r="AE10" s="40">
        <v>-7.32</v>
      </c>
      <c r="AF10" s="40">
        <v>-6.2314275641025603</v>
      </c>
      <c r="AG10" s="40">
        <v>0</v>
      </c>
    </row>
    <row r="11" spans="1:33" ht="15.75" customHeight="1" x14ac:dyDescent="0.2">
      <c r="A11" s="29" t="s">
        <v>39</v>
      </c>
      <c r="B11" s="29" t="s">
        <v>96</v>
      </c>
      <c r="C11" s="16">
        <f t="shared" si="4"/>
        <v>20.99</v>
      </c>
      <c r="D11" s="30">
        <v>1</v>
      </c>
      <c r="E11" s="30">
        <v>0</v>
      </c>
      <c r="F11" s="31">
        <v>20.99</v>
      </c>
      <c r="G11" s="31">
        <v>0</v>
      </c>
      <c r="H11" s="32">
        <f t="shared" si="1"/>
        <v>0</v>
      </c>
      <c r="I11" s="32">
        <f t="shared" si="2"/>
        <v>0.18807427834988596</v>
      </c>
      <c r="J11" s="33">
        <f t="shared" si="5"/>
        <v>3.947679102564106</v>
      </c>
      <c r="K11" s="33">
        <f t="shared" si="3"/>
        <v>3.947679102564106</v>
      </c>
      <c r="L11" s="30">
        <v>7</v>
      </c>
      <c r="M11" s="34">
        <f t="shared" si="6"/>
        <v>0.14285714285714285</v>
      </c>
      <c r="N11" s="30">
        <v>6</v>
      </c>
      <c r="O11" s="35">
        <f t="shared" ref="O11:P11" si="19">D11/7</f>
        <v>0.14285714285714285</v>
      </c>
      <c r="P11" s="35">
        <f t="shared" si="19"/>
        <v>0</v>
      </c>
      <c r="Q11" s="30">
        <f t="shared" si="8"/>
        <v>42</v>
      </c>
      <c r="R11" s="30"/>
      <c r="S11" s="36">
        <v>2.02510460251046</v>
      </c>
      <c r="T11" s="29">
        <v>1724</v>
      </c>
      <c r="U11" s="37">
        <v>116</v>
      </c>
      <c r="V11" s="38" t="s">
        <v>177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58</v>
      </c>
      <c r="AB11" s="41">
        <f t="shared" si="11"/>
        <v>-0.69</v>
      </c>
      <c r="AC11" s="42">
        <v>0.24811111111111106</v>
      </c>
      <c r="AD11" s="40">
        <f t="shared" si="12"/>
        <v>-0.34239333333333322</v>
      </c>
      <c r="AE11" s="40">
        <v>-7.32</v>
      </c>
      <c r="AF11" s="40">
        <v>-6.2314275641025603</v>
      </c>
      <c r="AG11" s="40">
        <v>0</v>
      </c>
    </row>
    <row r="12" spans="1:33" ht="15.75" customHeight="1" x14ac:dyDescent="0.2">
      <c r="A12" s="29" t="s">
        <v>40</v>
      </c>
      <c r="B12" s="29" t="s">
        <v>130</v>
      </c>
      <c r="C12" s="16">
        <f t="shared" si="4"/>
        <v>20.99</v>
      </c>
      <c r="D12" s="30">
        <v>3</v>
      </c>
      <c r="E12" s="30">
        <v>0</v>
      </c>
      <c r="F12" s="31">
        <v>62.97</v>
      </c>
      <c r="G12" s="31">
        <v>0</v>
      </c>
      <c r="H12" s="32">
        <f t="shared" si="1"/>
        <v>0</v>
      </c>
      <c r="I12" s="32">
        <f t="shared" si="2"/>
        <v>0.18392089639755191</v>
      </c>
      <c r="J12" s="33">
        <f t="shared" si="5"/>
        <v>11.581498846153844</v>
      </c>
      <c r="K12" s="33">
        <f t="shared" si="3"/>
        <v>3.8604996153846147</v>
      </c>
      <c r="L12" s="30">
        <v>7</v>
      </c>
      <c r="M12" s="34">
        <f t="shared" si="6"/>
        <v>0.42857142857142855</v>
      </c>
      <c r="N12" s="30">
        <v>4</v>
      </c>
      <c r="O12" s="35">
        <f t="shared" ref="O12:P12" si="20">D12/7</f>
        <v>0.42857142857142855</v>
      </c>
      <c r="P12" s="35">
        <f t="shared" si="20"/>
        <v>0</v>
      </c>
      <c r="Q12" s="30">
        <f t="shared" si="8"/>
        <v>9</v>
      </c>
      <c r="R12" s="30"/>
      <c r="S12" s="36">
        <v>2.2476190476190401</v>
      </c>
      <c r="T12" s="29">
        <v>920</v>
      </c>
      <c r="U12" s="37">
        <v>116</v>
      </c>
      <c r="V12" s="38" t="s">
        <v>178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58</v>
      </c>
      <c r="AB12" s="41">
        <f t="shared" si="11"/>
        <v>-0.69</v>
      </c>
      <c r="AC12" s="42">
        <v>0.24811111111111106</v>
      </c>
      <c r="AD12" s="40">
        <f t="shared" si="12"/>
        <v>-1.0271799999999995</v>
      </c>
      <c r="AE12" s="40">
        <v>-7.32</v>
      </c>
      <c r="AF12" s="40">
        <v>-6.3186070512820498</v>
      </c>
      <c r="AG12" s="40">
        <v>0</v>
      </c>
    </row>
    <row r="13" spans="1:33" ht="15.75" customHeight="1" x14ac:dyDescent="0.2">
      <c r="A13" s="29" t="s">
        <v>41</v>
      </c>
      <c r="B13" s="29" t="s">
        <v>179</v>
      </c>
      <c r="C13" s="16">
        <f t="shared" si="4"/>
        <v>20.99</v>
      </c>
      <c r="D13" s="30">
        <v>2</v>
      </c>
      <c r="E13" s="30">
        <v>0</v>
      </c>
      <c r="F13" s="33">
        <v>41.98</v>
      </c>
      <c r="G13" s="31">
        <v>0</v>
      </c>
      <c r="H13" s="32">
        <f t="shared" si="1"/>
        <v>0</v>
      </c>
      <c r="I13" s="32">
        <f t="shared" si="2"/>
        <v>0.17445362871208514</v>
      </c>
      <c r="J13" s="33">
        <f t="shared" si="5"/>
        <v>7.3235633333333334</v>
      </c>
      <c r="K13" s="33">
        <f t="shared" si="3"/>
        <v>3.6617816666666667</v>
      </c>
      <c r="L13" s="30">
        <v>6</v>
      </c>
      <c r="M13" s="34">
        <f t="shared" si="6"/>
        <v>0.33333333333333331</v>
      </c>
      <c r="N13" s="30">
        <v>1</v>
      </c>
      <c r="O13" s="35">
        <f t="shared" ref="O13:P13" si="21">D13/7</f>
        <v>0.2857142857142857</v>
      </c>
      <c r="P13" s="35">
        <f t="shared" si="21"/>
        <v>0</v>
      </c>
      <c r="Q13" s="30">
        <f t="shared" si="8"/>
        <v>3</v>
      </c>
      <c r="R13" s="30"/>
      <c r="S13" s="36">
        <v>2.4162436548223298</v>
      </c>
      <c r="T13" s="29">
        <v>920</v>
      </c>
      <c r="U13" s="37">
        <v>116</v>
      </c>
      <c r="V13" s="38" t="s">
        <v>180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58</v>
      </c>
      <c r="AB13" s="41">
        <f t="shared" si="11"/>
        <v>-0.69</v>
      </c>
      <c r="AC13" s="42">
        <v>0.24811111111111106</v>
      </c>
      <c r="AD13" s="40">
        <f t="shared" si="12"/>
        <v>-0.68478666666666643</v>
      </c>
      <c r="AE13" s="40">
        <v>-7.32</v>
      </c>
      <c r="AF13" s="40">
        <v>-6.5173249999999996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1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920</v>
      </c>
      <c r="U14" s="37">
        <v>116</v>
      </c>
      <c r="V14" s="38" t="s">
        <v>181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-6.5173249999999996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1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920</v>
      </c>
      <c r="U15" s="37">
        <v>116</v>
      </c>
      <c r="V15" s="38" t="s">
        <v>182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-6.5173249999999996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1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920</v>
      </c>
      <c r="U16" s="37">
        <v>116</v>
      </c>
      <c r="V16" s="38" t="s">
        <v>182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-7.4806850000000003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1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920</v>
      </c>
      <c r="U17" s="37">
        <v>116</v>
      </c>
      <c r="V17" s="38" t="s">
        <v>182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-7.4806850000000003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1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2040</v>
      </c>
      <c r="U18" s="37">
        <v>120</v>
      </c>
      <c r="V18" s="38" t="s">
        <v>183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-7.4806850000000003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1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2040</v>
      </c>
      <c r="U19" s="37">
        <v>120</v>
      </c>
      <c r="V19" s="38" t="s">
        <v>184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-7.4806850000000003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1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2040</v>
      </c>
      <c r="U20" s="37">
        <v>120</v>
      </c>
      <c r="V20" s="38" t="s">
        <v>184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-7.4806850000000003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1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2040</v>
      </c>
      <c r="U21" s="37">
        <v>120</v>
      </c>
      <c r="V21" s="38" t="s">
        <v>185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-7.4806850000000003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1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2040</v>
      </c>
      <c r="U22" s="37">
        <v>120</v>
      </c>
      <c r="V22" s="38" t="s">
        <v>186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-7.4806850000000003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1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2040</v>
      </c>
      <c r="U23" s="37">
        <v>120</v>
      </c>
      <c r="V23" s="38" t="s">
        <v>187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-7.4806850000000003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1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2040</v>
      </c>
      <c r="U24" s="37">
        <v>120</v>
      </c>
      <c r="V24" s="38" t="s">
        <v>188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42">
        <v>0.24811111111111106</v>
      </c>
      <c r="AD24" s="40">
        <f t="shared" si="12"/>
        <v>0</v>
      </c>
      <c r="AE24" s="40">
        <v>-7.32</v>
      </c>
      <c r="AF24" s="40">
        <v>-7.4806850000000003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1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0.24811111111111106</v>
      </c>
      <c r="AD25" s="40">
        <f t="shared" si="12"/>
        <v>0</v>
      </c>
      <c r="AE25" s="40">
        <v>-7.32</v>
      </c>
      <c r="AF25" s="40">
        <v>-7.48</v>
      </c>
      <c r="AG25" s="40">
        <v>0</v>
      </c>
    </row>
    <row r="26" spans="1:33" ht="15.75" customHeight="1" x14ac:dyDescent="0.2">
      <c r="A26" s="15" t="s">
        <v>54</v>
      </c>
      <c r="B26" s="15" t="s">
        <v>189</v>
      </c>
      <c r="C26" s="16" t="str">
        <f t="shared" si="4"/>
        <v xml:space="preserve"> - </v>
      </c>
      <c r="D26" s="17">
        <v>0</v>
      </c>
      <c r="E26" s="17">
        <v>1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125</v>
      </c>
      <c r="O26" s="35">
        <f t="shared" ref="O26:P26" si="34">D26/7</f>
        <v>0</v>
      </c>
      <c r="P26" s="35">
        <f t="shared" si="34"/>
        <v>0.14285714285714285</v>
      </c>
      <c r="Q26" s="30">
        <f t="shared" si="8"/>
        <v>875</v>
      </c>
      <c r="R26" s="30"/>
      <c r="S26" s="22">
        <v>0</v>
      </c>
      <c r="T26" s="15">
        <v>1164</v>
      </c>
      <c r="U26" s="23">
        <v>48</v>
      </c>
      <c r="V26" s="1" t="s">
        <v>190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0.24811111111111106</v>
      </c>
      <c r="AD26" s="40">
        <f t="shared" si="12"/>
        <v>0</v>
      </c>
      <c r="AE26" s="26">
        <v>-7.18</v>
      </c>
      <c r="AF26" s="26">
        <v>-7.4806850000000003</v>
      </c>
      <c r="AG26" s="26">
        <v>0</v>
      </c>
    </row>
    <row r="27" spans="1:33" ht="15.75" customHeight="1" x14ac:dyDescent="0.2">
      <c r="A27" s="15" t="s">
        <v>74</v>
      </c>
      <c r="B27" s="48">
        <v>22.99</v>
      </c>
      <c r="C27" s="16">
        <f t="shared" si="4"/>
        <v>20.990000000000002</v>
      </c>
      <c r="D27" s="17">
        <v>21</v>
      </c>
      <c r="E27" s="17">
        <v>5</v>
      </c>
      <c r="F27" s="18">
        <v>440.79</v>
      </c>
      <c r="G27" s="18">
        <v>-52.49</v>
      </c>
      <c r="H27" s="32">
        <f t="shared" si="1"/>
        <v>0.1190816488577327</v>
      </c>
      <c r="I27" s="32">
        <f t="shared" si="2"/>
        <v>1.6145681617096477E-2</v>
      </c>
      <c r="J27" s="33">
        <f t="shared" si="5"/>
        <v>7.1168549999999557</v>
      </c>
      <c r="K27" s="33">
        <f t="shared" si="3"/>
        <v>0.33889785714285503</v>
      </c>
      <c r="L27" s="17">
        <v>59</v>
      </c>
      <c r="M27" s="34">
        <f t="shared" si="6"/>
        <v>0.3559322033898305</v>
      </c>
      <c r="N27" s="17">
        <v>102</v>
      </c>
      <c r="O27" s="35">
        <f t="shared" ref="O27:P27" si="35">D27/7</f>
        <v>3</v>
      </c>
      <c r="P27" s="35">
        <f t="shared" si="35"/>
        <v>0.7142857142857143</v>
      </c>
      <c r="Q27" s="30">
        <f t="shared" si="8"/>
        <v>27</v>
      </c>
      <c r="R27" s="30"/>
      <c r="S27" s="22">
        <v>0.33898305084745761</v>
      </c>
      <c r="T27" s="15">
        <v>1164</v>
      </c>
      <c r="U27" s="23">
        <v>48</v>
      </c>
      <c r="V27" s="1" t="s">
        <v>190</v>
      </c>
      <c r="W27" s="15">
        <v>10</v>
      </c>
      <c r="X27" s="39">
        <f t="shared" si="9"/>
        <v>0.47619047619047616</v>
      </c>
      <c r="Y27" s="40">
        <f t="shared" si="10"/>
        <v>3.4993333333333334</v>
      </c>
      <c r="Z27" s="15">
        <v>5</v>
      </c>
      <c r="AA27" s="29" t="s">
        <v>58</v>
      </c>
      <c r="AB27" s="41">
        <f t="shared" si="11"/>
        <v>-0.69</v>
      </c>
      <c r="AC27" s="42">
        <v>0.24811111111111106</v>
      </c>
      <c r="AD27" s="40">
        <f t="shared" si="12"/>
        <v>-7.1902599999999977</v>
      </c>
      <c r="AE27" s="26">
        <v>-7.18</v>
      </c>
      <c r="AF27" s="26">
        <v>-7.4806850000000003</v>
      </c>
      <c r="AG27" s="26">
        <v>0</v>
      </c>
    </row>
    <row r="28" spans="1:33" ht="15.75" customHeight="1" x14ac:dyDescent="0.2">
      <c r="A28" s="15" t="s">
        <v>75</v>
      </c>
      <c r="B28" s="15" t="s">
        <v>191</v>
      </c>
      <c r="C28" s="16">
        <f t="shared" si="4"/>
        <v>21.995945945945945</v>
      </c>
      <c r="D28" s="17">
        <v>37</v>
      </c>
      <c r="E28" s="17">
        <v>6</v>
      </c>
      <c r="F28" s="18">
        <v>813.84999999999991</v>
      </c>
      <c r="G28" s="18">
        <v>-81.59</v>
      </c>
      <c r="H28" s="32">
        <f t="shared" si="1"/>
        <v>0.10025188916876576</v>
      </c>
      <c r="I28" s="32">
        <f t="shared" si="2"/>
        <v>6.7664313653212016E-2</v>
      </c>
      <c r="J28" s="33">
        <f t="shared" si="5"/>
        <v>55.068601666666588</v>
      </c>
      <c r="K28" s="33">
        <f t="shared" si="3"/>
        <v>1.4883405855855834</v>
      </c>
      <c r="L28" s="17">
        <v>96</v>
      </c>
      <c r="M28" s="34">
        <f t="shared" si="6"/>
        <v>0.38541666666666669</v>
      </c>
      <c r="N28" s="17">
        <v>56</v>
      </c>
      <c r="O28" s="35">
        <f t="shared" ref="O28:P28" si="36">D28/7</f>
        <v>5.2857142857142856</v>
      </c>
      <c r="P28" s="35">
        <f t="shared" si="36"/>
        <v>0.8571428571428571</v>
      </c>
      <c r="Q28" s="30">
        <f t="shared" si="8"/>
        <v>9</v>
      </c>
      <c r="R28" s="30"/>
      <c r="S28" s="22">
        <v>3.3142857142857149</v>
      </c>
      <c r="T28" s="15">
        <v>1164</v>
      </c>
      <c r="U28" s="23">
        <v>48</v>
      </c>
      <c r="V28" s="1" t="s">
        <v>190</v>
      </c>
      <c r="W28" s="15">
        <v>14</v>
      </c>
      <c r="X28" s="39">
        <f t="shared" si="9"/>
        <v>0.3783783783783784</v>
      </c>
      <c r="Y28" s="40">
        <f t="shared" si="10"/>
        <v>4.2942105263157897</v>
      </c>
      <c r="Z28" s="15">
        <v>5</v>
      </c>
      <c r="AA28" s="29" t="s">
        <v>58</v>
      </c>
      <c r="AB28" s="41">
        <f t="shared" si="11"/>
        <v>-0.69</v>
      </c>
      <c r="AC28" s="42">
        <v>0.24811111111111106</v>
      </c>
      <c r="AD28" s="40">
        <f t="shared" si="12"/>
        <v>-12.668553333333328</v>
      </c>
      <c r="AE28" s="26">
        <v>-7.18</v>
      </c>
      <c r="AF28" s="26">
        <v>-7.4806850000000003</v>
      </c>
      <c r="AG28" s="26">
        <v>0</v>
      </c>
    </row>
    <row r="29" spans="1:33" ht="15.75" customHeight="1" x14ac:dyDescent="0.2">
      <c r="A29" s="15" t="s">
        <v>77</v>
      </c>
      <c r="B29" s="15" t="s">
        <v>192</v>
      </c>
      <c r="C29" s="16">
        <f t="shared" si="4"/>
        <v>22.99</v>
      </c>
      <c r="D29" s="17">
        <v>22</v>
      </c>
      <c r="E29" s="17">
        <v>7</v>
      </c>
      <c r="F29" s="18">
        <v>505.78</v>
      </c>
      <c r="G29" s="18">
        <v>-3.98</v>
      </c>
      <c r="H29" s="32">
        <f t="shared" si="1"/>
        <v>7.8690339673375773E-3</v>
      </c>
      <c r="I29" s="32">
        <f t="shared" si="2"/>
        <v>0.18953947697945073</v>
      </c>
      <c r="J29" s="33">
        <f t="shared" si="5"/>
        <v>95.865276666666588</v>
      </c>
      <c r="K29" s="33">
        <f t="shared" si="3"/>
        <v>4.3575125757575721</v>
      </c>
      <c r="L29" s="17">
        <v>60</v>
      </c>
      <c r="M29" s="34">
        <f t="shared" si="6"/>
        <v>0.36666666666666664</v>
      </c>
      <c r="N29" s="17">
        <v>22</v>
      </c>
      <c r="O29" s="35">
        <f t="shared" ref="O29:P29" si="37">D29/7</f>
        <v>3.1428571428571428</v>
      </c>
      <c r="P29" s="35">
        <f t="shared" si="37"/>
        <v>1</v>
      </c>
      <c r="Q29" s="30">
        <f t="shared" si="8"/>
        <v>5</v>
      </c>
      <c r="R29" s="30"/>
      <c r="S29" s="22">
        <v>14.5</v>
      </c>
      <c r="T29" s="15">
        <v>1164</v>
      </c>
      <c r="U29" s="23">
        <v>48</v>
      </c>
      <c r="V29" s="1" t="s">
        <v>193</v>
      </c>
      <c r="W29" s="15">
        <v>0</v>
      </c>
      <c r="X29" s="39">
        <f t="shared" si="9"/>
        <v>0</v>
      </c>
      <c r="Y29" s="40">
        <f t="shared" si="10"/>
        <v>3.98</v>
      </c>
      <c r="Z29" s="15">
        <v>1</v>
      </c>
      <c r="AA29" s="29" t="s">
        <v>58</v>
      </c>
      <c r="AB29" s="41">
        <f t="shared" si="11"/>
        <v>-0.69</v>
      </c>
      <c r="AC29" s="42">
        <v>0.24811111111111106</v>
      </c>
      <c r="AD29" s="40">
        <f t="shared" si="12"/>
        <v>-7.5326533333333305</v>
      </c>
      <c r="AE29" s="26">
        <v>-7.18</v>
      </c>
      <c r="AF29" s="26">
        <v>-7.4806850000000003</v>
      </c>
      <c r="AG29" s="26">
        <v>0</v>
      </c>
    </row>
    <row r="30" spans="1:33" ht="15.75" customHeight="1" x14ac:dyDescent="0.2">
      <c r="A30" s="15" t="s">
        <v>78</v>
      </c>
      <c r="B30" s="15" t="s">
        <v>179</v>
      </c>
      <c r="C30" s="16">
        <f t="shared" si="4"/>
        <v>22.990000000000006</v>
      </c>
      <c r="D30" s="17">
        <v>15</v>
      </c>
      <c r="E30" s="17">
        <v>1</v>
      </c>
      <c r="F30" s="18">
        <v>344.85000000000008</v>
      </c>
      <c r="G30" s="18">
        <v>-0.08</v>
      </c>
      <c r="H30" s="32">
        <f t="shared" si="1"/>
        <v>2.3198492098013625E-4</v>
      </c>
      <c r="I30" s="32">
        <f t="shared" si="2"/>
        <v>0.22948051672828787</v>
      </c>
      <c r="J30" s="33">
        <f t="shared" si="5"/>
        <v>79.136356193750089</v>
      </c>
      <c r="K30" s="33">
        <f t="shared" si="3"/>
        <v>5.2757570795833395</v>
      </c>
      <c r="L30" s="17">
        <v>41</v>
      </c>
      <c r="M30" s="34">
        <f t="shared" si="6"/>
        <v>0.36585365853658536</v>
      </c>
      <c r="N30" s="17">
        <v>2</v>
      </c>
      <c r="O30" s="35">
        <f t="shared" ref="O30:P30" si="38">D30/7</f>
        <v>2.1428571428571428</v>
      </c>
      <c r="P30" s="35">
        <f t="shared" si="38"/>
        <v>0.14285714285714285</v>
      </c>
      <c r="Q30" s="30">
        <f t="shared" si="8"/>
        <v>0</v>
      </c>
      <c r="R30" s="30"/>
      <c r="S30" s="22">
        <v>48</v>
      </c>
      <c r="T30" s="29">
        <v>1164</v>
      </c>
      <c r="U30" s="37">
        <v>48</v>
      </c>
      <c r="V30" s="38" t="s">
        <v>193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0.24811111111111106</v>
      </c>
      <c r="AD30" s="40">
        <f t="shared" si="12"/>
        <v>-5.1358999999999986</v>
      </c>
      <c r="AE30" s="26">
        <v>-7.18</v>
      </c>
      <c r="AF30" s="26">
        <v>-6.7380162537499997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4"/>
        <v>22.99</v>
      </c>
      <c r="D31" s="17">
        <v>5</v>
      </c>
      <c r="E31" s="17">
        <v>0</v>
      </c>
      <c r="F31" s="18">
        <v>114.94999999999999</v>
      </c>
      <c r="G31" s="43">
        <v>-15.389999999999999</v>
      </c>
      <c r="H31" s="32">
        <f t="shared" si="1"/>
        <v>0.13388429752066117</v>
      </c>
      <c r="I31" s="32">
        <f t="shared" si="2"/>
        <v>9.5828204128606514E-2</v>
      </c>
      <c r="J31" s="33">
        <f t="shared" si="5"/>
        <v>11.015452064583318</v>
      </c>
      <c r="K31" s="33">
        <f t="shared" si="3"/>
        <v>2.2030904129166635</v>
      </c>
      <c r="L31" s="17">
        <v>67</v>
      </c>
      <c r="M31" s="34">
        <f t="shared" si="6"/>
        <v>7.4626865671641784E-2</v>
      </c>
      <c r="N31" s="17">
        <v>2</v>
      </c>
      <c r="O31" s="35">
        <f t="shared" ref="O31:P31" si="39">D31/7</f>
        <v>0.7142857142857143</v>
      </c>
      <c r="P31" s="35">
        <f t="shared" si="39"/>
        <v>0</v>
      </c>
      <c r="Q31" s="30">
        <f t="shared" si="8"/>
        <v>2</v>
      </c>
      <c r="R31" s="30"/>
      <c r="S31" s="22">
        <v>3.4960629921259798</v>
      </c>
      <c r="T31" s="15">
        <v>1920</v>
      </c>
      <c r="U31" s="23">
        <v>800</v>
      </c>
      <c r="V31" s="1" t="s">
        <v>194</v>
      </c>
      <c r="W31" s="15">
        <v>0</v>
      </c>
      <c r="X31" s="39">
        <f t="shared" si="9"/>
        <v>0</v>
      </c>
      <c r="Y31" s="40">
        <f t="shared" si="10"/>
        <v>15.389999999999999</v>
      </c>
      <c r="Z31" s="15">
        <v>1</v>
      </c>
      <c r="AA31" s="15" t="s">
        <v>58</v>
      </c>
      <c r="AB31" s="41">
        <f t="shared" si="11"/>
        <v>-0.69</v>
      </c>
      <c r="AC31" s="28">
        <v>0.24811111111111106</v>
      </c>
      <c r="AD31" s="40">
        <f t="shared" si="12"/>
        <v>-1.7119666666666662</v>
      </c>
      <c r="AE31" s="44">
        <v>-7.18</v>
      </c>
      <c r="AF31" s="44">
        <v>-6.7380162537499997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15.326666666666666</v>
      </c>
      <c r="D32" s="17">
        <v>3</v>
      </c>
      <c r="E32" s="17">
        <v>1</v>
      </c>
      <c r="F32" s="18">
        <v>45.98</v>
      </c>
      <c r="G32" s="18">
        <v>-16.23</v>
      </c>
      <c r="H32" s="32">
        <f t="shared" si="1"/>
        <v>0.35297955632883865</v>
      </c>
      <c r="I32" s="32">
        <f t="shared" si="2"/>
        <v>-0.43341080385493691</v>
      </c>
      <c r="J32" s="33">
        <f t="shared" si="5"/>
        <v>-19.928228761249997</v>
      </c>
      <c r="K32" s="33">
        <f t="shared" si="3"/>
        <v>-6.6427429204166657</v>
      </c>
      <c r="L32" s="17">
        <v>52</v>
      </c>
      <c r="M32" s="34">
        <f t="shared" si="6"/>
        <v>5.7692307692307696E-2</v>
      </c>
      <c r="N32" s="17">
        <v>792</v>
      </c>
      <c r="O32" s="35">
        <f t="shared" ref="O32:P32" si="40">D32/7</f>
        <v>0.42857142857142855</v>
      </c>
      <c r="P32" s="35">
        <f t="shared" si="40"/>
        <v>0.14285714285714285</v>
      </c>
      <c r="Q32" s="30">
        <f t="shared" si="8"/>
        <v>1386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0.55824682814302196</v>
      </c>
      <c r="T32" s="15">
        <f ca="1">IFERROR(__xludf.DUMMYFUNCTION("IFERROR(VLOOKUP($B$2,IMPORTRANGE(""https://docs.google.com/spreadsheets/d/1KiWZV1ko8G7lnRucBRBd29jj3Be6ltMfljMDqzOkQmI/edit#gid=1381463014"",""Lookup!A:D""),4,FALSE),"""")"),1920)</f>
        <v>1920</v>
      </c>
      <c r="U32" s="23">
        <f ca="1">IFERROR(__xludf.DUMMYFUNCTION("IFERROR(VLOOKUP($B$2,IMPORTRANGE(""https://docs.google.com/spreadsheets/d/1KiWZV1ko8G7lnRucBRBd29jj3Be6ltMfljMDqzOkQmI/edit#gid=1381463014"",""Lookup!A:D""),3,FALSE),"""")"),800)</f>
        <v>800</v>
      </c>
      <c r="V32" s="1" t="str">
        <f ca="1">IFERROR(__xludf.DUMMYFUNCTION("IFERROR(VLOOKUP($B$2,IMPORTRANGE(""https://docs.google.com/spreadsheets/d/1KiWZV1ko8G7lnRucBRBd29jj3Be6ltMfljMDqzOkQmI/edit#gid=1381463014"",""Lookup!A:D""),2,FALSE),"""")"),"| 376-1  - 800 units 07/10")</f>
        <v>| 376-1  - 800 units 07/10</v>
      </c>
      <c r="W32" s="15">
        <v>1</v>
      </c>
      <c r="X32" s="39">
        <f t="shared" si="9"/>
        <v>0.33333333333333331</v>
      </c>
      <c r="Y32" s="40">
        <f t="shared" si="10"/>
        <v>8.1150000000000002</v>
      </c>
      <c r="Z32" s="15">
        <v>1</v>
      </c>
      <c r="AA32" s="15" t="s">
        <v>58</v>
      </c>
      <c r="AB32" s="41">
        <f t="shared" si="11"/>
        <v>-0.69</v>
      </c>
      <c r="AC32" s="28">
        <v>0.24811111111111106</v>
      </c>
      <c r="AD32" s="40">
        <f t="shared" si="12"/>
        <v>-1.0271799999999995</v>
      </c>
      <c r="AE32" s="26">
        <v>-7.18</v>
      </c>
      <c r="AF32" s="26">
        <v>-6.7380162537499997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9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Black &amp; Gold")</f>
        <v>Corn Filled Cornhole Bags - Set of 8 Bean Bags for Corn Hole Game - Black &amp; Gold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Info!B1:BJ7000""),2,FALSE),"""")"),"B07MWJGPFB")</f>
        <v>B07MWJGPFB</v>
      </c>
      <c r="B2" s="47" t="s">
        <v>195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16.374136769117648</v>
      </c>
      <c r="D3" s="5">
        <f>SUM(D4:D99765)</f>
        <v>35</v>
      </c>
      <c r="E3" s="5"/>
      <c r="F3" s="6">
        <f t="shared" ref="F3:G3" si="0">SUM(F4:F99765)</f>
        <v>734.68000000000006</v>
      </c>
      <c r="G3" s="6">
        <f t="shared" si="0"/>
        <v>-15.85</v>
      </c>
      <c r="H3" s="7">
        <f t="shared" ref="H3:H32" si="1">G3/F3*-1</f>
        <v>2.1574018620351715E-2</v>
      </c>
      <c r="I3" s="8">
        <f t="shared" ref="I3:I32" si="2">J3/F3</f>
        <v>0.14324680064753026</v>
      </c>
      <c r="J3" s="6">
        <f>SUM(J4:J99765)</f>
        <v>105.24055949972754</v>
      </c>
      <c r="K3" s="6">
        <f t="shared" ref="K3:K32" si="3">J3/D3</f>
        <v>3.0068731285636439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1.5 - April
4 - May
4 - June
3.5 - July
3 - Aug
2 - Sept
1.5 - Oct
0 - Nov
0 - Dec
0.1 - Jan
0.1 - Feb")</f>
        <v>0.5 - March
1.5 - April
4 - May
4 - June
3.5 - July
3 - Aug
2 - Sept
1.5 -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-3.4824267656249992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>
        <f t="shared" ref="C4:C32" si="4">IFERROR(F4/D4," - ")</f>
        <v>20.100000000000001</v>
      </c>
      <c r="D4" s="17">
        <v>1</v>
      </c>
      <c r="E4" s="17">
        <v>0</v>
      </c>
      <c r="F4" s="18">
        <v>20.100000000000001</v>
      </c>
      <c r="G4" s="18">
        <v>0</v>
      </c>
      <c r="H4" s="19">
        <f t="shared" si="1"/>
        <v>0</v>
      </c>
      <c r="I4" s="19">
        <f t="shared" si="2"/>
        <v>0.20440485393545096</v>
      </c>
      <c r="J4" s="18">
        <f t="shared" ref="J4:J32" si="5">F4*0.85+G4+AF4*D4+D4*AE4+AG4+AD4</f>
        <v>4.1085375641025648</v>
      </c>
      <c r="K4" s="18">
        <f t="shared" si="3"/>
        <v>4.1085375641025648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0.14285714285714285</v>
      </c>
      <c r="P4" s="21">
        <f t="shared" si="7"/>
        <v>0</v>
      </c>
      <c r="Q4" s="17">
        <f t="shared" ref="Q4:Q32" si="8">ROUNDDOWN(N4/(O4+P4),0)</f>
        <v>0</v>
      </c>
      <c r="R4" s="17"/>
      <c r="S4" s="22" t="e">
        <v>#N/A</v>
      </c>
      <c r="T4" s="15">
        <v>48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7.1999999999999995E-2</v>
      </c>
      <c r="AD4" s="26">
        <f t="shared" ref="AD4:AD32" si="12">IFERROR(AB4*AC4*D4*2,0)</f>
        <v>-9.935999999999999E-2</v>
      </c>
      <c r="AE4" s="26">
        <v>-7.32</v>
      </c>
      <c r="AF4" s="26">
        <v>-5.5571024358974359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148</v>
      </c>
      <c r="U5" s="37">
        <v>100</v>
      </c>
      <c r="V5" s="38" t="s">
        <v>81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" t="s">
        <v>58</v>
      </c>
      <c r="AB5" s="27">
        <f t="shared" si="11"/>
        <v>-0.69</v>
      </c>
      <c r="AC5" s="28">
        <v>7.1999999999999995E-2</v>
      </c>
      <c r="AD5" s="26">
        <f t="shared" si="12"/>
        <v>0</v>
      </c>
      <c r="AE5" s="26">
        <v>-7.32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148</v>
      </c>
      <c r="U6" s="37">
        <v>100</v>
      </c>
      <c r="V6" s="38" t="s">
        <v>82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" t="s">
        <v>58</v>
      </c>
      <c r="AB6" s="27">
        <f t="shared" si="11"/>
        <v>-0.69</v>
      </c>
      <c r="AC6" s="28">
        <v>7.1999999999999995E-2</v>
      </c>
      <c r="AD6" s="26">
        <f t="shared" si="12"/>
        <v>0</v>
      </c>
      <c r="AE6" s="26">
        <v>-7.32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148</v>
      </c>
      <c r="U7" s="37">
        <v>100</v>
      </c>
      <c r="V7" s="38" t="s">
        <v>83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" t="s">
        <v>58</v>
      </c>
      <c r="AB7" s="27">
        <f t="shared" si="11"/>
        <v>-0.69</v>
      </c>
      <c r="AC7" s="28">
        <v>7.1999999999999995E-2</v>
      </c>
      <c r="AD7" s="26">
        <f t="shared" si="12"/>
        <v>0</v>
      </c>
      <c r="AE7" s="26">
        <v>-7.32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/>
      <c r="C8" s="16">
        <f t="shared" si="4"/>
        <v>19.989999999999998</v>
      </c>
      <c r="D8" s="30">
        <v>1</v>
      </c>
      <c r="E8" s="30">
        <v>0</v>
      </c>
      <c r="F8" s="31">
        <v>19.989999999999998</v>
      </c>
      <c r="G8" s="31">
        <v>0</v>
      </c>
      <c r="H8" s="32">
        <f t="shared" si="1"/>
        <v>0</v>
      </c>
      <c r="I8" s="32">
        <f t="shared" si="2"/>
        <v>0.20070735367683842</v>
      </c>
      <c r="J8" s="33">
        <f t="shared" si="5"/>
        <v>4.0121399999999996</v>
      </c>
      <c r="K8" s="33">
        <f t="shared" si="3"/>
        <v>4.0121399999999996</v>
      </c>
      <c r="L8" s="30">
        <v>2</v>
      </c>
      <c r="M8" s="34">
        <f t="shared" si="6"/>
        <v>0.5</v>
      </c>
      <c r="N8" s="30">
        <v>0</v>
      </c>
      <c r="O8" s="35">
        <f t="shared" ref="O8:P8" si="16">D8/7</f>
        <v>0.14285714285714285</v>
      </c>
      <c r="P8" s="35">
        <f t="shared" si="16"/>
        <v>0</v>
      </c>
      <c r="Q8" s="30">
        <f t="shared" si="8"/>
        <v>0</v>
      </c>
      <c r="R8" s="30"/>
      <c r="S8" s="36" t="e">
        <v>#N/A</v>
      </c>
      <c r="T8" s="29">
        <v>48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" t="s">
        <v>58</v>
      </c>
      <c r="AB8" s="27">
        <f t="shared" si="11"/>
        <v>-0.69</v>
      </c>
      <c r="AC8" s="28">
        <v>7.1999999999999995E-2</v>
      </c>
      <c r="AD8" s="26">
        <f t="shared" si="12"/>
        <v>-9.935999999999999E-2</v>
      </c>
      <c r="AE8" s="26">
        <v>-7.32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48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48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196</v>
      </c>
      <c r="U11" s="37">
        <v>100</v>
      </c>
      <c r="V11" s="38" t="s">
        <v>85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148</v>
      </c>
      <c r="U12" s="37">
        <v>100</v>
      </c>
      <c r="V12" s="38" t="s">
        <v>196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148</v>
      </c>
      <c r="U13" s="37">
        <v>100</v>
      </c>
      <c r="V13" s="38" t="s">
        <v>197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148</v>
      </c>
      <c r="U14" s="37">
        <v>100</v>
      </c>
      <c r="V14" s="38" t="s">
        <v>198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148</v>
      </c>
      <c r="U15" s="37">
        <v>100</v>
      </c>
      <c r="V15" s="38" t="s">
        <v>199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148</v>
      </c>
      <c r="U16" s="37">
        <v>100</v>
      </c>
      <c r="V16" s="38" t="s">
        <v>199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-7.4806850000000003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148</v>
      </c>
      <c r="U17" s="37">
        <v>100</v>
      </c>
      <c r="V17" s="38" t="s">
        <v>199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-7.4806850000000003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468</v>
      </c>
      <c r="U18" s="37">
        <v>100</v>
      </c>
      <c r="V18" s="38" t="s">
        <v>200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-7.4806850000000003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468</v>
      </c>
      <c r="U19" s="37">
        <v>100</v>
      </c>
      <c r="V19" s="38" t="s">
        <v>201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-7.4806850000000003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468</v>
      </c>
      <c r="U20" s="37">
        <v>100</v>
      </c>
      <c r="V20" s="38" t="s">
        <v>201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-7.4806850000000003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468</v>
      </c>
      <c r="U21" s="37">
        <v>100</v>
      </c>
      <c r="V21" s="38" t="s">
        <v>202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-7.4806850000000003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468</v>
      </c>
      <c r="U22" s="37">
        <v>100</v>
      </c>
      <c r="V22" s="38" t="s">
        <v>203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-7.4806850000000003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468</v>
      </c>
      <c r="U23" s="37">
        <v>100</v>
      </c>
      <c r="V23" s="38" t="s">
        <v>204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-7.4806850000000003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468</v>
      </c>
      <c r="U24" s="37">
        <v>100</v>
      </c>
      <c r="V24" s="38" t="s">
        <v>205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42">
        <v>7.2105989583333335E-2</v>
      </c>
      <c r="AD24" s="40">
        <f t="shared" si="12"/>
        <v>0</v>
      </c>
      <c r="AE24" s="40">
        <v>-7.32</v>
      </c>
      <c r="AF24" s="40">
        <v>-7.4806850000000003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7.2105989583333335E-2</v>
      </c>
      <c r="AD25" s="40">
        <f t="shared" si="12"/>
        <v>0</v>
      </c>
      <c r="AE25" s="40">
        <v>-7.32</v>
      </c>
      <c r="AF25" s="40">
        <v>-7.48</v>
      </c>
      <c r="AG25" s="40">
        <v>0</v>
      </c>
    </row>
    <row r="26" spans="1:33" ht="15.75" customHeight="1" x14ac:dyDescent="0.2">
      <c r="A26" s="15" t="s">
        <v>54</v>
      </c>
      <c r="B26" s="15" t="s">
        <v>206</v>
      </c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102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368</v>
      </c>
      <c r="U26" s="23">
        <v>48</v>
      </c>
      <c r="V26" s="1" t="s">
        <v>190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7.2105989583333335E-2</v>
      </c>
      <c r="AD26" s="40">
        <f t="shared" si="12"/>
        <v>0</v>
      </c>
      <c r="AE26" s="26">
        <v>-7.18</v>
      </c>
      <c r="AF26" s="26">
        <v>-7.4806850000000003</v>
      </c>
      <c r="AG26" s="26">
        <v>0</v>
      </c>
    </row>
    <row r="27" spans="1:33" ht="15.75" customHeight="1" x14ac:dyDescent="0.2">
      <c r="A27" s="15" t="s">
        <v>74</v>
      </c>
      <c r="B27" s="15" t="s">
        <v>207</v>
      </c>
      <c r="C27" s="16">
        <f t="shared" si="4"/>
        <v>20.99</v>
      </c>
      <c r="D27" s="17">
        <v>3</v>
      </c>
      <c r="E27" s="17">
        <v>0</v>
      </c>
      <c r="F27" s="18">
        <v>62.97</v>
      </c>
      <c r="G27" s="18">
        <v>-15.75</v>
      </c>
      <c r="H27" s="32">
        <f t="shared" si="1"/>
        <v>0.2501191043353978</v>
      </c>
      <c r="I27" s="32">
        <f t="shared" si="2"/>
        <v>-0.10332021275011916</v>
      </c>
      <c r="J27" s="33">
        <f t="shared" si="5"/>
        <v>-6.5060737968750031</v>
      </c>
      <c r="K27" s="33">
        <f t="shared" si="3"/>
        <v>-2.168691265625001</v>
      </c>
      <c r="L27" s="17">
        <v>23</v>
      </c>
      <c r="M27" s="34">
        <f t="shared" si="6"/>
        <v>0.13043478260869565</v>
      </c>
      <c r="N27" s="17">
        <v>100</v>
      </c>
      <c r="O27" s="35">
        <f t="shared" ref="O27:P27" si="35">D27/7</f>
        <v>0.42857142857142855</v>
      </c>
      <c r="P27" s="35">
        <f t="shared" si="35"/>
        <v>0</v>
      </c>
      <c r="Q27" s="30">
        <f t="shared" si="8"/>
        <v>233</v>
      </c>
      <c r="R27" s="30"/>
      <c r="S27" s="22">
        <v>0</v>
      </c>
      <c r="T27" s="15">
        <v>368</v>
      </c>
      <c r="U27" s="23">
        <v>48</v>
      </c>
      <c r="V27" s="1" t="s">
        <v>190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7.2105989583333335E-2</v>
      </c>
      <c r="AD27" s="40">
        <f t="shared" si="12"/>
        <v>-0.29851879687499999</v>
      </c>
      <c r="AE27" s="26">
        <v>-7.18</v>
      </c>
      <c r="AF27" s="26">
        <v>-7.4806850000000003</v>
      </c>
      <c r="AG27" s="26">
        <v>0</v>
      </c>
    </row>
    <row r="28" spans="1:33" ht="15.75" customHeight="1" x14ac:dyDescent="0.2">
      <c r="A28" s="15" t="s">
        <v>75</v>
      </c>
      <c r="B28" s="15" t="s">
        <v>96</v>
      </c>
      <c r="C28" s="16">
        <f t="shared" si="4"/>
        <v>21.143999999999998</v>
      </c>
      <c r="D28" s="17">
        <v>10</v>
      </c>
      <c r="E28" s="17">
        <v>1</v>
      </c>
      <c r="F28" s="18">
        <v>211.44</v>
      </c>
      <c r="G28" s="18">
        <v>-0.02</v>
      </c>
      <c r="H28" s="32">
        <f t="shared" si="1"/>
        <v>9.4589481649640566E-5</v>
      </c>
      <c r="I28" s="32">
        <f t="shared" si="2"/>
        <v>0.15182599008583988</v>
      </c>
      <c r="J28" s="33">
        <f t="shared" si="5"/>
        <v>32.102087343749986</v>
      </c>
      <c r="K28" s="33">
        <f t="shared" si="3"/>
        <v>3.2102087343749988</v>
      </c>
      <c r="L28" s="17">
        <v>16</v>
      </c>
      <c r="M28" s="34">
        <f t="shared" si="6"/>
        <v>0.625</v>
      </c>
      <c r="N28" s="17">
        <v>82</v>
      </c>
      <c r="O28" s="35">
        <f t="shared" ref="O28:P28" si="36">D28/7</f>
        <v>1.4285714285714286</v>
      </c>
      <c r="P28" s="35">
        <f t="shared" si="36"/>
        <v>0.14285714285714285</v>
      </c>
      <c r="Q28" s="30">
        <f t="shared" si="8"/>
        <v>52</v>
      </c>
      <c r="R28" s="30"/>
      <c r="S28" s="22">
        <v>0.57894736842105265</v>
      </c>
      <c r="T28" s="15">
        <v>368</v>
      </c>
      <c r="U28" s="23">
        <v>48</v>
      </c>
      <c r="V28" s="1" t="s">
        <v>190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7.2105989583333335E-2</v>
      </c>
      <c r="AD28" s="40">
        <f t="shared" si="12"/>
        <v>-0.9950626562499999</v>
      </c>
      <c r="AE28" s="26">
        <v>-7.18</v>
      </c>
      <c r="AF28" s="26">
        <v>-7.4806850000000003</v>
      </c>
      <c r="AG28" s="26">
        <v>0</v>
      </c>
    </row>
    <row r="29" spans="1:33" ht="15.75" customHeight="1" x14ac:dyDescent="0.2">
      <c r="A29" s="15" t="s">
        <v>77</v>
      </c>
      <c r="B29" s="15" t="s">
        <v>96</v>
      </c>
      <c r="C29" s="16">
        <f t="shared" si="4"/>
        <v>21.044285714285714</v>
      </c>
      <c r="D29" s="17">
        <v>7</v>
      </c>
      <c r="E29" s="17">
        <v>0</v>
      </c>
      <c r="F29" s="18">
        <v>147.31</v>
      </c>
      <c r="G29" s="18">
        <v>-0.08</v>
      </c>
      <c r="H29" s="32">
        <f t="shared" si="1"/>
        <v>5.4307243228565608E-4</v>
      </c>
      <c r="I29" s="32">
        <f t="shared" si="2"/>
        <v>0.14806979255057359</v>
      </c>
      <c r="J29" s="33">
        <f t="shared" si="5"/>
        <v>21.812161140624998</v>
      </c>
      <c r="K29" s="33">
        <f t="shared" si="3"/>
        <v>3.1160230200892856</v>
      </c>
      <c r="L29" s="17">
        <v>10</v>
      </c>
      <c r="M29" s="34">
        <f t="shared" si="6"/>
        <v>0.7</v>
      </c>
      <c r="N29" s="17">
        <v>72</v>
      </c>
      <c r="O29" s="35">
        <f t="shared" ref="O29:P29" si="37">D29/7</f>
        <v>1</v>
      </c>
      <c r="P29" s="35">
        <f t="shared" si="37"/>
        <v>0</v>
      </c>
      <c r="Q29" s="30">
        <f t="shared" si="8"/>
        <v>72</v>
      </c>
      <c r="R29" s="30"/>
      <c r="S29" s="22">
        <v>1.183098591549296</v>
      </c>
      <c r="T29" s="15">
        <v>368</v>
      </c>
      <c r="U29" s="23">
        <v>48</v>
      </c>
      <c r="V29" s="1" t="s">
        <v>193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7.2105989583333335E-2</v>
      </c>
      <c r="AD29" s="40">
        <f t="shared" si="12"/>
        <v>-0.69654385937499996</v>
      </c>
      <c r="AE29" s="26">
        <v>-7.18</v>
      </c>
      <c r="AF29" s="26">
        <v>-7.4806850000000003</v>
      </c>
      <c r="AG29" s="26">
        <v>0</v>
      </c>
    </row>
    <row r="30" spans="1:33" ht="15.75" customHeight="1" x14ac:dyDescent="0.2">
      <c r="A30" s="15" t="s">
        <v>78</v>
      </c>
      <c r="B30" s="48">
        <v>18.489999999999998</v>
      </c>
      <c r="C30" s="16">
        <f t="shared" si="4"/>
        <v>20.99</v>
      </c>
      <c r="D30" s="17">
        <v>3</v>
      </c>
      <c r="E30" s="17">
        <v>0</v>
      </c>
      <c r="F30" s="18">
        <v>62.97</v>
      </c>
      <c r="G30" s="18">
        <v>0</v>
      </c>
      <c r="H30" s="32">
        <f t="shared" si="1"/>
        <v>0</v>
      </c>
      <c r="I30" s="32">
        <f t="shared" si="2"/>
        <v>0.18218091856241067</v>
      </c>
      <c r="J30" s="33">
        <f t="shared" si="5"/>
        <v>11.471932441874999</v>
      </c>
      <c r="K30" s="33">
        <f t="shared" si="3"/>
        <v>3.823977480625</v>
      </c>
      <c r="L30" s="17">
        <v>10</v>
      </c>
      <c r="M30" s="34">
        <f t="shared" si="6"/>
        <v>0.3</v>
      </c>
      <c r="N30" s="17">
        <v>70</v>
      </c>
      <c r="O30" s="35">
        <f t="shared" ref="O30:P30" si="38">D30/7</f>
        <v>0.42857142857142855</v>
      </c>
      <c r="P30" s="35">
        <f t="shared" si="38"/>
        <v>0</v>
      </c>
      <c r="Q30" s="30">
        <f t="shared" si="8"/>
        <v>163</v>
      </c>
      <c r="R30" s="30"/>
      <c r="S30" s="22">
        <v>1.243243243243243</v>
      </c>
      <c r="T30" s="29">
        <v>368</v>
      </c>
      <c r="U30" s="37">
        <v>48</v>
      </c>
      <c r="V30" s="38" t="s">
        <v>193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7.2105989583333335E-2</v>
      </c>
      <c r="AD30" s="40">
        <f t="shared" si="12"/>
        <v>-0.29851879687499999</v>
      </c>
      <c r="AE30" s="26">
        <v>-7.18</v>
      </c>
      <c r="AF30" s="26">
        <v>-6.7380162537499997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4"/>
        <v>20.99</v>
      </c>
      <c r="D31" s="17">
        <v>3</v>
      </c>
      <c r="E31" s="17">
        <v>0</v>
      </c>
      <c r="F31" s="18">
        <v>62.97</v>
      </c>
      <c r="G31" s="43">
        <v>0</v>
      </c>
      <c r="H31" s="32">
        <f t="shared" si="1"/>
        <v>0</v>
      </c>
      <c r="I31" s="32">
        <f t="shared" si="2"/>
        <v>0.18218091856241067</v>
      </c>
      <c r="J31" s="33">
        <f t="shared" si="5"/>
        <v>11.471932441874999</v>
      </c>
      <c r="K31" s="33">
        <f t="shared" si="3"/>
        <v>3.823977480625</v>
      </c>
      <c r="L31" s="17">
        <v>17</v>
      </c>
      <c r="M31" s="34">
        <f t="shared" si="6"/>
        <v>0.17647058823529413</v>
      </c>
      <c r="N31" s="17">
        <v>66</v>
      </c>
      <c r="O31" s="35">
        <f t="shared" ref="O31:P31" si="39">D31/7</f>
        <v>0.42857142857142855</v>
      </c>
      <c r="P31" s="35">
        <f t="shared" si="39"/>
        <v>0</v>
      </c>
      <c r="Q31" s="30">
        <f t="shared" si="8"/>
        <v>154</v>
      </c>
      <c r="R31" s="30"/>
      <c r="S31" s="22">
        <v>0.57471264367816</v>
      </c>
      <c r="T31" s="15">
        <v>368</v>
      </c>
      <c r="U31" s="23">
        <v>48</v>
      </c>
      <c r="V31" s="1" t="s">
        <v>208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7.2105989583333335E-2</v>
      </c>
      <c r="AD31" s="40">
        <f t="shared" si="12"/>
        <v>-0.29851879687499999</v>
      </c>
      <c r="AE31" s="44">
        <v>-7.18</v>
      </c>
      <c r="AF31" s="44">
        <v>-6.7380162537499997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20.990000000000002</v>
      </c>
      <c r="D32" s="17">
        <v>7</v>
      </c>
      <c r="E32" s="17">
        <v>2</v>
      </c>
      <c r="F32" s="18">
        <v>146.93</v>
      </c>
      <c r="G32" s="18">
        <v>0</v>
      </c>
      <c r="H32" s="32">
        <f t="shared" si="1"/>
        <v>0</v>
      </c>
      <c r="I32" s="32">
        <f t="shared" si="2"/>
        <v>0.18218091856241067</v>
      </c>
      <c r="J32" s="33">
        <f t="shared" si="5"/>
        <v>26.767842364375003</v>
      </c>
      <c r="K32" s="33">
        <f t="shared" si="3"/>
        <v>3.8239774806250004</v>
      </c>
      <c r="L32" s="17">
        <v>22</v>
      </c>
      <c r="M32" s="34">
        <f t="shared" si="6"/>
        <v>0.31818181818181818</v>
      </c>
      <c r="N32" s="17">
        <v>112</v>
      </c>
      <c r="O32" s="35">
        <f t="shared" ref="O32:P32" si="40">D32/7</f>
        <v>1</v>
      </c>
      <c r="P32" s="35">
        <f t="shared" si="40"/>
        <v>0.2857142857142857</v>
      </c>
      <c r="Q32" s="30">
        <f t="shared" si="8"/>
        <v>87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0.57416267942583732</v>
      </c>
      <c r="T32" s="15">
        <f ca="1">IFERROR(__xludf.DUMMYFUNCTION("IFERROR(VLOOKUP($B$2,IMPORTRANGE(""https://docs.google.com/spreadsheets/d/1KiWZV1ko8G7lnRucBRBd29jj3Be6ltMfljMDqzOkQmI/edit#gid=1381463014"",""Lookup!A:D""),4,FALSE),"""")"),368)</f>
        <v>368</v>
      </c>
      <c r="U32" s="23">
        <f ca="1">IFERROR(__xludf.DUMMYFUNCTION("IFERROR(VLOOKUP($B$2,IMPORTRANGE(""https://docs.google.com/spreadsheets/d/1KiWZV1ko8G7lnRucBRBd29jj3Be6ltMfljMDqzOkQmI/edit#gid=1381463014"",""Lookup!A:D""),3,FALSE),"""")"),48)</f>
        <v>48</v>
      </c>
      <c r="V32" s="1" t="str">
        <f ca="1">IFERROR(__xludf.DUMMYFUNCTION("IFERROR(VLOOKUP($B$2,IMPORTRANGE(""https://docs.google.com/spreadsheets/d/1KiWZV1ko8G7lnRucBRBd29jj3Be6ltMfljMDqzOkQmI/edit#gid=1381463014"",""Lookup!A:D""),2,FALSE),"""")"),"| 376-1  - 48 units 07/10")</f>
        <v>| 376-1  - 48 units 07/10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7.2105989583333335E-2</v>
      </c>
      <c r="AD32" s="40">
        <f t="shared" si="12"/>
        <v>-0.69654385937499996</v>
      </c>
      <c r="AE32" s="26">
        <v>-7.18</v>
      </c>
      <c r="AF32" s="26">
        <v>-6.7380162537499997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Green &amp; Black")</f>
        <v>Corn Filled Cornhole Bags - Set of 8 Bean Bags for Corn Hole Game - Regulation Size &amp; Weight - Green &amp; Black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Info!B1:BJ7000""),2,FALSE),"""")"),"B07ZTPH4V3")</f>
        <v>B07ZTPH4V3</v>
      </c>
      <c r="B2" s="47" t="s">
        <v>209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15.664548533823531</v>
      </c>
      <c r="D3" s="5">
        <f>SUM(D4:D99765)</f>
        <v>31</v>
      </c>
      <c r="E3" s="5"/>
      <c r="F3" s="6">
        <f t="shared" ref="F3:G3" si="0">SUM(F4:F99765)</f>
        <v>576.68999999999994</v>
      </c>
      <c r="G3" s="6">
        <f t="shared" si="0"/>
        <v>-0.02</v>
      </c>
      <c r="H3" s="7">
        <f t="shared" ref="H3:H32" si="1">G3/F3*-1</f>
        <v>3.4680677660441488E-5</v>
      </c>
      <c r="I3" s="8">
        <f t="shared" ref="I3:I32" si="2">J3/F3</f>
        <v>8.560343089116329E-2</v>
      </c>
      <c r="J3" s="6">
        <f>SUM(J4:J99765)</f>
        <v>49.366642560624953</v>
      </c>
      <c r="K3" s="6">
        <f t="shared" ref="K3:K32" si="3">J3/D3</f>
        <v>1.5924723406653212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1 - April
1 - May
2 - June
2 - July
1.5 - Aug
1 - Sept
0.5 - Oct
0 - Nov
0 - Dec
0.1 - Jan
0.1 - Feb")</f>
        <v>0.5 - March
1 - April
1 - May
2 - June
2 - July
1.5 - Aug
1 - Sept
0.5 -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-10.957622409374999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100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-5.5571024358974359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200</v>
      </c>
      <c r="U5" s="37">
        <v>100</v>
      </c>
      <c r="V5" s="38" t="s">
        <v>81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200</v>
      </c>
      <c r="U6" s="37">
        <v>100</v>
      </c>
      <c r="V6" s="38" t="s">
        <v>82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200</v>
      </c>
      <c r="U7" s="37">
        <v>100</v>
      </c>
      <c r="V7" s="38" t="s">
        <v>83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100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100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100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248</v>
      </c>
      <c r="U11" s="37">
        <v>100</v>
      </c>
      <c r="V11" s="38" t="s">
        <v>85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100</v>
      </c>
      <c r="U12" s="37">
        <v>100</v>
      </c>
      <c r="V12" s="38" t="s">
        <v>86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100</v>
      </c>
      <c r="U13" s="37">
        <v>100</v>
      </c>
      <c r="V13" s="38" t="s">
        <v>87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100</v>
      </c>
      <c r="U14" s="37">
        <v>100</v>
      </c>
      <c r="V14" s="38" t="s">
        <v>88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100</v>
      </c>
      <c r="U15" s="37">
        <v>100</v>
      </c>
      <c r="V15" s="38" t="s">
        <v>89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100</v>
      </c>
      <c r="U16" s="37">
        <v>100</v>
      </c>
      <c r="V16" s="38" t="s">
        <v>89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-6.5775350000000001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100</v>
      </c>
      <c r="U17" s="37">
        <v>100</v>
      </c>
      <c r="V17" s="38" t="s">
        <v>89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-6.5775350000000001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252</v>
      </c>
      <c r="U18" s="37">
        <v>100</v>
      </c>
      <c r="V18" s="38" t="s">
        <v>90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-6.5775350000000001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252</v>
      </c>
      <c r="U19" s="37">
        <v>100</v>
      </c>
      <c r="V19" s="38" t="s">
        <v>90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252</v>
      </c>
      <c r="U20" s="37">
        <v>100</v>
      </c>
      <c r="V20" s="38" t="s">
        <v>90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252</v>
      </c>
      <c r="U21" s="37">
        <v>100</v>
      </c>
      <c r="V21" s="38" t="s">
        <v>90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252</v>
      </c>
      <c r="U22" s="37">
        <v>100</v>
      </c>
      <c r="V22" s="38" t="s">
        <v>91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252</v>
      </c>
      <c r="U23" s="37">
        <v>100</v>
      </c>
      <c r="V23" s="38" t="s">
        <v>91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252</v>
      </c>
      <c r="U24" s="37">
        <v>100</v>
      </c>
      <c r="V24" s="38" t="s">
        <v>92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58</v>
      </c>
      <c r="AB24" s="41">
        <f t="shared" si="11"/>
        <v>-0.69</v>
      </c>
      <c r="AC24" s="28">
        <v>0.19097222222222221</v>
      </c>
      <c r="AD24" s="40">
        <f t="shared" si="12"/>
        <v>0</v>
      </c>
      <c r="AE24" s="26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0.19097222222222221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 t="s">
        <v>210</v>
      </c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100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252</v>
      </c>
      <c r="U26" s="23">
        <v>100</v>
      </c>
      <c r="V26" s="1" t="s">
        <v>211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0.25613890625000002</v>
      </c>
      <c r="AD26" s="40">
        <f t="shared" si="12"/>
        <v>0</v>
      </c>
      <c r="AE26" s="26">
        <v>-7.48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48">
        <v>17.989999999999998</v>
      </c>
      <c r="C27" s="16">
        <f t="shared" si="4"/>
        <v>19.989999999999998</v>
      </c>
      <c r="D27" s="17">
        <v>1</v>
      </c>
      <c r="E27" s="17">
        <v>0</v>
      </c>
      <c r="F27" s="18">
        <v>19.989999999999998</v>
      </c>
      <c r="G27" s="18">
        <v>0</v>
      </c>
      <c r="H27" s="32">
        <f t="shared" si="1"/>
        <v>0</v>
      </c>
      <c r="I27" s="32">
        <f t="shared" si="2"/>
        <v>0.12908921007378674</v>
      </c>
      <c r="J27" s="33">
        <f t="shared" si="5"/>
        <v>2.5804933093749969</v>
      </c>
      <c r="K27" s="33">
        <f t="shared" si="3"/>
        <v>2.5804933093749969</v>
      </c>
      <c r="L27" s="17">
        <v>7</v>
      </c>
      <c r="M27" s="34">
        <f t="shared" si="6"/>
        <v>0.14285714285714285</v>
      </c>
      <c r="N27" s="17">
        <v>99</v>
      </c>
      <c r="O27" s="35">
        <f t="shared" ref="O27:P27" si="35">D27/7</f>
        <v>0.14285714285714285</v>
      </c>
      <c r="P27" s="35">
        <f t="shared" si="35"/>
        <v>0</v>
      </c>
      <c r="Q27" s="30">
        <f t="shared" si="8"/>
        <v>693</v>
      </c>
      <c r="R27" s="30"/>
      <c r="S27" s="22">
        <v>4.0404040404040407E-2</v>
      </c>
      <c r="T27" s="15">
        <v>252</v>
      </c>
      <c r="U27" s="23">
        <v>100</v>
      </c>
      <c r="V27" s="1" t="s">
        <v>211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0.25613890625000002</v>
      </c>
      <c r="AD27" s="40">
        <f t="shared" si="12"/>
        <v>-0.353471690625</v>
      </c>
      <c r="AE27" s="26">
        <v>-7.48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 t="s">
        <v>96</v>
      </c>
      <c r="C28" s="16">
        <f t="shared" si="4"/>
        <v>18.204285714285714</v>
      </c>
      <c r="D28" s="17">
        <v>14</v>
      </c>
      <c r="E28" s="17">
        <v>0</v>
      </c>
      <c r="F28" s="18">
        <v>254.86</v>
      </c>
      <c r="G28" s="18">
        <v>0</v>
      </c>
      <c r="H28" s="32">
        <f t="shared" si="1"/>
        <v>0</v>
      </c>
      <c r="I28" s="32">
        <f t="shared" si="2"/>
        <v>5.8372856985207541E-2</v>
      </c>
      <c r="J28" s="33">
        <f t="shared" si="5"/>
        <v>14.876906331249995</v>
      </c>
      <c r="K28" s="33">
        <f t="shared" si="3"/>
        <v>1.0626361665178568</v>
      </c>
      <c r="L28" s="17">
        <v>10</v>
      </c>
      <c r="M28" s="34">
        <f t="shared" si="6"/>
        <v>1.4</v>
      </c>
      <c r="N28" s="17">
        <v>75</v>
      </c>
      <c r="O28" s="35">
        <f t="shared" ref="O28:P28" si="36">D28/7</f>
        <v>2</v>
      </c>
      <c r="P28" s="35">
        <f t="shared" si="36"/>
        <v>0</v>
      </c>
      <c r="Q28" s="30">
        <f t="shared" si="8"/>
        <v>37</v>
      </c>
      <c r="R28" s="30"/>
      <c r="S28" s="22">
        <v>0.32</v>
      </c>
      <c r="T28" s="15">
        <v>252</v>
      </c>
      <c r="U28" s="23">
        <v>100</v>
      </c>
      <c r="V28" s="1" t="s">
        <v>211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0.25613890625000002</v>
      </c>
      <c r="AD28" s="40">
        <f t="shared" si="12"/>
        <v>-4.9486036687499997</v>
      </c>
      <c r="AE28" s="26">
        <v>-7.48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 t="s">
        <v>212</v>
      </c>
      <c r="C29" s="16">
        <f t="shared" si="4"/>
        <v>17.989999999999998</v>
      </c>
      <c r="D29" s="17">
        <v>8</v>
      </c>
      <c r="E29" s="17">
        <v>0</v>
      </c>
      <c r="F29" s="18">
        <v>143.91999999999999</v>
      </c>
      <c r="G29" s="18">
        <v>-0.02</v>
      </c>
      <c r="H29" s="32">
        <f t="shared" si="1"/>
        <v>1.3896609227348529E-4</v>
      </c>
      <c r="I29" s="32">
        <f t="shared" si="2"/>
        <v>4.8804519698443391E-2</v>
      </c>
      <c r="J29" s="33">
        <f t="shared" si="5"/>
        <v>7.0239464749999723</v>
      </c>
      <c r="K29" s="33">
        <f t="shared" si="3"/>
        <v>0.87799330937499653</v>
      </c>
      <c r="L29" s="17">
        <v>12</v>
      </c>
      <c r="M29" s="34">
        <f t="shared" si="6"/>
        <v>0.66666666666666663</v>
      </c>
      <c r="N29" s="17">
        <v>72</v>
      </c>
      <c r="O29" s="35">
        <f t="shared" ref="O29:P29" si="37">D29/7</f>
        <v>1.1428571428571428</v>
      </c>
      <c r="P29" s="35">
        <f t="shared" si="37"/>
        <v>0</v>
      </c>
      <c r="Q29" s="30">
        <f t="shared" si="8"/>
        <v>63</v>
      </c>
      <c r="R29" s="30"/>
      <c r="S29" s="22">
        <v>1.205479452054794</v>
      </c>
      <c r="T29" s="15">
        <v>252</v>
      </c>
      <c r="U29" s="23">
        <v>100</v>
      </c>
      <c r="V29" s="1" t="s">
        <v>213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0.25613890625000002</v>
      </c>
      <c r="AD29" s="40">
        <f t="shared" si="12"/>
        <v>-2.827773525</v>
      </c>
      <c r="AE29" s="26">
        <v>-7.48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15" t="s">
        <v>96</v>
      </c>
      <c r="C30" s="16">
        <f t="shared" si="4"/>
        <v>19.489999999999998</v>
      </c>
      <c r="D30" s="17">
        <v>4</v>
      </c>
      <c r="E30" s="17">
        <v>1</v>
      </c>
      <c r="F30" s="18">
        <v>77.959999999999994</v>
      </c>
      <c r="G30" s="18">
        <v>0</v>
      </c>
      <c r="H30" s="32">
        <f t="shared" si="1"/>
        <v>0</v>
      </c>
      <c r="I30" s="32">
        <f t="shared" si="2"/>
        <v>0.14869995154566429</v>
      </c>
      <c r="J30" s="33">
        <f t="shared" si="5"/>
        <v>11.592648222499987</v>
      </c>
      <c r="K30" s="33">
        <f t="shared" si="3"/>
        <v>2.8981620556249967</v>
      </c>
      <c r="L30" s="17">
        <v>8</v>
      </c>
      <c r="M30" s="34">
        <f t="shared" si="6"/>
        <v>0.5</v>
      </c>
      <c r="N30" s="17">
        <v>69</v>
      </c>
      <c r="O30" s="35">
        <f t="shared" ref="O30:P30" si="38">D30/7</f>
        <v>0.5714285714285714</v>
      </c>
      <c r="P30" s="35">
        <f t="shared" si="38"/>
        <v>0.14285714285714285</v>
      </c>
      <c r="Q30" s="30">
        <f t="shared" si="8"/>
        <v>96</v>
      </c>
      <c r="R30" s="30"/>
      <c r="S30" s="22">
        <v>1.352112676056338</v>
      </c>
      <c r="T30" s="29">
        <v>252</v>
      </c>
      <c r="U30" s="37">
        <v>100</v>
      </c>
      <c r="V30" s="38" t="s">
        <v>213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0.25613890625000002</v>
      </c>
      <c r="AD30" s="40">
        <f t="shared" si="12"/>
        <v>-1.4138867625</v>
      </c>
      <c r="AE30" s="26">
        <v>-7.48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4"/>
        <v>19.989999999999998</v>
      </c>
      <c r="D31" s="17">
        <v>1</v>
      </c>
      <c r="E31" s="17">
        <v>0</v>
      </c>
      <c r="F31" s="18">
        <v>19.989999999999998</v>
      </c>
      <c r="G31" s="43">
        <v>0</v>
      </c>
      <c r="H31" s="32">
        <f t="shared" si="1"/>
        <v>0</v>
      </c>
      <c r="I31" s="32">
        <f t="shared" si="2"/>
        <v>0.16624122339294636</v>
      </c>
      <c r="J31" s="33">
        <f t="shared" si="5"/>
        <v>3.3231620556249974</v>
      </c>
      <c r="K31" s="33">
        <f t="shared" si="3"/>
        <v>3.3231620556249974</v>
      </c>
      <c r="L31" s="17">
        <v>11</v>
      </c>
      <c r="M31" s="34">
        <f t="shared" si="6"/>
        <v>9.0909090909090912E-2</v>
      </c>
      <c r="N31" s="17">
        <v>66</v>
      </c>
      <c r="O31" s="35">
        <f t="shared" ref="O31:P31" si="39">D31/7</f>
        <v>0.14285714285714285</v>
      </c>
      <c r="P31" s="35">
        <f t="shared" si="39"/>
        <v>0</v>
      </c>
      <c r="Q31" s="30">
        <f t="shared" si="8"/>
        <v>462</v>
      </c>
      <c r="R31" s="30"/>
      <c r="S31" s="22">
        <v>0.70303030303030301</v>
      </c>
      <c r="T31" s="15">
        <v>152</v>
      </c>
      <c r="U31" s="23" t="s">
        <v>56</v>
      </c>
      <c r="V31" s="1" t="s">
        <v>214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0.25613890625000002</v>
      </c>
      <c r="AD31" s="40">
        <f t="shared" si="12"/>
        <v>-0.353471690625</v>
      </c>
      <c r="AE31" s="44">
        <v>-7.48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19.989999999999998</v>
      </c>
      <c r="D32" s="17">
        <v>3</v>
      </c>
      <c r="E32" s="17">
        <v>0</v>
      </c>
      <c r="F32" s="18">
        <v>59.97</v>
      </c>
      <c r="G32" s="18">
        <v>0</v>
      </c>
      <c r="H32" s="32">
        <f t="shared" si="1"/>
        <v>0</v>
      </c>
      <c r="I32" s="32">
        <f t="shared" si="2"/>
        <v>0.16624122339294642</v>
      </c>
      <c r="J32" s="33">
        <f t="shared" si="5"/>
        <v>9.9694861668749972</v>
      </c>
      <c r="K32" s="33">
        <f t="shared" si="3"/>
        <v>3.3231620556249992</v>
      </c>
      <c r="L32" s="17">
        <v>6</v>
      </c>
      <c r="M32" s="34">
        <f t="shared" si="6"/>
        <v>0.5</v>
      </c>
      <c r="N32" s="17">
        <v>62</v>
      </c>
      <c r="O32" s="35">
        <f t="shared" ref="O32:P32" si="40">D32/7</f>
        <v>0.42857142857142855</v>
      </c>
      <c r="P32" s="35">
        <f t="shared" si="40"/>
        <v>0</v>
      </c>
      <c r="Q32" s="30">
        <f t="shared" si="8"/>
        <v>144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0.60784313725490191</v>
      </c>
      <c r="T32" s="15">
        <f ca="1">IFERROR(__xludf.DUMMYFUNCTION("IFERROR(VLOOKUP($B$2,IMPORTRANGE(""https://docs.google.com/spreadsheets/d/1KiWZV1ko8G7lnRucBRBd29jj3Be6ltMfljMDqzOkQmI/edit#gid=1381463014"",""Lookup!A:D""),4,FALSE),"""")"),152)</f>
        <v>152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152 At Factory 50-75 days from Earliest Arrival")</f>
        <v>No Transit, But 152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0.25613890625000002</v>
      </c>
      <c r="AD32" s="40">
        <f t="shared" si="12"/>
        <v>-1.0604150718750001</v>
      </c>
      <c r="AE32" s="26">
        <v>-7.48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Bright Green &amp; Gray")</f>
        <v>Corn Filled Cornhole Bags - Set of 8 Bean Bags for Corn Hole Game - Bright Green &amp; Gray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Info!B1:BJ7000""),2,FALSE),"""")"),"B07MWJZYKP")</f>
        <v>B07MWJZYKP</v>
      </c>
      <c r="B2" s="47" t="s">
        <v>215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15.311607357352942</v>
      </c>
      <c r="D3" s="5">
        <f>SUM(D4:D99765)</f>
        <v>29</v>
      </c>
      <c r="E3" s="5"/>
      <c r="F3" s="6">
        <f t="shared" ref="F3:G3" si="0">SUM(F4:F99765)</f>
        <v>551.71</v>
      </c>
      <c r="G3" s="6">
        <f t="shared" si="0"/>
        <v>-44.370000000000005</v>
      </c>
      <c r="H3" s="7">
        <f t="shared" ref="H3:H32" si="1">G3/F3*-1</f>
        <v>8.0422685831324434E-2</v>
      </c>
      <c r="I3" s="8">
        <f t="shared" ref="I3:I32" si="2">J3/F3</f>
        <v>4.5981613852839311E-2</v>
      </c>
      <c r="J3" s="6">
        <f>SUM(J4:J99765)</f>
        <v>25.368516178749978</v>
      </c>
      <c r="K3" s="6">
        <f t="shared" ref="K3:K32" si="3">J3/D3</f>
        <v>0.87477641995689581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1 - April
2 - May
3 - June
2.5 - July
2.5 - Aug
2 - Sept
2 - Oct
0 - Nov
0 - Dec
0.1 - Jan
0.1 - Feb")</f>
        <v>0.5 - March
1 - April
2 - May
3 - June
2.5 - July
2.5 - Aug
2 - Sept
2 -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4</v>
      </c>
      <c r="X3" s="7">
        <f>W3/D3</f>
        <v>0.13793103448275862</v>
      </c>
      <c r="Y3" s="6"/>
      <c r="Z3" s="5"/>
      <c r="AA3" s="5"/>
      <c r="AB3" s="5"/>
      <c r="AC3" s="5"/>
      <c r="AD3" s="6">
        <f>SUM(AD4:AD99765)</f>
        <v>-14.357174999999994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100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-5.5571024358974359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200</v>
      </c>
      <c r="U5" s="37">
        <v>100</v>
      </c>
      <c r="V5" s="38" t="s">
        <v>81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200</v>
      </c>
      <c r="U6" s="37">
        <v>100</v>
      </c>
      <c r="V6" s="38" t="s">
        <v>82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200</v>
      </c>
      <c r="U7" s="37">
        <v>100</v>
      </c>
      <c r="V7" s="38" t="s">
        <v>83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100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100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100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300</v>
      </c>
      <c r="U11" s="37">
        <v>100</v>
      </c>
      <c r="V11" s="38" t="s">
        <v>216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100</v>
      </c>
      <c r="U12" s="37">
        <v>100</v>
      </c>
      <c r="V12" s="38" t="s">
        <v>86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100</v>
      </c>
      <c r="U13" s="37">
        <v>100</v>
      </c>
      <c r="V13" s="38" t="s">
        <v>87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100</v>
      </c>
      <c r="U14" s="37">
        <v>100</v>
      </c>
      <c r="V14" s="38" t="s">
        <v>88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100</v>
      </c>
      <c r="U15" s="37">
        <v>100</v>
      </c>
      <c r="V15" s="38" t="s">
        <v>89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100</v>
      </c>
      <c r="U16" s="37">
        <v>100</v>
      </c>
      <c r="V16" s="38" t="s">
        <v>89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-6.5775350000000001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100</v>
      </c>
      <c r="U17" s="37">
        <v>100</v>
      </c>
      <c r="V17" s="38" t="s">
        <v>89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-6.5775350000000001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304</v>
      </c>
      <c r="U18" s="37">
        <v>100</v>
      </c>
      <c r="V18" s="38" t="s">
        <v>90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-6.5775350000000001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304</v>
      </c>
      <c r="U19" s="37">
        <v>100</v>
      </c>
      <c r="V19" s="38" t="s">
        <v>90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304</v>
      </c>
      <c r="U20" s="37">
        <v>100</v>
      </c>
      <c r="V20" s="38" t="s">
        <v>90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304</v>
      </c>
      <c r="U21" s="37">
        <v>100</v>
      </c>
      <c r="V21" s="38" t="s">
        <v>90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304</v>
      </c>
      <c r="U22" s="37">
        <v>100</v>
      </c>
      <c r="V22" s="38" t="s">
        <v>91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304</v>
      </c>
      <c r="U23" s="37">
        <v>100</v>
      </c>
      <c r="V23" s="38" t="s">
        <v>91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304</v>
      </c>
      <c r="U24" s="37">
        <v>100</v>
      </c>
      <c r="V24" s="38" t="s">
        <v>92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58</v>
      </c>
      <c r="AB24" s="41">
        <f t="shared" si="11"/>
        <v>-0.69</v>
      </c>
      <c r="AC24" s="28">
        <v>0.3587499999999999</v>
      </c>
      <c r="AD24" s="40">
        <f t="shared" si="12"/>
        <v>0</v>
      </c>
      <c r="AE24" s="26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0.3587499999999999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 t="s">
        <v>217</v>
      </c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-0.08</v>
      </c>
      <c r="H26" s="32" t="e">
        <f t="shared" si="1"/>
        <v>#DIV/0!</v>
      </c>
      <c r="I26" s="32" t="e">
        <f t="shared" si="2"/>
        <v>#DIV/0!</v>
      </c>
      <c r="J26" s="33">
        <f t="shared" si="5"/>
        <v>-0.08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100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260</v>
      </c>
      <c r="U26" s="23">
        <v>56</v>
      </c>
      <c r="V26" s="1" t="s">
        <v>218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0.3587499999999999</v>
      </c>
      <c r="AD26" s="40">
        <f t="shared" si="12"/>
        <v>0</v>
      </c>
      <c r="AE26" s="26">
        <v>-7.18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48">
        <v>18.989999999999998</v>
      </c>
      <c r="C27" s="16">
        <f t="shared" si="4"/>
        <v>19.323333333333334</v>
      </c>
      <c r="D27" s="17">
        <v>3</v>
      </c>
      <c r="E27" s="17">
        <v>0</v>
      </c>
      <c r="F27" s="18">
        <v>57.97</v>
      </c>
      <c r="G27" s="18">
        <v>-0.08</v>
      </c>
      <c r="H27" s="32">
        <f t="shared" si="1"/>
        <v>1.3800241504226323E-3</v>
      </c>
      <c r="I27" s="32">
        <f t="shared" si="2"/>
        <v>0.11103450060376056</v>
      </c>
      <c r="J27" s="33">
        <f t="shared" si="5"/>
        <v>6.4366699999999994</v>
      </c>
      <c r="K27" s="33">
        <f t="shared" si="3"/>
        <v>2.1455566666666663</v>
      </c>
      <c r="L27" s="17">
        <v>10</v>
      </c>
      <c r="M27" s="34">
        <f t="shared" si="6"/>
        <v>0.3</v>
      </c>
      <c r="N27" s="17">
        <v>97</v>
      </c>
      <c r="O27" s="35">
        <f t="shared" ref="O27:P27" si="35">D27/7</f>
        <v>0.42857142857142855</v>
      </c>
      <c r="P27" s="35">
        <f t="shared" si="35"/>
        <v>0</v>
      </c>
      <c r="Q27" s="30">
        <f t="shared" si="8"/>
        <v>226</v>
      </c>
      <c r="R27" s="30"/>
      <c r="S27" s="22">
        <v>4.0404040404040407E-2</v>
      </c>
      <c r="T27" s="15">
        <v>260</v>
      </c>
      <c r="U27" s="23">
        <v>56</v>
      </c>
      <c r="V27" s="1" t="s">
        <v>218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0.3587499999999999</v>
      </c>
      <c r="AD27" s="40">
        <f t="shared" si="12"/>
        <v>-1.4852249999999994</v>
      </c>
      <c r="AE27" s="26">
        <v>-7.18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 t="s">
        <v>96</v>
      </c>
      <c r="C28" s="16">
        <f t="shared" si="4"/>
        <v>18.989999999999998</v>
      </c>
      <c r="D28" s="17">
        <v>6</v>
      </c>
      <c r="E28" s="17">
        <v>0</v>
      </c>
      <c r="F28" s="18">
        <v>113.94</v>
      </c>
      <c r="G28" s="18">
        <v>0</v>
      </c>
      <c r="H28" s="32">
        <f t="shared" si="1"/>
        <v>0</v>
      </c>
      <c r="I28" s="32">
        <f t="shared" si="2"/>
        <v>9.9467614533965187E-2</v>
      </c>
      <c r="J28" s="33">
        <f t="shared" si="5"/>
        <v>11.333339999999993</v>
      </c>
      <c r="K28" s="33">
        <f t="shared" si="3"/>
        <v>1.8888899999999988</v>
      </c>
      <c r="L28" s="17">
        <v>9</v>
      </c>
      <c r="M28" s="34">
        <f t="shared" si="6"/>
        <v>0.66666666666666663</v>
      </c>
      <c r="N28" s="17">
        <v>77</v>
      </c>
      <c r="O28" s="35">
        <f t="shared" ref="O28:P28" si="36">D28/7</f>
        <v>0.8571428571428571</v>
      </c>
      <c r="P28" s="35">
        <f t="shared" si="36"/>
        <v>0</v>
      </c>
      <c r="Q28" s="30">
        <f t="shared" si="8"/>
        <v>89</v>
      </c>
      <c r="R28" s="30"/>
      <c r="S28" s="22">
        <v>0.30107526881720431</v>
      </c>
      <c r="T28" s="15">
        <v>260</v>
      </c>
      <c r="U28" s="23">
        <v>56</v>
      </c>
      <c r="V28" s="1" t="s">
        <v>218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0.3587499999999999</v>
      </c>
      <c r="AD28" s="40">
        <f t="shared" si="12"/>
        <v>-2.9704499999999987</v>
      </c>
      <c r="AE28" s="26">
        <v>-7.18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 t="s">
        <v>96</v>
      </c>
      <c r="C29" s="16">
        <f t="shared" si="4"/>
        <v>18.989999999999998</v>
      </c>
      <c r="D29" s="17">
        <v>1</v>
      </c>
      <c r="E29" s="17">
        <v>1</v>
      </c>
      <c r="F29" s="18">
        <v>18.989999999999998</v>
      </c>
      <c r="G29" s="18">
        <v>-0.08</v>
      </c>
      <c r="H29" s="32">
        <f t="shared" si="1"/>
        <v>4.2127435492364407E-3</v>
      </c>
      <c r="I29" s="32">
        <f t="shared" si="2"/>
        <v>9.5254870984728707E-2</v>
      </c>
      <c r="J29" s="33">
        <f t="shared" si="5"/>
        <v>1.8088899999999981</v>
      </c>
      <c r="K29" s="33">
        <f t="shared" si="3"/>
        <v>1.8088899999999981</v>
      </c>
      <c r="L29" s="17">
        <v>7</v>
      </c>
      <c r="M29" s="34">
        <f t="shared" si="6"/>
        <v>0.14285714285714285</v>
      </c>
      <c r="N29" s="17">
        <v>85</v>
      </c>
      <c r="O29" s="35">
        <f t="shared" ref="O29:P29" si="37">D29/7</f>
        <v>0.14285714285714285</v>
      </c>
      <c r="P29" s="35">
        <f t="shared" si="37"/>
        <v>0.14285714285714285</v>
      </c>
      <c r="Q29" s="30">
        <f t="shared" si="8"/>
        <v>297</v>
      </c>
      <c r="R29" s="30"/>
      <c r="S29" s="22">
        <v>0.46511627906976738</v>
      </c>
      <c r="T29" s="15">
        <v>260</v>
      </c>
      <c r="U29" s="23">
        <v>56</v>
      </c>
      <c r="V29" s="1" t="s">
        <v>219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0.3587499999999999</v>
      </c>
      <c r="AD29" s="40">
        <f t="shared" si="12"/>
        <v>-0.49507499999999982</v>
      </c>
      <c r="AE29" s="26">
        <v>-7.18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15" t="s">
        <v>96</v>
      </c>
      <c r="C30" s="16">
        <f t="shared" si="4"/>
        <v>18.989999999999998</v>
      </c>
      <c r="D30" s="17">
        <v>5</v>
      </c>
      <c r="E30" s="17">
        <v>1</v>
      </c>
      <c r="F30" s="18">
        <v>94.949999999999989</v>
      </c>
      <c r="G30" s="18">
        <v>-0.1</v>
      </c>
      <c r="H30" s="32">
        <f t="shared" si="1"/>
        <v>1.0531858873091102E-3</v>
      </c>
      <c r="I30" s="32">
        <f t="shared" si="2"/>
        <v>0.13752284077145863</v>
      </c>
      <c r="J30" s="33">
        <f t="shared" si="5"/>
        <v>13.057793731249994</v>
      </c>
      <c r="K30" s="33">
        <f t="shared" si="3"/>
        <v>2.6115587462499987</v>
      </c>
      <c r="L30" s="17">
        <v>7</v>
      </c>
      <c r="M30" s="34">
        <f t="shared" si="6"/>
        <v>0.7142857142857143</v>
      </c>
      <c r="N30" s="17">
        <v>79</v>
      </c>
      <c r="O30" s="35">
        <f t="shared" ref="O30:P30" si="38">D30/7</f>
        <v>0.7142857142857143</v>
      </c>
      <c r="P30" s="35">
        <f t="shared" si="38"/>
        <v>0.14285714285714285</v>
      </c>
      <c r="Q30" s="30">
        <f t="shared" si="8"/>
        <v>92</v>
      </c>
      <c r="R30" s="30"/>
      <c r="S30" s="22">
        <v>0.5714285714285714</v>
      </c>
      <c r="T30" s="29">
        <v>260</v>
      </c>
      <c r="U30" s="37">
        <v>56</v>
      </c>
      <c r="V30" s="38" t="s">
        <v>219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0.3587499999999999</v>
      </c>
      <c r="AD30" s="40">
        <f t="shared" si="12"/>
        <v>-2.4753749999999992</v>
      </c>
      <c r="AE30" s="26">
        <v>-7.18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 t="s">
        <v>220</v>
      </c>
      <c r="C31" s="16">
        <f t="shared" si="4"/>
        <v>18.989999999999998</v>
      </c>
      <c r="D31" s="17">
        <v>7</v>
      </c>
      <c r="E31" s="17">
        <v>0</v>
      </c>
      <c r="F31" s="18">
        <v>132.92999999999998</v>
      </c>
      <c r="G31" s="43">
        <v>0</v>
      </c>
      <c r="H31" s="32">
        <f t="shared" si="1"/>
        <v>0</v>
      </c>
      <c r="I31" s="32">
        <f t="shared" si="2"/>
        <v>0.13857602665876773</v>
      </c>
      <c r="J31" s="33">
        <f t="shared" si="5"/>
        <v>18.420911223749989</v>
      </c>
      <c r="K31" s="33">
        <f t="shared" si="3"/>
        <v>2.6315587462499983</v>
      </c>
      <c r="L31" s="17">
        <v>9</v>
      </c>
      <c r="M31" s="34">
        <f t="shared" si="6"/>
        <v>0.77777777777777779</v>
      </c>
      <c r="N31" s="17">
        <v>74</v>
      </c>
      <c r="O31" s="35">
        <f t="shared" ref="O31:P31" si="39">D31/7</f>
        <v>1</v>
      </c>
      <c r="P31" s="35">
        <f t="shared" si="39"/>
        <v>0</v>
      </c>
      <c r="Q31" s="30">
        <f t="shared" si="8"/>
        <v>74</v>
      </c>
      <c r="R31" s="30"/>
      <c r="S31" s="22">
        <v>0.42937853107344598</v>
      </c>
      <c r="T31" s="15">
        <v>204</v>
      </c>
      <c r="U31" s="23" t="s">
        <v>56</v>
      </c>
      <c r="V31" s="1" t="s">
        <v>221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0.3587499999999999</v>
      </c>
      <c r="AD31" s="40">
        <f t="shared" si="12"/>
        <v>-3.4655249999999986</v>
      </c>
      <c r="AE31" s="44">
        <v>-7.18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18.990000000000002</v>
      </c>
      <c r="D32" s="17">
        <v>7</v>
      </c>
      <c r="E32" s="17">
        <v>0</v>
      </c>
      <c r="F32" s="18">
        <v>132.93</v>
      </c>
      <c r="G32" s="18">
        <v>-44.03</v>
      </c>
      <c r="H32" s="32">
        <f t="shared" si="1"/>
        <v>0.33122696155871512</v>
      </c>
      <c r="I32" s="32">
        <f t="shared" si="2"/>
        <v>-0.19265093489994731</v>
      </c>
      <c r="J32" s="33">
        <f t="shared" si="5"/>
        <v>-25.609088776249997</v>
      </c>
      <c r="K32" s="33">
        <f t="shared" si="3"/>
        <v>-3.6584412537499995</v>
      </c>
      <c r="L32" s="17">
        <v>40</v>
      </c>
      <c r="M32" s="34">
        <f t="shared" si="6"/>
        <v>0.17499999999999999</v>
      </c>
      <c r="N32" s="17">
        <v>74</v>
      </c>
      <c r="O32" s="35">
        <f t="shared" ref="O32:P32" si="40">D32/7</f>
        <v>1</v>
      </c>
      <c r="P32" s="35">
        <f t="shared" si="40"/>
        <v>0</v>
      </c>
      <c r="Q32" s="30">
        <f t="shared" si="8"/>
        <v>74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0.43956043956043961</v>
      </c>
      <c r="T32" s="15">
        <f ca="1">IFERROR(__xludf.DUMMYFUNCTION("IFERROR(VLOOKUP($B$2,IMPORTRANGE(""https://docs.google.com/spreadsheets/d/1KiWZV1ko8G7lnRucBRBd29jj3Be6ltMfljMDqzOkQmI/edit#gid=1381463014"",""Lookup!A:D""),4,FALSE),"""")"),204)</f>
        <v>204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204 At Factory 50-75 days from Earliest Arrival")</f>
        <v>No Transit, But 204 At Factory 50-75 days from Earliest Arrival</v>
      </c>
      <c r="W32" s="15">
        <v>4</v>
      </c>
      <c r="X32" s="39">
        <f t="shared" si="9"/>
        <v>0.5714285714285714</v>
      </c>
      <c r="Y32" s="40">
        <f t="shared" si="10"/>
        <v>2.7518750000000001</v>
      </c>
      <c r="Z32" s="15">
        <v>12</v>
      </c>
      <c r="AA32" s="15" t="s">
        <v>58</v>
      </c>
      <c r="AB32" s="41">
        <f t="shared" si="11"/>
        <v>-0.69</v>
      </c>
      <c r="AC32" s="28">
        <v>0.3587499999999999</v>
      </c>
      <c r="AD32" s="40">
        <f t="shared" si="12"/>
        <v>-3.4655249999999986</v>
      </c>
      <c r="AE32" s="26">
        <v>-7.18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Hunter Green &amp; Yellow")</f>
        <v>Corn Filled Cornhole Bags - Set of 8 Bean Bags for Corn Hole Game - Regulation Size &amp; Weight - Hunter Green &amp; Yellow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Info!B1:BJ7000""),2,FALSE),"""")"),"B07ZTPFR5R")</f>
        <v>B07ZTPFR5R</v>
      </c>
      <c r="B2" s="47" t="s">
        <v>222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16.729411764705883</v>
      </c>
      <c r="D3" s="5">
        <f>SUM(D4:D99765)</f>
        <v>1</v>
      </c>
      <c r="E3" s="5"/>
      <c r="F3" s="6">
        <f t="shared" ref="F3:G3" si="0">SUM(F4:F99765)</f>
        <v>19.989999999999998</v>
      </c>
      <c r="G3" s="6">
        <f t="shared" si="0"/>
        <v>0</v>
      </c>
      <c r="H3" s="7">
        <f>G3/F3*-1</f>
        <v>0</v>
      </c>
      <c r="I3" s="8">
        <f>J3/F3</f>
        <v>0.11498015097826682</v>
      </c>
      <c r="J3" s="6">
        <f>SUM(J4:J99765)</f>
        <v>2.2984532180555535</v>
      </c>
      <c r="K3" s="6">
        <f>J3/D3</f>
        <v>2.2984532180555535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-0.47304678194444449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hidden="1" customHeight="1" x14ac:dyDescent="0.2">
      <c r="A4" s="15" t="s">
        <v>32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35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36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37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38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39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40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41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42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43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44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45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46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47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48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49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50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51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52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"/>
      <c r="AB24" s="41"/>
      <c r="AC24" s="28"/>
      <c r="AD24" s="40"/>
      <c r="AE24" s="26"/>
      <c r="AF24" s="40"/>
      <c r="AG24" s="40"/>
    </row>
    <row r="25" spans="1:33" ht="15.75" hidden="1" customHeight="1" x14ac:dyDescent="0.2">
      <c r="A25" s="29" t="s">
        <v>53</v>
      </c>
      <c r="B25" s="15"/>
      <c r="C25" s="16"/>
      <c r="D25" s="30"/>
      <c r="E25" s="30"/>
      <c r="F25" s="33"/>
      <c r="G25" s="33"/>
      <c r="H25" s="32"/>
      <c r="I25" s="32"/>
      <c r="J25" s="33"/>
      <c r="K25" s="33"/>
      <c r="L25" s="30"/>
      <c r="M25" s="34"/>
      <c r="N25" s="30"/>
      <c r="O25" s="35"/>
      <c r="P25" s="35"/>
      <c r="Q25" s="30"/>
      <c r="R25" s="30"/>
      <c r="S25" s="36"/>
      <c r="T25" s="15"/>
      <c r="U25" s="23"/>
      <c r="V25" s="1"/>
      <c r="W25" s="15"/>
      <c r="X25" s="39"/>
      <c r="Y25" s="40"/>
      <c r="Z25" s="15"/>
      <c r="AA25" s="29"/>
      <c r="AB25" s="41"/>
      <c r="AC25" s="42"/>
      <c r="AD25" s="40"/>
      <c r="AE25" s="40"/>
      <c r="AF25" s="40"/>
      <c r="AG25" s="40"/>
    </row>
    <row r="26" spans="1:33" ht="15.75" hidden="1" customHeight="1" x14ac:dyDescent="0.2">
      <c r="A26" s="15" t="s">
        <v>54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15"/>
      <c r="U26" s="23"/>
      <c r="V26" s="1"/>
      <c r="W26" s="15"/>
      <c r="X26" s="39"/>
      <c r="Y26" s="40"/>
      <c r="Z26" s="15"/>
      <c r="AA26" s="29"/>
      <c r="AB26" s="41"/>
      <c r="AC26" s="42"/>
      <c r="AD26" s="40"/>
      <c r="AE26" s="26"/>
      <c r="AF26" s="26"/>
      <c r="AG26" s="26"/>
    </row>
    <row r="27" spans="1:33" ht="15.75" hidden="1" customHeight="1" x14ac:dyDescent="0.2">
      <c r="A27" s="15" t="s">
        <v>74</v>
      </c>
      <c r="B27" s="15"/>
      <c r="C27" s="16"/>
      <c r="D27" s="17"/>
      <c r="E27" s="17"/>
      <c r="F27" s="18"/>
      <c r="G27" s="18"/>
      <c r="H27" s="32"/>
      <c r="I27" s="32"/>
      <c r="J27" s="33"/>
      <c r="K27" s="33"/>
      <c r="L27" s="17"/>
      <c r="M27" s="34"/>
      <c r="N27" s="17"/>
      <c r="O27" s="35"/>
      <c r="P27" s="35"/>
      <c r="Q27" s="30"/>
      <c r="R27" s="30"/>
      <c r="S27" s="22"/>
      <c r="T27" s="15"/>
      <c r="U27" s="23"/>
      <c r="V27" s="1"/>
      <c r="W27" s="15"/>
      <c r="X27" s="39"/>
      <c r="Y27" s="40"/>
      <c r="Z27" s="15"/>
      <c r="AA27" s="29"/>
      <c r="AB27" s="41"/>
      <c r="AC27" s="42"/>
      <c r="AD27" s="40"/>
      <c r="AE27" s="26"/>
      <c r="AF27" s="26"/>
      <c r="AG27" s="26"/>
    </row>
    <row r="28" spans="1:33" ht="15.75" hidden="1" customHeight="1" x14ac:dyDescent="0.2">
      <c r="A28" s="15" t="s">
        <v>75</v>
      </c>
      <c r="B28" s="15"/>
      <c r="C28" s="16"/>
      <c r="D28" s="17"/>
      <c r="E28" s="17"/>
      <c r="F28" s="18"/>
      <c r="G28" s="18"/>
      <c r="H28" s="32"/>
      <c r="I28" s="32"/>
      <c r="J28" s="33"/>
      <c r="K28" s="33"/>
      <c r="L28" s="17"/>
      <c r="M28" s="34"/>
      <c r="N28" s="17"/>
      <c r="O28" s="35"/>
      <c r="P28" s="35"/>
      <c r="Q28" s="30"/>
      <c r="R28" s="30"/>
      <c r="S28" s="22"/>
      <c r="T28" s="15"/>
      <c r="U28" s="23"/>
      <c r="V28" s="1"/>
      <c r="W28" s="15"/>
      <c r="X28" s="39"/>
      <c r="Y28" s="40"/>
      <c r="Z28" s="15"/>
      <c r="AA28" s="29"/>
      <c r="AB28" s="41"/>
      <c r="AC28" s="42"/>
      <c r="AD28" s="40"/>
      <c r="AE28" s="26"/>
      <c r="AF28" s="26"/>
      <c r="AG28" s="26"/>
    </row>
    <row r="29" spans="1:33" ht="15.75" hidden="1" customHeight="1" x14ac:dyDescent="0.2">
      <c r="A29" s="15" t="s">
        <v>77</v>
      </c>
      <c r="B29" s="15"/>
      <c r="C29" s="16"/>
      <c r="D29" s="17"/>
      <c r="E29" s="17"/>
      <c r="F29" s="18"/>
      <c r="G29" s="18"/>
      <c r="H29" s="32"/>
      <c r="I29" s="32"/>
      <c r="J29" s="33"/>
      <c r="K29" s="33"/>
      <c r="L29" s="17"/>
      <c r="M29" s="34"/>
      <c r="N29" s="17"/>
      <c r="O29" s="35"/>
      <c r="P29" s="35"/>
      <c r="Q29" s="30"/>
      <c r="R29" s="30"/>
      <c r="S29" s="22"/>
      <c r="T29" s="15"/>
      <c r="U29" s="23"/>
      <c r="V29" s="1"/>
      <c r="W29" s="15"/>
      <c r="X29" s="39"/>
      <c r="Y29" s="40"/>
      <c r="Z29" s="15"/>
      <c r="AA29" s="29"/>
      <c r="AB29" s="41"/>
      <c r="AC29" s="42"/>
      <c r="AD29" s="40"/>
      <c r="AE29" s="26"/>
      <c r="AF29" s="26"/>
      <c r="AG29" s="26"/>
    </row>
    <row r="30" spans="1:33" ht="15.75" hidden="1" customHeight="1" x14ac:dyDescent="0.2">
      <c r="A30" s="15" t="s">
        <v>78</v>
      </c>
      <c r="B30" s="48"/>
      <c r="C30" s="16"/>
      <c r="D30" s="17"/>
      <c r="E30" s="17"/>
      <c r="F30" s="18"/>
      <c r="G30" s="18"/>
      <c r="H30" s="32"/>
      <c r="I30" s="32"/>
      <c r="J30" s="33"/>
      <c r="K30" s="33"/>
      <c r="L30" s="17"/>
      <c r="M30" s="34"/>
      <c r="N30" s="17"/>
      <c r="O30" s="35"/>
      <c r="P30" s="35"/>
      <c r="Q30" s="30"/>
      <c r="R30" s="30"/>
      <c r="S30" s="22"/>
      <c r="T30" s="29"/>
      <c r="U30" s="37"/>
      <c r="V30" s="38"/>
      <c r="W30" s="15"/>
      <c r="X30" s="39"/>
      <c r="Y30" s="40"/>
      <c r="Z30" s="15"/>
      <c r="AA30" s="29"/>
      <c r="AB30" s="41"/>
      <c r="AC30" s="42"/>
      <c r="AD30" s="40"/>
      <c r="AE30" s="26"/>
      <c r="AF30" s="26"/>
      <c r="AG30" s="26"/>
    </row>
    <row r="31" spans="1:33" ht="15.75" customHeight="1" x14ac:dyDescent="0.2">
      <c r="A31" s="15" t="s">
        <v>55</v>
      </c>
      <c r="B31" s="15"/>
      <c r="C31" s="16"/>
      <c r="D31" s="17"/>
      <c r="E31" s="17"/>
      <c r="F31" s="18"/>
      <c r="G31" s="43"/>
      <c r="H31" s="32"/>
      <c r="I31" s="32"/>
      <c r="J31" s="33"/>
      <c r="K31" s="33"/>
      <c r="L31" s="17"/>
      <c r="M31" s="34"/>
      <c r="N31" s="17"/>
      <c r="O31" s="35"/>
      <c r="P31" s="35"/>
      <c r="Q31" s="30"/>
      <c r="R31" s="30"/>
      <c r="S31" s="22"/>
      <c r="T31" s="15"/>
      <c r="U31" s="23"/>
      <c r="V31" s="1"/>
      <c r="W31" s="15"/>
      <c r="X31" s="39"/>
      <c r="Y31" s="40"/>
      <c r="Z31" s="15"/>
      <c r="AA31" s="15"/>
      <c r="AB31" s="41"/>
      <c r="AC31" s="28"/>
      <c r="AD31" s="40"/>
      <c r="AE31" s="44"/>
      <c r="AF31" s="44"/>
      <c r="AG31" s="26"/>
    </row>
    <row r="32" spans="1:33" ht="15.75" customHeight="1" x14ac:dyDescent="0.2">
      <c r="A32" s="15" t="s">
        <v>59</v>
      </c>
      <c r="B32" s="15"/>
      <c r="C32" s="16">
        <f>IFERROR(F32/D32," - ")</f>
        <v>19.989999999999998</v>
      </c>
      <c r="D32" s="17">
        <v>1</v>
      </c>
      <c r="E32" s="17">
        <v>0</v>
      </c>
      <c r="F32" s="18">
        <v>19.989999999999998</v>
      </c>
      <c r="G32" s="18">
        <v>0</v>
      </c>
      <c r="H32" s="32">
        <f>G32/F32*-1</f>
        <v>0</v>
      </c>
      <c r="I32" s="32">
        <f>J32/F32</f>
        <v>0.11498015097826682</v>
      </c>
      <c r="J32" s="33">
        <f>F32*0.85+G32+AF32*D32+D32*AE32+AG32+AD32</f>
        <v>2.2984532180555535</v>
      </c>
      <c r="K32" s="33">
        <f>J32/D32</f>
        <v>2.2984532180555535</v>
      </c>
      <c r="L32" s="17">
        <v>10</v>
      </c>
      <c r="M32" s="34">
        <f>IFERROR(D32/L32,"-")</f>
        <v>0.1</v>
      </c>
      <c r="N32" s="17">
        <v>97</v>
      </c>
      <c r="O32" s="35">
        <f t="shared" ref="O32:P32" si="1">D32/7</f>
        <v>0.14285714285714285</v>
      </c>
      <c r="P32" s="35">
        <f t="shared" si="1"/>
        <v>0</v>
      </c>
      <c r="Q32" s="30">
        <f>ROUNDDOWN(N32/(O32+P32),0)</f>
        <v>679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4.1237113402061848E-2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>IFERROR(W32/D32,0)</f>
        <v>0</v>
      </c>
      <c r="Y32" s="40">
        <f>IFERROR(G32/(W32+Z32)*-1,0)</f>
        <v>0</v>
      </c>
      <c r="Z32" s="15">
        <v>0</v>
      </c>
      <c r="AA32" s="15" t="s">
        <v>58</v>
      </c>
      <c r="AB32" s="41">
        <f>IF(OR(AA32="UsLargeStandardSize",AA32="UsSmallStandardSize"),-0.69,-0.48)</f>
        <v>-0.69</v>
      </c>
      <c r="AC32" s="28">
        <v>0.3427875231481482</v>
      </c>
      <c r="AD32" s="40">
        <f>IFERROR(AB32*AC32*D32*2,0)</f>
        <v>-0.47304678194444449</v>
      </c>
      <c r="AE32" s="26">
        <v>-7.48</v>
      </c>
      <c r="AF32" s="49">
        <v>-6.74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2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</row>
    <row r="225" spans="1:33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</row>
    <row r="226" spans="1:33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</row>
    <row r="227" spans="1:33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</row>
    <row r="228" spans="1:33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</row>
    <row r="229" spans="1:33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</row>
    <row r="230" spans="1:33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</row>
    <row r="231" spans="1:33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</row>
    <row r="232" spans="1:33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</row>
    <row r="233" spans="1:33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</row>
    <row r="234" spans="1:33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</row>
    <row r="235" spans="1:33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</row>
    <row r="236" spans="1:33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</row>
    <row r="237" spans="1:33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</row>
    <row r="238" spans="1:33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</row>
    <row r="239" spans="1:33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</row>
    <row r="240" spans="1:33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</row>
    <row r="241" spans="1:33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</row>
    <row r="242" spans="1:33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</row>
    <row r="243" spans="1:33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</row>
    <row r="244" spans="1:33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</row>
    <row r="245" spans="1:33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</row>
    <row r="246" spans="1:33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</row>
    <row r="247" spans="1:33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</row>
    <row r="248" spans="1:33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</row>
    <row r="249" spans="1:33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</row>
    <row r="250" spans="1:33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</row>
    <row r="251" spans="1:33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</row>
    <row r="252" spans="1:33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</row>
    <row r="253" spans="1:33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</row>
    <row r="254" spans="1:33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</row>
    <row r="255" spans="1:33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</row>
    <row r="256" spans="1:33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</row>
    <row r="257" spans="1:33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</row>
    <row r="258" spans="1:33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</row>
    <row r="259" spans="1:33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</row>
    <row r="260" spans="1:33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</row>
    <row r="261" spans="1:33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</row>
    <row r="262" spans="1:33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</row>
    <row r="263" spans="1:33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</row>
    <row r="264" spans="1:33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</row>
    <row r="265" spans="1:33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</row>
    <row r="266" spans="1:33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</row>
    <row r="267" spans="1:33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</row>
    <row r="268" spans="1:33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</row>
    <row r="269" spans="1:33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</row>
    <row r="270" spans="1:33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</row>
    <row r="271" spans="1:33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</row>
    <row r="272" spans="1:33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</row>
    <row r="273" spans="1:33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</row>
    <row r="274" spans="1:33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</row>
    <row r="275" spans="1:33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</row>
    <row r="276" spans="1:33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</row>
    <row r="277" spans="1:33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</row>
    <row r="278" spans="1:33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</row>
    <row r="279" spans="1:33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</row>
    <row r="280" spans="1:33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</row>
    <row r="281" spans="1:33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</row>
    <row r="282" spans="1:33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</row>
    <row r="283" spans="1:33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</row>
    <row r="284" spans="1:33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</row>
    <row r="285" spans="1:33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</row>
    <row r="286" spans="1:33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</row>
    <row r="287" spans="1:33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</row>
    <row r="288" spans="1:33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</row>
    <row r="289" spans="1:33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</row>
    <row r="290" spans="1:33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</row>
    <row r="291" spans="1:33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</row>
    <row r="292" spans="1:33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</row>
    <row r="293" spans="1:33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</row>
    <row r="294" spans="1:33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</row>
    <row r="295" spans="1:33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</row>
    <row r="296" spans="1:33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</row>
    <row r="297" spans="1:33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</row>
    <row r="298" spans="1:33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</row>
    <row r="299" spans="1:33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</row>
    <row r="300" spans="1:33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</row>
    <row r="301" spans="1:33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</row>
    <row r="302" spans="1:33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</row>
    <row r="303" spans="1:33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</row>
    <row r="304" spans="1:33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</row>
    <row r="305" spans="1:33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</row>
    <row r="306" spans="1:33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</row>
    <row r="307" spans="1:33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</row>
    <row r="308" spans="1:33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</row>
    <row r="309" spans="1:33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</row>
    <row r="310" spans="1:33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</row>
    <row r="311" spans="1:33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</row>
    <row r="312" spans="1:33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</row>
    <row r="313" spans="1:33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</row>
    <row r="314" spans="1:33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</row>
    <row r="315" spans="1:33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</row>
    <row r="316" spans="1:33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</row>
    <row r="317" spans="1:33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</row>
    <row r="318" spans="1:33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</row>
    <row r="319" spans="1:33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</row>
    <row r="320" spans="1:33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</row>
    <row r="321" spans="1:33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</row>
    <row r="322" spans="1:33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</row>
    <row r="323" spans="1:33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</row>
    <row r="324" spans="1:33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</row>
    <row r="325" spans="1:33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</row>
    <row r="326" spans="1:33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</row>
    <row r="327" spans="1:33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</row>
    <row r="328" spans="1:33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</row>
    <row r="329" spans="1:33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</row>
    <row r="330" spans="1:33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</row>
    <row r="331" spans="1:33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</row>
    <row r="332" spans="1:33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</row>
    <row r="333" spans="1:33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</row>
    <row r="334" spans="1:33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</row>
    <row r="335" spans="1:33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</row>
    <row r="336" spans="1:33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</row>
    <row r="337" spans="1:33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</row>
    <row r="338" spans="1:33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</row>
    <row r="339" spans="1:33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</row>
    <row r="340" spans="1:33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</row>
    <row r="341" spans="1:33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</row>
    <row r="342" spans="1:33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</row>
    <row r="343" spans="1:33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</row>
    <row r="344" spans="1:33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</row>
    <row r="345" spans="1:33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</row>
    <row r="346" spans="1:33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</row>
    <row r="347" spans="1:33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</row>
    <row r="348" spans="1:33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</row>
    <row r="349" spans="1:33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</row>
    <row r="350" spans="1:33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</row>
    <row r="351" spans="1:33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</row>
    <row r="352" spans="1:33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</row>
    <row r="353" spans="1:33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</row>
    <row r="354" spans="1:33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</row>
    <row r="355" spans="1:33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</row>
    <row r="356" spans="1:33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</row>
    <row r="357" spans="1:33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</row>
    <row r="358" spans="1:33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</row>
    <row r="359" spans="1:33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</row>
    <row r="360" spans="1:33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</row>
    <row r="361" spans="1:33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</row>
    <row r="362" spans="1:33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</row>
    <row r="363" spans="1:33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</row>
    <row r="364" spans="1:33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</row>
    <row r="365" spans="1:33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</row>
    <row r="366" spans="1:33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</row>
    <row r="367" spans="1:33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</row>
    <row r="368" spans="1:33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</row>
    <row r="369" spans="1:33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</row>
    <row r="370" spans="1:33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</row>
    <row r="371" spans="1:33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</row>
    <row r="372" spans="1:33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</row>
    <row r="373" spans="1:33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</row>
    <row r="374" spans="1:33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</row>
    <row r="375" spans="1:33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</row>
    <row r="376" spans="1:33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</row>
    <row r="377" spans="1:33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</row>
    <row r="378" spans="1:33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</row>
    <row r="379" spans="1:33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</row>
    <row r="380" spans="1:33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</row>
    <row r="381" spans="1:33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</row>
    <row r="382" spans="1:33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</row>
    <row r="383" spans="1:33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</row>
    <row r="384" spans="1:33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</row>
    <row r="385" spans="1:33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</row>
    <row r="386" spans="1:33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</row>
    <row r="387" spans="1:33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</row>
    <row r="388" spans="1:33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</row>
    <row r="389" spans="1:33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</row>
    <row r="390" spans="1:33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</row>
    <row r="391" spans="1:33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</row>
    <row r="392" spans="1:33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</row>
    <row r="393" spans="1:33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</row>
    <row r="394" spans="1:33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</row>
    <row r="395" spans="1:33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</row>
    <row r="396" spans="1:33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</row>
    <row r="397" spans="1:33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</row>
    <row r="398" spans="1:33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</row>
    <row r="399" spans="1:33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</row>
    <row r="400" spans="1:33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</row>
    <row r="401" spans="1:33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</row>
    <row r="402" spans="1:33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</row>
    <row r="403" spans="1:33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</row>
    <row r="404" spans="1:33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</row>
    <row r="405" spans="1:33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</row>
    <row r="406" spans="1:33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</row>
    <row r="407" spans="1:33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</row>
    <row r="408" spans="1:33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</row>
    <row r="409" spans="1:33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</row>
    <row r="410" spans="1:33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</row>
    <row r="411" spans="1:33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</row>
    <row r="412" spans="1:33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</row>
    <row r="413" spans="1:33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</row>
    <row r="414" spans="1:33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</row>
    <row r="415" spans="1:33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</row>
    <row r="416" spans="1:33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</row>
    <row r="417" spans="1:33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</row>
    <row r="418" spans="1:33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</row>
    <row r="419" spans="1:33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</row>
    <row r="420" spans="1:33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</row>
    <row r="421" spans="1:33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</row>
    <row r="422" spans="1:33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</row>
    <row r="423" spans="1:33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</row>
    <row r="424" spans="1:33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</row>
    <row r="425" spans="1:33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</row>
    <row r="426" spans="1:33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</row>
    <row r="427" spans="1:33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</row>
    <row r="428" spans="1:33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</row>
    <row r="429" spans="1:33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</row>
    <row r="430" spans="1:33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</row>
    <row r="431" spans="1:33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</row>
    <row r="432" spans="1:33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</row>
    <row r="433" spans="1:33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</row>
    <row r="434" spans="1:33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</row>
    <row r="435" spans="1:33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</row>
    <row r="436" spans="1:33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</row>
    <row r="437" spans="1:33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</row>
    <row r="438" spans="1:33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</row>
    <row r="439" spans="1:33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</row>
    <row r="440" spans="1:33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</row>
    <row r="441" spans="1:33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</row>
    <row r="442" spans="1:33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</row>
    <row r="443" spans="1:33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</row>
    <row r="444" spans="1:33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</row>
    <row r="445" spans="1:33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</row>
    <row r="446" spans="1:33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47" spans="1:33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</row>
    <row r="448" spans="1:33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</row>
    <row r="449" spans="1:33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</row>
    <row r="450" spans="1:33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</row>
    <row r="451" spans="1:33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</row>
    <row r="452" spans="1:33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</row>
    <row r="453" spans="1:33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</row>
    <row r="454" spans="1:33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</row>
    <row r="455" spans="1:33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</row>
    <row r="456" spans="1:33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</row>
    <row r="457" spans="1:33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</row>
    <row r="458" spans="1:33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</row>
    <row r="459" spans="1:33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</row>
    <row r="460" spans="1:33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</row>
    <row r="461" spans="1:33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</row>
    <row r="462" spans="1:33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</row>
    <row r="463" spans="1:33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</row>
    <row r="464" spans="1:33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</row>
    <row r="465" spans="1:33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</row>
    <row r="466" spans="1:33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</row>
    <row r="467" spans="1:33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</row>
    <row r="468" spans="1:33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</row>
    <row r="469" spans="1:33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</row>
    <row r="470" spans="1:33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</row>
    <row r="471" spans="1:33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</row>
    <row r="472" spans="1:33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</row>
    <row r="473" spans="1:33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</row>
    <row r="474" spans="1:33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</row>
    <row r="475" spans="1:33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</row>
    <row r="476" spans="1:33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</row>
    <row r="477" spans="1:33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</row>
    <row r="478" spans="1:33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</row>
    <row r="479" spans="1:33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</row>
    <row r="480" spans="1:33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</row>
    <row r="481" spans="1:33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</row>
    <row r="482" spans="1:33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</row>
    <row r="483" spans="1:33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</row>
    <row r="484" spans="1:33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</row>
    <row r="485" spans="1:33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</row>
    <row r="486" spans="1:33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</row>
    <row r="487" spans="1:33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</row>
    <row r="488" spans="1:33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</row>
    <row r="489" spans="1:33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</row>
    <row r="490" spans="1:33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</row>
    <row r="491" spans="1:33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</row>
    <row r="492" spans="1:33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</row>
    <row r="493" spans="1:33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</row>
    <row r="494" spans="1:33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</row>
    <row r="495" spans="1:33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</row>
    <row r="496" spans="1:33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1:33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1:33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1:33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1:33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1:33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1:33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1:33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1:33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1:33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1:33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1:33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1:33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1:33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1:33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1:33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1:33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3" spans="1:33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</row>
    <row r="514" spans="1:33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</row>
    <row r="515" spans="1:33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</row>
    <row r="516" spans="1:33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</row>
    <row r="517" spans="1:33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</row>
    <row r="518" spans="1:33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</row>
    <row r="519" spans="1:33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</row>
    <row r="520" spans="1:33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</row>
    <row r="521" spans="1:33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</row>
    <row r="522" spans="1:33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</row>
    <row r="523" spans="1:33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</row>
    <row r="524" spans="1:33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</row>
    <row r="525" spans="1:33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</row>
    <row r="526" spans="1:33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</row>
    <row r="527" spans="1:33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</row>
    <row r="528" spans="1:33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</row>
    <row r="529" spans="1:33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</row>
    <row r="530" spans="1:33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</row>
    <row r="531" spans="1:33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</row>
    <row r="532" spans="1:33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</row>
    <row r="533" spans="1:33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</row>
    <row r="534" spans="1:33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</row>
    <row r="535" spans="1:33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</row>
    <row r="536" spans="1:33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</row>
    <row r="537" spans="1:33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</row>
    <row r="538" spans="1:33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</row>
    <row r="539" spans="1:33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</row>
    <row r="540" spans="1:33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</row>
    <row r="541" spans="1:33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</row>
    <row r="542" spans="1:33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</row>
    <row r="543" spans="1:33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</row>
    <row r="544" spans="1:33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</row>
    <row r="545" spans="1:33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</row>
    <row r="546" spans="1:33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</row>
    <row r="547" spans="1:33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</row>
    <row r="548" spans="1:33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</row>
    <row r="549" spans="1:33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</row>
    <row r="550" spans="1:33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</row>
    <row r="551" spans="1:33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</row>
    <row r="552" spans="1:33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</row>
    <row r="553" spans="1:33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</row>
    <row r="554" spans="1:33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</row>
    <row r="555" spans="1:33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</row>
    <row r="556" spans="1:33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</row>
    <row r="557" spans="1:33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</row>
    <row r="558" spans="1:33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</row>
    <row r="559" spans="1:33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</row>
    <row r="560" spans="1:33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</row>
    <row r="561" spans="1:33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</row>
    <row r="562" spans="1:33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</row>
    <row r="563" spans="1:33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</row>
    <row r="564" spans="1:33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</row>
    <row r="565" spans="1:33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</row>
    <row r="566" spans="1:33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</row>
    <row r="567" spans="1:33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</row>
    <row r="568" spans="1:33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</row>
    <row r="569" spans="1:33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</row>
    <row r="570" spans="1:33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</row>
    <row r="571" spans="1:33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</row>
    <row r="572" spans="1:33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</row>
    <row r="573" spans="1:33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</row>
    <row r="574" spans="1:33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</row>
    <row r="575" spans="1:33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</row>
    <row r="576" spans="1:33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</row>
    <row r="577" spans="1:33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</row>
    <row r="578" spans="1:33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</row>
    <row r="579" spans="1:33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</row>
    <row r="580" spans="1:33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</row>
    <row r="581" spans="1:33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</row>
    <row r="582" spans="1:33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</row>
    <row r="583" spans="1:33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</row>
    <row r="584" spans="1:33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</row>
    <row r="585" spans="1:33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</row>
    <row r="586" spans="1:33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</row>
    <row r="587" spans="1:33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</row>
    <row r="588" spans="1:33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</row>
    <row r="589" spans="1:33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</row>
    <row r="590" spans="1:33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</row>
    <row r="591" spans="1:33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</row>
    <row r="592" spans="1:33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</row>
    <row r="593" spans="1:33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</row>
    <row r="594" spans="1:33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</row>
    <row r="595" spans="1:33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</row>
    <row r="596" spans="1:33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</row>
    <row r="597" spans="1:33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</row>
    <row r="598" spans="1:33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</row>
    <row r="599" spans="1:33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</row>
    <row r="600" spans="1:33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</row>
    <row r="601" spans="1:33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</row>
    <row r="602" spans="1:33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</row>
    <row r="603" spans="1:33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</row>
    <row r="604" spans="1:33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</row>
    <row r="605" spans="1:33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</row>
    <row r="606" spans="1:33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</row>
    <row r="607" spans="1:33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</row>
    <row r="608" spans="1:33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</row>
    <row r="609" spans="1:33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</row>
    <row r="610" spans="1:33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</row>
    <row r="611" spans="1:33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</row>
    <row r="612" spans="1:33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</row>
    <row r="613" spans="1:33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</row>
    <row r="614" spans="1:33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</row>
    <row r="615" spans="1:33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</row>
    <row r="616" spans="1:33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</row>
    <row r="617" spans="1:33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</row>
    <row r="618" spans="1:33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</row>
    <row r="619" spans="1:33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</row>
    <row r="620" spans="1:33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</row>
    <row r="621" spans="1:33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</row>
    <row r="622" spans="1:33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</row>
    <row r="623" spans="1:33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</row>
    <row r="624" spans="1:33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</row>
    <row r="625" spans="1:33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</row>
    <row r="626" spans="1:33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</row>
    <row r="627" spans="1:33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</row>
    <row r="628" spans="1:33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</row>
    <row r="629" spans="1:33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</row>
    <row r="630" spans="1:33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</row>
    <row r="631" spans="1:33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</row>
    <row r="632" spans="1:33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</row>
    <row r="633" spans="1:33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</row>
    <row r="634" spans="1:33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</row>
    <row r="635" spans="1:33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</row>
    <row r="636" spans="1:33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</row>
    <row r="637" spans="1:33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</row>
    <row r="638" spans="1:33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</row>
    <row r="639" spans="1:33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</row>
    <row r="640" spans="1:33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</row>
    <row r="641" spans="1:33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</row>
    <row r="642" spans="1:33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</row>
    <row r="643" spans="1:33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</row>
    <row r="644" spans="1:33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</row>
    <row r="645" spans="1:33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</row>
    <row r="646" spans="1:33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</row>
    <row r="647" spans="1:33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</row>
    <row r="648" spans="1:33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</row>
    <row r="649" spans="1:33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</row>
    <row r="650" spans="1:33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</row>
    <row r="651" spans="1:33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</row>
    <row r="652" spans="1:33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</row>
    <row r="653" spans="1:33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</row>
    <row r="654" spans="1:33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</row>
    <row r="655" spans="1:33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</row>
    <row r="656" spans="1:33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</row>
    <row r="657" spans="1:33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</row>
    <row r="658" spans="1:33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</row>
    <row r="659" spans="1:33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</row>
    <row r="660" spans="1:33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</row>
    <row r="661" spans="1:33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</row>
    <row r="662" spans="1:33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</row>
    <row r="663" spans="1:33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</row>
    <row r="664" spans="1:33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</row>
    <row r="665" spans="1:33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</row>
    <row r="666" spans="1:33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</row>
    <row r="667" spans="1:33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</row>
    <row r="668" spans="1:33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</row>
    <row r="669" spans="1:33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</row>
    <row r="670" spans="1:33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</row>
    <row r="671" spans="1:33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</row>
    <row r="672" spans="1:33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</row>
    <row r="673" spans="1:33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</row>
    <row r="674" spans="1:33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</row>
    <row r="675" spans="1:33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</row>
    <row r="676" spans="1:33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</row>
    <row r="677" spans="1:33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</row>
    <row r="678" spans="1:33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</row>
    <row r="679" spans="1:33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</row>
    <row r="680" spans="1:33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</row>
    <row r="681" spans="1:33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</row>
    <row r="682" spans="1:33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</row>
    <row r="683" spans="1:33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</row>
    <row r="684" spans="1:33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</row>
    <row r="685" spans="1:33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</row>
    <row r="686" spans="1:33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</row>
    <row r="687" spans="1:33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</row>
    <row r="688" spans="1:33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</row>
    <row r="689" spans="1:33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</row>
    <row r="690" spans="1:33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</row>
    <row r="691" spans="1:33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</row>
    <row r="692" spans="1:33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</row>
    <row r="693" spans="1:33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</row>
    <row r="694" spans="1:33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</row>
    <row r="695" spans="1:33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</row>
    <row r="696" spans="1:33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</row>
    <row r="697" spans="1:33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</row>
    <row r="698" spans="1:33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</row>
    <row r="699" spans="1:33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</row>
    <row r="700" spans="1:33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</row>
    <row r="701" spans="1:33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</row>
    <row r="702" spans="1:33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</row>
    <row r="703" spans="1:33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</row>
    <row r="704" spans="1:33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</row>
    <row r="705" spans="1:33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</row>
    <row r="706" spans="1:33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</row>
    <row r="707" spans="1:33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</row>
    <row r="708" spans="1:33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</row>
    <row r="709" spans="1:33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</row>
    <row r="710" spans="1:33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</row>
    <row r="711" spans="1:33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</row>
    <row r="712" spans="1:33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</row>
    <row r="713" spans="1:33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</row>
    <row r="714" spans="1:33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</row>
    <row r="715" spans="1:33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</row>
    <row r="716" spans="1:33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</row>
    <row r="717" spans="1:33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</row>
    <row r="718" spans="1:33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</row>
    <row r="719" spans="1:33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</row>
    <row r="720" spans="1:33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</row>
    <row r="721" spans="1:33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</row>
    <row r="722" spans="1:33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</row>
    <row r="723" spans="1:33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</row>
    <row r="724" spans="1:33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</row>
    <row r="725" spans="1:33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</row>
    <row r="726" spans="1:33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</row>
    <row r="727" spans="1:33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</row>
    <row r="728" spans="1:33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</row>
    <row r="729" spans="1:33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</row>
    <row r="730" spans="1:33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</row>
    <row r="731" spans="1:33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</row>
    <row r="732" spans="1:33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</row>
    <row r="733" spans="1:33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</row>
    <row r="734" spans="1:33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</row>
    <row r="735" spans="1:33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</row>
    <row r="736" spans="1:33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</row>
    <row r="737" spans="1:33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</row>
    <row r="738" spans="1:33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</row>
    <row r="739" spans="1:33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</row>
    <row r="740" spans="1:33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</row>
    <row r="741" spans="1:33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</row>
    <row r="742" spans="1:33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</row>
    <row r="743" spans="1:33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</row>
    <row r="744" spans="1:33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</row>
    <row r="745" spans="1:33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</row>
    <row r="746" spans="1:33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</row>
    <row r="747" spans="1:33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</row>
    <row r="748" spans="1:33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</row>
    <row r="749" spans="1:33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</row>
    <row r="750" spans="1:33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</row>
    <row r="751" spans="1:33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</row>
    <row r="752" spans="1:33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</row>
    <row r="753" spans="1:33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</row>
    <row r="754" spans="1:33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</row>
    <row r="755" spans="1:33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</row>
    <row r="756" spans="1:33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</row>
    <row r="757" spans="1:33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</row>
    <row r="758" spans="1:33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</row>
    <row r="759" spans="1:33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</row>
    <row r="760" spans="1:33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</row>
    <row r="761" spans="1:33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</row>
    <row r="762" spans="1:33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</row>
    <row r="763" spans="1:33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</row>
    <row r="764" spans="1:33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</row>
    <row r="765" spans="1:33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</row>
    <row r="766" spans="1:33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</row>
    <row r="767" spans="1:33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</row>
    <row r="768" spans="1:33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</row>
    <row r="769" spans="1:33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</row>
    <row r="770" spans="1:33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</row>
    <row r="771" spans="1:33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</row>
    <row r="772" spans="1:33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</row>
    <row r="773" spans="1:33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</row>
    <row r="774" spans="1:33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</row>
    <row r="775" spans="1:33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</row>
    <row r="776" spans="1:33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</row>
    <row r="777" spans="1:33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</row>
    <row r="778" spans="1:33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</row>
    <row r="779" spans="1:33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</row>
    <row r="780" spans="1:33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</row>
    <row r="781" spans="1:33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</row>
    <row r="782" spans="1:33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</row>
    <row r="783" spans="1:33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</row>
    <row r="784" spans="1:33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</row>
    <row r="785" spans="1:33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</row>
    <row r="786" spans="1:33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</row>
    <row r="787" spans="1:33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</row>
    <row r="788" spans="1:33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</row>
    <row r="789" spans="1:33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</row>
    <row r="790" spans="1:33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</row>
    <row r="791" spans="1:33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</row>
    <row r="792" spans="1:33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</row>
    <row r="793" spans="1:33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</row>
    <row r="794" spans="1:33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</row>
    <row r="795" spans="1:33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</row>
    <row r="796" spans="1:33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</row>
    <row r="797" spans="1:33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</row>
    <row r="798" spans="1:33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</row>
    <row r="799" spans="1:33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</row>
    <row r="800" spans="1:33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</row>
    <row r="801" spans="1:33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</row>
    <row r="802" spans="1:33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</row>
    <row r="803" spans="1:33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</row>
    <row r="804" spans="1:33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</row>
    <row r="805" spans="1:33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</row>
    <row r="806" spans="1:33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</row>
    <row r="807" spans="1:33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</row>
    <row r="808" spans="1:33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</row>
    <row r="809" spans="1:33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</row>
    <row r="810" spans="1:33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</row>
    <row r="811" spans="1:33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</row>
    <row r="812" spans="1:33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</row>
    <row r="813" spans="1:33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</row>
    <row r="814" spans="1:33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</row>
    <row r="815" spans="1:33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</row>
    <row r="816" spans="1:33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</row>
    <row r="817" spans="1:33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</row>
    <row r="818" spans="1:33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</row>
    <row r="819" spans="1:33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</row>
    <row r="820" spans="1:33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</row>
    <row r="821" spans="1:33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</row>
    <row r="822" spans="1:33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</row>
    <row r="823" spans="1:33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</row>
    <row r="824" spans="1:33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</row>
    <row r="825" spans="1:33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</row>
    <row r="826" spans="1:33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</row>
    <row r="827" spans="1:33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</row>
    <row r="828" spans="1:33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</row>
    <row r="829" spans="1:33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</row>
    <row r="830" spans="1:33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</row>
    <row r="831" spans="1:33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</row>
    <row r="832" spans="1:33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</row>
    <row r="833" spans="1:33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</row>
    <row r="834" spans="1:33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</row>
    <row r="835" spans="1:33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</row>
    <row r="836" spans="1:33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</row>
    <row r="837" spans="1:33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</row>
    <row r="838" spans="1:33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</row>
    <row r="839" spans="1:33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</row>
    <row r="840" spans="1:33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</row>
    <row r="841" spans="1:33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</row>
    <row r="842" spans="1:33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</row>
    <row r="843" spans="1:33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</row>
    <row r="844" spans="1:33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</row>
    <row r="845" spans="1:33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</row>
    <row r="846" spans="1:33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</row>
    <row r="847" spans="1:33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</row>
    <row r="848" spans="1:33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</row>
    <row r="849" spans="1:33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</row>
    <row r="850" spans="1:33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</row>
    <row r="851" spans="1:33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</row>
    <row r="852" spans="1:33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</row>
    <row r="853" spans="1:33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</row>
    <row r="854" spans="1:33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</row>
    <row r="855" spans="1:33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</row>
    <row r="856" spans="1:33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</row>
    <row r="857" spans="1:33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</row>
    <row r="858" spans="1:33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</row>
    <row r="859" spans="1:33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</row>
    <row r="860" spans="1:33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</row>
    <row r="861" spans="1:33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</row>
    <row r="862" spans="1:33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</row>
    <row r="863" spans="1:33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</row>
    <row r="864" spans="1:33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</row>
    <row r="865" spans="1:33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</row>
    <row r="866" spans="1:33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</row>
    <row r="867" spans="1:33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</row>
    <row r="868" spans="1:33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</row>
    <row r="869" spans="1:33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</row>
    <row r="870" spans="1:33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</row>
    <row r="871" spans="1:33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</row>
    <row r="872" spans="1:33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</row>
    <row r="873" spans="1:33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</row>
    <row r="874" spans="1:33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</row>
    <row r="875" spans="1:33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</row>
    <row r="876" spans="1:33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</row>
    <row r="877" spans="1:33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</row>
    <row r="878" spans="1:33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</row>
    <row r="879" spans="1:33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</row>
    <row r="880" spans="1:33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</row>
    <row r="881" spans="1:33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</row>
    <row r="882" spans="1:33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</row>
    <row r="883" spans="1:33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</row>
    <row r="884" spans="1:33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</row>
    <row r="885" spans="1:33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</row>
    <row r="886" spans="1:33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</row>
    <row r="887" spans="1:33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</row>
    <row r="888" spans="1:33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</row>
    <row r="889" spans="1:33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</row>
    <row r="890" spans="1:33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</row>
    <row r="891" spans="1:33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</row>
    <row r="892" spans="1:33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</row>
    <row r="893" spans="1:33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</row>
    <row r="894" spans="1:33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</row>
    <row r="895" spans="1:33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</row>
    <row r="896" spans="1:33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</row>
    <row r="897" spans="1:33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</row>
    <row r="898" spans="1:33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</row>
    <row r="899" spans="1:33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</row>
    <row r="900" spans="1:33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</row>
    <row r="901" spans="1:33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</row>
    <row r="902" spans="1:33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</row>
    <row r="903" spans="1:33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</row>
    <row r="904" spans="1:33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</row>
    <row r="905" spans="1:33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</row>
    <row r="906" spans="1:33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</row>
    <row r="907" spans="1:33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</row>
    <row r="908" spans="1:33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</row>
    <row r="909" spans="1:33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</row>
    <row r="910" spans="1:33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</row>
    <row r="911" spans="1:33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</row>
    <row r="912" spans="1:33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</row>
    <row r="913" spans="1:33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</row>
    <row r="914" spans="1:33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</row>
    <row r="915" spans="1:33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</row>
    <row r="916" spans="1:33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</row>
    <row r="917" spans="1:33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</row>
    <row r="918" spans="1:33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</row>
    <row r="919" spans="1:33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</row>
    <row r="920" spans="1:33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</row>
    <row r="921" spans="1:33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</row>
    <row r="922" spans="1:33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</row>
    <row r="923" spans="1:33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</row>
    <row r="924" spans="1:33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</row>
    <row r="925" spans="1:33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</row>
    <row r="926" spans="1:33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</row>
    <row r="927" spans="1:33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</row>
    <row r="928" spans="1:33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</row>
    <row r="929" spans="1:33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</row>
    <row r="930" spans="1:33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</row>
    <row r="931" spans="1:33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</row>
    <row r="932" spans="1:33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</row>
    <row r="933" spans="1:33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</row>
    <row r="934" spans="1:33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</row>
    <row r="935" spans="1:33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</row>
    <row r="936" spans="1:33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</row>
    <row r="937" spans="1:33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</row>
    <row r="938" spans="1:33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</row>
    <row r="939" spans="1:33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</row>
    <row r="940" spans="1:33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</row>
    <row r="941" spans="1:33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</row>
    <row r="942" spans="1:33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</row>
    <row r="943" spans="1:33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</row>
    <row r="944" spans="1:33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</row>
    <row r="945" spans="1:33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</row>
    <row r="946" spans="1:33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</row>
    <row r="947" spans="1:33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</row>
    <row r="948" spans="1:33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</row>
    <row r="949" spans="1:33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</row>
    <row r="950" spans="1:33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</row>
    <row r="951" spans="1:33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</row>
    <row r="952" spans="1:33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</row>
    <row r="953" spans="1:33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</row>
    <row r="954" spans="1:33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</row>
    <row r="955" spans="1:33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</row>
    <row r="956" spans="1:33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</row>
    <row r="957" spans="1:33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</row>
    <row r="958" spans="1:33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</row>
    <row r="959" spans="1:33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</row>
    <row r="960" spans="1:33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</row>
    <row r="961" spans="1:33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</row>
    <row r="962" spans="1:33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</row>
    <row r="963" spans="1:33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</row>
    <row r="964" spans="1:33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</row>
    <row r="965" spans="1:33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</row>
    <row r="966" spans="1:33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</row>
    <row r="967" spans="1:33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</row>
    <row r="968" spans="1:33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</row>
    <row r="969" spans="1:33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</row>
    <row r="970" spans="1:33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</row>
    <row r="971" spans="1:33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</row>
    <row r="972" spans="1:33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</row>
    <row r="973" spans="1:33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</row>
    <row r="974" spans="1:33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</row>
    <row r="975" spans="1:33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</row>
    <row r="976" spans="1:33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</row>
    <row r="977" spans="1:33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</row>
    <row r="978" spans="1:33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</row>
    <row r="979" spans="1:33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</row>
    <row r="980" spans="1:33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</row>
    <row r="981" spans="1:33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</row>
    <row r="982" spans="1:33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</row>
    <row r="983" spans="1:33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</row>
    <row r="984" spans="1:33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</row>
    <row r="985" spans="1:33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</row>
    <row r="986" spans="1:33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</row>
    <row r="987" spans="1:33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</row>
    <row r="988" spans="1:33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</row>
    <row r="989" spans="1:33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</row>
    <row r="990" spans="1:33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</row>
    <row r="991" spans="1:33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</row>
    <row r="992" spans="1:33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</row>
    <row r="993" spans="1:33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</row>
    <row r="994" spans="1:33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</row>
    <row r="995" spans="1:33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</row>
    <row r="996" spans="1:33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</row>
    <row r="997" spans="1:33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</row>
    <row r="998" spans="1:33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</row>
    <row r="999" spans="1:33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</row>
    <row r="1000" spans="1:33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Hunter Green &amp; Navy Blue")</f>
        <v>Corn Filled Cornhole Bags - Set of 8 Bean Bags for Corn Hole Game - Hunter Green &amp; Navy Blue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Info!B1:BJ7000""),2,FALSE),"""")"),"B07MWJSB1V")</f>
        <v>B07MWJSB1V</v>
      </c>
      <c r="B2" s="47" t="s">
        <v>223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15.027689710294119</v>
      </c>
      <c r="D3" s="5">
        <f>SUM(D4:D99765)</f>
        <v>0</v>
      </c>
      <c r="E3" s="5"/>
      <c r="F3" s="6">
        <f t="shared" ref="F3:G3" si="0">SUM(F4:F99765)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SUM(J4:J99765)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SUM(AD4:AD99765)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Info!B2:BZ7000""),36,FALSE)),"""")*-1"),-5.45353625375)</f>
        <v>-5.4535362537500003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-5.5571024358974359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56</v>
      </c>
      <c r="V5" s="38" t="s">
        <v>56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56</v>
      </c>
      <c r="V6" s="38" t="s">
        <v>63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56</v>
      </c>
      <c r="V7" s="38" t="s">
        <v>63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56</v>
      </c>
      <c r="V11" s="38" t="s">
        <v>56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56</v>
      </c>
      <c r="V12" s="38" t="s">
        <v>56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56</v>
      </c>
      <c r="V13" s="38" t="s">
        <v>56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56</v>
      </c>
      <c r="V14" s="38" t="s">
        <v>56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56</v>
      </c>
      <c r="V15" s="38" t="s">
        <v>56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56</v>
      </c>
      <c r="V16" s="38" t="s">
        <v>56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-6.196205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56</v>
      </c>
      <c r="V17" s="38" t="s">
        <v>56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-6.196205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56</v>
      </c>
      <c r="V18" s="38" t="s">
        <v>56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-6.196205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56</v>
      </c>
      <c r="V19" s="38" t="s">
        <v>56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-6.196205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56</v>
      </c>
      <c r="V20" s="38" t="s">
        <v>56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-6.196205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56</v>
      </c>
      <c r="V21" s="38" t="s">
        <v>56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-6.196205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56</v>
      </c>
      <c r="V22" s="38" t="s">
        <v>56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-6.196205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56</v>
      </c>
      <c r="V23" s="38" t="s">
        <v>56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-6.196205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56</v>
      </c>
      <c r="V24" s="38" t="s">
        <v>56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58</v>
      </c>
      <c r="AB24" s="41">
        <f t="shared" si="11"/>
        <v>-0.69</v>
      </c>
      <c r="AC24" s="28">
        <v>7.2792274305555557E-2</v>
      </c>
      <c r="AD24" s="40">
        <f t="shared" si="12"/>
        <v>0</v>
      </c>
      <c r="AE24" s="26">
        <v>-7.32</v>
      </c>
      <c r="AF24" s="40">
        <v>-6.196205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7.2792274305555557E-2</v>
      </c>
      <c r="AD25" s="40">
        <f t="shared" si="12"/>
        <v>0</v>
      </c>
      <c r="AE25" s="40">
        <v>-7.32</v>
      </c>
      <c r="AF25" s="40">
        <v>-6.2</v>
      </c>
      <c r="AG25" s="40">
        <v>0</v>
      </c>
    </row>
    <row r="26" spans="1:33" ht="15.75" customHeight="1" x14ac:dyDescent="0.2">
      <c r="A26" s="15" t="s">
        <v>54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0</v>
      </c>
      <c r="U26" s="23" t="s">
        <v>56</v>
      </c>
      <c r="V26" s="1" t="s">
        <v>56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7.2792274305555557E-2</v>
      </c>
      <c r="AD26" s="40">
        <f t="shared" si="12"/>
        <v>0</v>
      </c>
      <c r="AE26" s="26">
        <v>-7.32</v>
      </c>
      <c r="AF26" s="26">
        <v>-6.196205</v>
      </c>
      <c r="AG26" s="26">
        <v>0</v>
      </c>
    </row>
    <row r="27" spans="1:33" ht="15.75" customHeight="1" x14ac:dyDescent="0.2">
      <c r="A27" s="15" t="s">
        <v>74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15">
        <v>0</v>
      </c>
      <c r="U27" s="23" t="s">
        <v>56</v>
      </c>
      <c r="V27" s="1" t="s">
        <v>56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7.2792274305555557E-2</v>
      </c>
      <c r="AD27" s="40">
        <f t="shared" si="12"/>
        <v>0</v>
      </c>
      <c r="AE27" s="26">
        <v>-7.32</v>
      </c>
      <c r="AF27" s="26">
        <v>-6.196205</v>
      </c>
      <c r="AG27" s="26">
        <v>0</v>
      </c>
    </row>
    <row r="28" spans="1:33" ht="15.75" customHeight="1" x14ac:dyDescent="0.2">
      <c r="A28" s="15" t="s">
        <v>75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>
        <v>0</v>
      </c>
      <c r="U28" s="23" t="s">
        <v>56</v>
      </c>
      <c r="V28" s="1" t="s">
        <v>56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7.2792274305555557E-2</v>
      </c>
      <c r="AD28" s="40">
        <f t="shared" si="12"/>
        <v>0</v>
      </c>
      <c r="AE28" s="26">
        <v>-7.32</v>
      </c>
      <c r="AF28" s="26">
        <v>-6.196205</v>
      </c>
      <c r="AG28" s="26">
        <v>0</v>
      </c>
    </row>
    <row r="29" spans="1:33" ht="15.75" customHeight="1" x14ac:dyDescent="0.2">
      <c r="A29" s="15" t="s">
        <v>77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0</v>
      </c>
      <c r="U29" s="23" t="s">
        <v>56</v>
      </c>
      <c r="V29" s="1" t="s">
        <v>56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7.2792274305555557E-2</v>
      </c>
      <c r="AD29" s="40">
        <f t="shared" si="12"/>
        <v>0</v>
      </c>
      <c r="AE29" s="26">
        <v>-7.32</v>
      </c>
      <c r="AF29" s="26">
        <v>-6.196205</v>
      </c>
      <c r="AG29" s="26">
        <v>0</v>
      </c>
    </row>
    <row r="30" spans="1:33" ht="15.75" customHeight="1" x14ac:dyDescent="0.2">
      <c r="A30" s="15" t="s">
        <v>78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7.2792274305555557E-2</v>
      </c>
      <c r="AD30" s="40">
        <f t="shared" si="12"/>
        <v>0</v>
      </c>
      <c r="AE30" s="26">
        <v>-7.32</v>
      </c>
      <c r="AF30" s="26">
        <v>-5.4535362537500003</v>
      </c>
      <c r="AG30" s="26">
        <v>0</v>
      </c>
    </row>
    <row r="31" spans="1:33" ht="15.75" customHeight="1" x14ac:dyDescent="0.2">
      <c r="A31" s="15" t="s">
        <v>55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56</v>
      </c>
      <c r="U31" s="23" t="s">
        <v>56</v>
      </c>
      <c r="V31" s="1" t="s">
        <v>56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7.2792274305555557E-2</v>
      </c>
      <c r="AD31" s="40">
        <f t="shared" si="12"/>
        <v>0</v>
      </c>
      <c r="AE31" s="44">
        <v>-7.32</v>
      </c>
      <c r="AF31" s="44">
        <v>-5.4535362537499994</v>
      </c>
      <c r="AG31" s="26">
        <v>0</v>
      </c>
    </row>
    <row r="32" spans="1:33" ht="15.75" customHeight="1" x14ac:dyDescent="0.2">
      <c r="A32" s="15" t="s">
        <v>59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7.2792274305555557E-2</v>
      </c>
      <c r="AD32" s="40">
        <f t="shared" si="12"/>
        <v>0</v>
      </c>
      <c r="AE32" s="26">
        <v>-7.32</v>
      </c>
      <c r="AF32" s="26">
        <v>-5.4535362537500003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Light Blue &amp; Black")</f>
        <v>Corn Filled Cornhole Bags - Set of 8 Bean Bags for Corn Hole Game - Light Blue &amp; Black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Info!B1:BJ7000""),2,FALSE),"""")"),"B07MWJP679")</f>
        <v>B07MWJP679</v>
      </c>
      <c r="B2" s="47" t="s">
        <v>224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15.311607357352942</v>
      </c>
      <c r="D3" s="5">
        <f>SUM(D4:D99765)</f>
        <v>23</v>
      </c>
      <c r="E3" s="5"/>
      <c r="F3" s="6">
        <f t="shared" ref="F3:G3" si="0">SUM(F4:F99765)</f>
        <v>428.77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0.11037227874209948</v>
      </c>
      <c r="J3" s="6">
        <f>SUM(J4:J99765)</f>
        <v>47.324321956249996</v>
      </c>
      <c r="K3" s="6">
        <f t="shared" ref="K3:K32" si="3">J3/D3</f>
        <v>2.0575792154891301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1.5 - May
2 - June
2.5 - July
2 - Aug
1.5 - Sept
1 - Oct
0 - Nov
0 - Dec
0.1 - Jan
0.1 - Feb")</f>
        <v>0.5 - March
0.5 - April
1.5 - May
2 - June
2.5 - July
2 - Aug
1.5 - Sept
1 -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-7.3908917599999988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100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-5.8782224358974364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200</v>
      </c>
      <c r="U5" s="37">
        <v>100</v>
      </c>
      <c r="V5" s="38" t="s">
        <v>81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-5.8782224358974364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200</v>
      </c>
      <c r="U6" s="37">
        <v>100</v>
      </c>
      <c r="V6" s="38" t="s">
        <v>82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-5.8782224358974364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200</v>
      </c>
      <c r="U7" s="37">
        <v>100</v>
      </c>
      <c r="V7" s="38" t="s">
        <v>83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-5.8782224358974364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100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-5.88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100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-6.2314275641025603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100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-6.2314275641025603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256</v>
      </c>
      <c r="U11" s="37">
        <v>100</v>
      </c>
      <c r="V11" s="38" t="s">
        <v>225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-6.2314275641025603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100</v>
      </c>
      <c r="U12" s="37">
        <v>100</v>
      </c>
      <c r="V12" s="38" t="s">
        <v>86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-6.3186070512820498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100</v>
      </c>
      <c r="U13" s="37">
        <v>100</v>
      </c>
      <c r="V13" s="38" t="s">
        <v>87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-6.5173249999999996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100</v>
      </c>
      <c r="U14" s="37">
        <v>100</v>
      </c>
      <c r="V14" s="38" t="s">
        <v>88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-6.5173249999999996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100</v>
      </c>
      <c r="U15" s="37">
        <v>100</v>
      </c>
      <c r="V15" s="38" t="s">
        <v>89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-6.5173249999999996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100</v>
      </c>
      <c r="U16" s="37">
        <v>100</v>
      </c>
      <c r="V16" s="38" t="s">
        <v>89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-6.5775350000000001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100</v>
      </c>
      <c r="U17" s="37">
        <v>100</v>
      </c>
      <c r="V17" s="38" t="s">
        <v>89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-6.5775350000000001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292</v>
      </c>
      <c r="U18" s="37">
        <v>80</v>
      </c>
      <c r="V18" s="38" t="s">
        <v>226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-6.5775350000000001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292</v>
      </c>
      <c r="U19" s="37">
        <v>80</v>
      </c>
      <c r="V19" s="38" t="s">
        <v>226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292</v>
      </c>
      <c r="U20" s="37">
        <v>80</v>
      </c>
      <c r="V20" s="38" t="s">
        <v>226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292</v>
      </c>
      <c r="U21" s="37">
        <v>80</v>
      </c>
      <c r="V21" s="38" t="s">
        <v>226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292</v>
      </c>
      <c r="U22" s="37">
        <v>80</v>
      </c>
      <c r="V22" s="38" t="s">
        <v>227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292</v>
      </c>
      <c r="U23" s="37">
        <v>80</v>
      </c>
      <c r="V23" s="38" t="s">
        <v>227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292</v>
      </c>
      <c r="U24" s="37">
        <v>80</v>
      </c>
      <c r="V24" s="38" t="s">
        <v>228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58</v>
      </c>
      <c r="AB24" s="41">
        <f t="shared" si="11"/>
        <v>-0.69</v>
      </c>
      <c r="AC24" s="28">
        <v>0.23285733333333331</v>
      </c>
      <c r="AD24" s="40">
        <f t="shared" si="12"/>
        <v>0</v>
      </c>
      <c r="AE24" s="26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0.23285733333333331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 t="s">
        <v>229</v>
      </c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84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260</v>
      </c>
      <c r="U26" s="23">
        <v>48</v>
      </c>
      <c r="V26" s="1" t="s">
        <v>190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0.23285733333333331</v>
      </c>
      <c r="AD26" s="40">
        <f t="shared" si="12"/>
        <v>0</v>
      </c>
      <c r="AE26" s="26">
        <v>-7.18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48">
        <v>18.989999999999998</v>
      </c>
      <c r="C27" s="16">
        <f t="shared" si="4"/>
        <v>19.989999999999998</v>
      </c>
      <c r="D27" s="17">
        <v>1</v>
      </c>
      <c r="E27" s="17">
        <v>0</v>
      </c>
      <c r="F27" s="18">
        <v>19.989999999999998</v>
      </c>
      <c r="G27" s="18">
        <v>0</v>
      </c>
      <c r="H27" s="32">
        <f t="shared" si="1"/>
        <v>0</v>
      </c>
      <c r="I27" s="32">
        <f t="shared" si="2"/>
        <v>0.14570394597298639</v>
      </c>
      <c r="J27" s="33">
        <f t="shared" si="5"/>
        <v>2.9126218799999979</v>
      </c>
      <c r="K27" s="33">
        <f t="shared" si="3"/>
        <v>2.9126218799999979</v>
      </c>
      <c r="L27" s="17">
        <v>11</v>
      </c>
      <c r="M27" s="34">
        <f t="shared" si="6"/>
        <v>9.0909090909090912E-2</v>
      </c>
      <c r="N27" s="17">
        <v>84</v>
      </c>
      <c r="O27" s="35">
        <f t="shared" ref="O27:P27" si="35">D27/7</f>
        <v>0.14285714285714285</v>
      </c>
      <c r="P27" s="35">
        <f t="shared" si="35"/>
        <v>0</v>
      </c>
      <c r="Q27" s="30">
        <f t="shared" si="8"/>
        <v>588</v>
      </c>
      <c r="R27" s="30"/>
      <c r="S27" s="22">
        <v>0</v>
      </c>
      <c r="T27" s="15">
        <v>260</v>
      </c>
      <c r="U27" s="23">
        <v>48</v>
      </c>
      <c r="V27" s="1" t="s">
        <v>190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0.23285733333333331</v>
      </c>
      <c r="AD27" s="40">
        <f t="shared" si="12"/>
        <v>-0.32134311999999993</v>
      </c>
      <c r="AE27" s="26">
        <v>-7.18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/>
      <c r="C28" s="16">
        <f t="shared" si="4"/>
        <v>19.156666666666666</v>
      </c>
      <c r="D28" s="17">
        <v>6</v>
      </c>
      <c r="E28" s="17">
        <v>1</v>
      </c>
      <c r="F28" s="18">
        <v>114.94</v>
      </c>
      <c r="G28" s="18">
        <v>0</v>
      </c>
      <c r="H28" s="32">
        <f t="shared" si="1"/>
        <v>0</v>
      </c>
      <c r="I28" s="32">
        <f t="shared" si="2"/>
        <v>0.11506639359665914</v>
      </c>
      <c r="J28" s="33">
        <f t="shared" si="5"/>
        <v>13.225731280000002</v>
      </c>
      <c r="K28" s="33">
        <f t="shared" si="3"/>
        <v>2.2042885466666671</v>
      </c>
      <c r="L28" s="17">
        <v>11</v>
      </c>
      <c r="M28" s="34">
        <f t="shared" si="6"/>
        <v>0.54545454545454541</v>
      </c>
      <c r="N28" s="17">
        <v>63</v>
      </c>
      <c r="O28" s="35">
        <f t="shared" ref="O28:P28" si="36">D28/7</f>
        <v>0.8571428571428571</v>
      </c>
      <c r="P28" s="35">
        <f t="shared" si="36"/>
        <v>0.14285714285714285</v>
      </c>
      <c r="Q28" s="30">
        <f t="shared" si="8"/>
        <v>63</v>
      </c>
      <c r="R28" s="30"/>
      <c r="S28" s="22">
        <v>0.19047619047619049</v>
      </c>
      <c r="T28" s="15">
        <v>260</v>
      </c>
      <c r="U28" s="23">
        <v>48</v>
      </c>
      <c r="V28" s="1" t="s">
        <v>190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0.23285733333333331</v>
      </c>
      <c r="AD28" s="40">
        <f t="shared" si="12"/>
        <v>-1.9280587199999997</v>
      </c>
      <c r="AE28" s="26">
        <v>-7.18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 t="s">
        <v>230</v>
      </c>
      <c r="C29" s="16">
        <f t="shared" si="4"/>
        <v>18.990000000000002</v>
      </c>
      <c r="D29" s="17">
        <v>7</v>
      </c>
      <c r="E29" s="17">
        <v>2</v>
      </c>
      <c r="F29" s="18">
        <v>132.93</v>
      </c>
      <c r="G29" s="18">
        <v>0</v>
      </c>
      <c r="H29" s="32">
        <f t="shared" si="1"/>
        <v>0</v>
      </c>
      <c r="I29" s="32">
        <f t="shared" si="2"/>
        <v>0.10861621274354925</v>
      </c>
      <c r="J29" s="33">
        <f t="shared" si="5"/>
        <v>14.438353160000004</v>
      </c>
      <c r="K29" s="33">
        <f t="shared" si="3"/>
        <v>2.0626218800000005</v>
      </c>
      <c r="L29" s="17">
        <v>9</v>
      </c>
      <c r="M29" s="34">
        <f t="shared" si="6"/>
        <v>0.77777777777777779</v>
      </c>
      <c r="N29" s="17">
        <v>66</v>
      </c>
      <c r="O29" s="35">
        <f t="shared" ref="O29:P29" si="37">D29/7</f>
        <v>1</v>
      </c>
      <c r="P29" s="35">
        <f t="shared" si="37"/>
        <v>0.2857142857142857</v>
      </c>
      <c r="Q29" s="30">
        <f t="shared" si="8"/>
        <v>51</v>
      </c>
      <c r="R29" s="30"/>
      <c r="S29" s="22">
        <v>0.95238095238095233</v>
      </c>
      <c r="T29" s="15">
        <v>260</v>
      </c>
      <c r="U29" s="23">
        <v>48</v>
      </c>
      <c r="V29" s="1" t="s">
        <v>193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0.23285733333333331</v>
      </c>
      <c r="AD29" s="40">
        <f t="shared" si="12"/>
        <v>-2.2494018399999995</v>
      </c>
      <c r="AE29" s="26">
        <v>-7.18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48">
        <v>16.989999999999998</v>
      </c>
      <c r="C30" s="16">
        <f t="shared" si="4"/>
        <v>18.989999999999998</v>
      </c>
      <c r="D30" s="17">
        <v>1</v>
      </c>
      <c r="E30" s="17">
        <v>0</v>
      </c>
      <c r="F30" s="18">
        <v>18.989999999999998</v>
      </c>
      <c r="G30" s="18">
        <v>0</v>
      </c>
      <c r="H30" s="32">
        <f t="shared" si="1"/>
        <v>0</v>
      </c>
      <c r="I30" s="32">
        <f t="shared" si="2"/>
        <v>0.14772462486835161</v>
      </c>
      <c r="J30" s="33">
        <f t="shared" si="5"/>
        <v>2.805290626249997</v>
      </c>
      <c r="K30" s="33">
        <f t="shared" si="3"/>
        <v>2.805290626249997</v>
      </c>
      <c r="L30" s="17">
        <v>2</v>
      </c>
      <c r="M30" s="34">
        <f t="shared" si="6"/>
        <v>0.5</v>
      </c>
      <c r="N30" s="17">
        <v>64</v>
      </c>
      <c r="O30" s="35">
        <f t="shared" ref="O30:P30" si="38">D30/7</f>
        <v>0.14285714285714285</v>
      </c>
      <c r="P30" s="35">
        <f t="shared" si="38"/>
        <v>0</v>
      </c>
      <c r="Q30" s="30">
        <f t="shared" si="8"/>
        <v>448</v>
      </c>
      <c r="R30" s="30"/>
      <c r="S30" s="22">
        <v>1.046153846153846</v>
      </c>
      <c r="T30" s="29">
        <v>260</v>
      </c>
      <c r="U30" s="37">
        <v>48</v>
      </c>
      <c r="V30" s="38" t="s">
        <v>193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0.23285733333333331</v>
      </c>
      <c r="AD30" s="40">
        <f t="shared" si="12"/>
        <v>-0.32134311999999993</v>
      </c>
      <c r="AE30" s="26">
        <v>-7.18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4"/>
        <v>17.847142857142853</v>
      </c>
      <c r="D31" s="17">
        <v>7</v>
      </c>
      <c r="E31" s="17">
        <v>0</v>
      </c>
      <c r="F31" s="18">
        <v>124.92999999999998</v>
      </c>
      <c r="G31" s="43">
        <v>0</v>
      </c>
      <c r="H31" s="32">
        <f t="shared" si="1"/>
        <v>0</v>
      </c>
      <c r="I31" s="32">
        <f t="shared" si="2"/>
        <v>0.10275381720763624</v>
      </c>
      <c r="J31" s="33">
        <f t="shared" si="5"/>
        <v>12.837034383749993</v>
      </c>
      <c r="K31" s="33">
        <f t="shared" si="3"/>
        <v>1.8338620548214275</v>
      </c>
      <c r="L31" s="17">
        <v>17</v>
      </c>
      <c r="M31" s="34">
        <f t="shared" si="6"/>
        <v>0.41176470588235292</v>
      </c>
      <c r="N31" s="17">
        <v>58</v>
      </c>
      <c r="O31" s="35">
        <f t="shared" ref="O31:P31" si="39">D31/7</f>
        <v>1</v>
      </c>
      <c r="P31" s="35">
        <f t="shared" si="39"/>
        <v>0</v>
      </c>
      <c r="Q31" s="30">
        <f t="shared" si="8"/>
        <v>58</v>
      </c>
      <c r="R31" s="30"/>
      <c r="S31" s="22">
        <v>0.58333333333333304</v>
      </c>
      <c r="T31" s="15">
        <v>212</v>
      </c>
      <c r="U31" s="23" t="s">
        <v>56</v>
      </c>
      <c r="V31" s="1" t="s">
        <v>231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0.23285733333333331</v>
      </c>
      <c r="AD31" s="40">
        <f t="shared" si="12"/>
        <v>-2.2494018399999995</v>
      </c>
      <c r="AE31" s="44">
        <v>-7.18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16.989999999999998</v>
      </c>
      <c r="D32" s="17">
        <v>1</v>
      </c>
      <c r="E32" s="17">
        <v>1</v>
      </c>
      <c r="F32" s="18">
        <v>16.989999999999998</v>
      </c>
      <c r="G32" s="18">
        <v>0</v>
      </c>
      <c r="H32" s="32">
        <f t="shared" si="1"/>
        <v>0</v>
      </c>
      <c r="I32" s="32">
        <f t="shared" si="2"/>
        <v>6.5055363522660267E-2</v>
      </c>
      <c r="J32" s="33">
        <f t="shared" si="5"/>
        <v>1.1052906262499977</v>
      </c>
      <c r="K32" s="33">
        <f t="shared" si="3"/>
        <v>1.1052906262499977</v>
      </c>
      <c r="L32" s="17">
        <v>10</v>
      </c>
      <c r="M32" s="34">
        <f t="shared" si="6"/>
        <v>0.1</v>
      </c>
      <c r="N32" s="17">
        <v>112</v>
      </c>
      <c r="O32" s="35">
        <f t="shared" ref="O32:P32" si="40">D32/7</f>
        <v>0.14285714285714285</v>
      </c>
      <c r="P32" s="35">
        <f t="shared" si="40"/>
        <v>0.14285714285714285</v>
      </c>
      <c r="Q32" s="30">
        <f t="shared" si="8"/>
        <v>392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0.55958549222797926</v>
      </c>
      <c r="T32" s="15">
        <f ca="1">IFERROR(__xludf.DUMMYFUNCTION("IFERROR(VLOOKUP($B$2,IMPORTRANGE(""https://docs.google.com/spreadsheets/d/1KiWZV1ko8G7lnRucBRBd29jj3Be6ltMfljMDqzOkQmI/edit#gid=1381463014"",""Lookup!A:D""),4,FALSE),"""")"),212)</f>
        <v>212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212 At Factory 50-75 days from Earliest Arrival")</f>
        <v>No Transit, But 212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0.23285733333333331</v>
      </c>
      <c r="AD32" s="40">
        <f t="shared" si="12"/>
        <v>-0.32134311999999993</v>
      </c>
      <c r="AE32" s="26">
        <v>-7.18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Lime Green &amp; Navy Blue")</f>
        <v>Corn Filled Cornhole Bags - Set of 8 Bean Bags for Corn Hole Game - Regulation Size &amp; Weight - Lime Green &amp; Navy Blue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Info!B1:BJ7000""),2,FALSE),"""")"),"B07ZTQ4XX2")</f>
        <v>B07ZTQ4XX2</v>
      </c>
      <c r="B2" s="47" t="s">
        <v>232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16.729411764705883</v>
      </c>
      <c r="D3" s="5">
        <f>SUM(D4:D99765)</f>
        <v>5</v>
      </c>
      <c r="E3" s="5"/>
      <c r="F3" s="6">
        <f t="shared" ref="F3:G3" si="0">SUM(F4:F99765)</f>
        <v>99.949999999999989</v>
      </c>
      <c r="G3" s="6">
        <f t="shared" si="0"/>
        <v>0</v>
      </c>
      <c r="H3" s="7">
        <f>G3/F3*-1</f>
        <v>0</v>
      </c>
      <c r="I3" s="8">
        <f>J3/F3</f>
        <v>0.11616956673128204</v>
      </c>
      <c r="J3" s="6">
        <f>SUM(J4:J99765)</f>
        <v>11.611148194791639</v>
      </c>
      <c r="K3" s="6">
        <f>J3/D3</f>
        <v>2.3222296389583277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-2.2463518052083336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hidden="1" customHeight="1" x14ac:dyDescent="0.2">
      <c r="A4" s="15" t="s">
        <v>32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35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36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37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38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39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40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41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42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43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44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45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46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47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48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49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50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51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52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"/>
      <c r="AB24" s="41"/>
      <c r="AC24" s="28"/>
      <c r="AD24" s="40"/>
      <c r="AE24" s="26"/>
      <c r="AF24" s="40"/>
      <c r="AG24" s="40"/>
    </row>
    <row r="25" spans="1:33" ht="15.75" hidden="1" customHeight="1" x14ac:dyDescent="0.2">
      <c r="A25" s="29" t="s">
        <v>53</v>
      </c>
      <c r="B25" s="15"/>
      <c r="C25" s="16"/>
      <c r="D25" s="30"/>
      <c r="E25" s="30"/>
      <c r="F25" s="33"/>
      <c r="G25" s="33"/>
      <c r="H25" s="32"/>
      <c r="I25" s="32"/>
      <c r="J25" s="33"/>
      <c r="K25" s="33"/>
      <c r="L25" s="30"/>
      <c r="M25" s="34"/>
      <c r="N25" s="30"/>
      <c r="O25" s="35"/>
      <c r="P25" s="35"/>
      <c r="Q25" s="30"/>
      <c r="R25" s="30"/>
      <c r="S25" s="36"/>
      <c r="T25" s="15"/>
      <c r="U25" s="23"/>
      <c r="V25" s="1"/>
      <c r="W25" s="15"/>
      <c r="X25" s="39"/>
      <c r="Y25" s="40"/>
      <c r="Z25" s="15"/>
      <c r="AA25" s="29"/>
      <c r="AB25" s="41"/>
      <c r="AC25" s="42"/>
      <c r="AD25" s="40"/>
      <c r="AE25" s="40"/>
      <c r="AF25" s="40"/>
      <c r="AG25" s="40"/>
    </row>
    <row r="26" spans="1:33" ht="15.75" hidden="1" customHeight="1" x14ac:dyDescent="0.2">
      <c r="A26" s="15" t="s">
        <v>54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15"/>
      <c r="U26" s="23"/>
      <c r="V26" s="1"/>
      <c r="W26" s="15"/>
      <c r="X26" s="39"/>
      <c r="Y26" s="40"/>
      <c r="Z26" s="15"/>
      <c r="AA26" s="29"/>
      <c r="AB26" s="41"/>
      <c r="AC26" s="42"/>
      <c r="AD26" s="40"/>
      <c r="AE26" s="26"/>
      <c r="AF26" s="26"/>
      <c r="AG26" s="26"/>
    </row>
    <row r="27" spans="1:33" ht="15.75" hidden="1" customHeight="1" x14ac:dyDescent="0.2">
      <c r="A27" s="15" t="s">
        <v>74</v>
      </c>
      <c r="B27" s="15"/>
      <c r="C27" s="16"/>
      <c r="D27" s="17"/>
      <c r="E27" s="17"/>
      <c r="F27" s="18"/>
      <c r="G27" s="18"/>
      <c r="H27" s="32"/>
      <c r="I27" s="32"/>
      <c r="J27" s="33"/>
      <c r="K27" s="33"/>
      <c r="L27" s="17"/>
      <c r="M27" s="34"/>
      <c r="N27" s="17"/>
      <c r="O27" s="35"/>
      <c r="P27" s="35"/>
      <c r="Q27" s="30"/>
      <c r="R27" s="30"/>
      <c r="S27" s="22"/>
      <c r="T27" s="15"/>
      <c r="U27" s="23"/>
      <c r="V27" s="1"/>
      <c r="W27" s="15"/>
      <c r="X27" s="39"/>
      <c r="Y27" s="40"/>
      <c r="Z27" s="15"/>
      <c r="AA27" s="29"/>
      <c r="AB27" s="41"/>
      <c r="AC27" s="42"/>
      <c r="AD27" s="40"/>
      <c r="AE27" s="26"/>
      <c r="AF27" s="26"/>
      <c r="AG27" s="26"/>
    </row>
    <row r="28" spans="1:33" ht="15.75" hidden="1" customHeight="1" x14ac:dyDescent="0.2">
      <c r="A28" s="15" t="s">
        <v>75</v>
      </c>
      <c r="B28" s="15"/>
      <c r="C28" s="16"/>
      <c r="D28" s="17"/>
      <c r="E28" s="17"/>
      <c r="F28" s="18"/>
      <c r="G28" s="18"/>
      <c r="H28" s="32"/>
      <c r="I28" s="32"/>
      <c r="J28" s="33"/>
      <c r="K28" s="33"/>
      <c r="L28" s="17"/>
      <c r="M28" s="34"/>
      <c r="N28" s="17"/>
      <c r="O28" s="35"/>
      <c r="P28" s="35"/>
      <c r="Q28" s="30"/>
      <c r="R28" s="30"/>
      <c r="S28" s="22"/>
      <c r="T28" s="15"/>
      <c r="U28" s="23"/>
      <c r="V28" s="1"/>
      <c r="W28" s="15"/>
      <c r="X28" s="39"/>
      <c r="Y28" s="40"/>
      <c r="Z28" s="15"/>
      <c r="AA28" s="29"/>
      <c r="AB28" s="41"/>
      <c r="AC28" s="42"/>
      <c r="AD28" s="40"/>
      <c r="AE28" s="26"/>
      <c r="AF28" s="26"/>
      <c r="AG28" s="26"/>
    </row>
    <row r="29" spans="1:33" ht="15.75" hidden="1" customHeight="1" x14ac:dyDescent="0.2">
      <c r="A29" s="15" t="s">
        <v>77</v>
      </c>
      <c r="B29" s="15"/>
      <c r="C29" s="16"/>
      <c r="D29" s="17"/>
      <c r="E29" s="17"/>
      <c r="F29" s="18"/>
      <c r="G29" s="18"/>
      <c r="H29" s="32"/>
      <c r="I29" s="32"/>
      <c r="J29" s="33"/>
      <c r="K29" s="33"/>
      <c r="L29" s="17"/>
      <c r="M29" s="34"/>
      <c r="N29" s="17"/>
      <c r="O29" s="35"/>
      <c r="P29" s="35"/>
      <c r="Q29" s="30"/>
      <c r="R29" s="30"/>
      <c r="S29" s="22"/>
      <c r="T29" s="15"/>
      <c r="U29" s="23"/>
      <c r="V29" s="1"/>
      <c r="W29" s="15"/>
      <c r="X29" s="39"/>
      <c r="Y29" s="40"/>
      <c r="Z29" s="15"/>
      <c r="AA29" s="29"/>
      <c r="AB29" s="41"/>
      <c r="AC29" s="42"/>
      <c r="AD29" s="40"/>
      <c r="AE29" s="26"/>
      <c r="AF29" s="26"/>
      <c r="AG29" s="26"/>
    </row>
    <row r="30" spans="1:33" ht="15.75" hidden="1" customHeight="1" x14ac:dyDescent="0.2">
      <c r="A30" s="15" t="s">
        <v>78</v>
      </c>
      <c r="B30" s="48"/>
      <c r="C30" s="16"/>
      <c r="D30" s="17"/>
      <c r="E30" s="17"/>
      <c r="F30" s="18"/>
      <c r="G30" s="18"/>
      <c r="H30" s="32"/>
      <c r="I30" s="32"/>
      <c r="J30" s="33"/>
      <c r="K30" s="33"/>
      <c r="L30" s="17"/>
      <c r="M30" s="34"/>
      <c r="N30" s="17"/>
      <c r="O30" s="35"/>
      <c r="P30" s="35"/>
      <c r="Q30" s="30"/>
      <c r="R30" s="30"/>
      <c r="S30" s="22"/>
      <c r="T30" s="29"/>
      <c r="U30" s="37"/>
      <c r="V30" s="38"/>
      <c r="W30" s="15"/>
      <c r="X30" s="39"/>
      <c r="Y30" s="40"/>
      <c r="Z30" s="15"/>
      <c r="AA30" s="29"/>
      <c r="AB30" s="41"/>
      <c r="AC30" s="42"/>
      <c r="AD30" s="40"/>
      <c r="AE30" s="26"/>
      <c r="AF30" s="26"/>
      <c r="AG30" s="26"/>
    </row>
    <row r="31" spans="1:33" ht="15.75" customHeight="1" x14ac:dyDescent="0.2">
      <c r="A31" s="15" t="s">
        <v>55</v>
      </c>
      <c r="B31" s="15"/>
      <c r="C31" s="50"/>
      <c r="D31" s="17"/>
      <c r="E31" s="17"/>
      <c r="F31" s="18"/>
      <c r="G31" s="43"/>
      <c r="H31" s="32"/>
      <c r="I31" s="32"/>
      <c r="J31" s="33"/>
      <c r="K31" s="33"/>
      <c r="L31" s="17"/>
      <c r="M31" s="34"/>
      <c r="N31" s="17"/>
      <c r="O31" s="35"/>
      <c r="P31" s="35"/>
      <c r="Q31" s="30"/>
      <c r="R31" s="30"/>
      <c r="S31" s="22"/>
      <c r="T31" s="15"/>
      <c r="U31" s="23"/>
      <c r="V31" s="1"/>
      <c r="W31" s="15"/>
      <c r="X31" s="39"/>
      <c r="Y31" s="40"/>
      <c r="Z31" s="15"/>
      <c r="AA31" s="15"/>
      <c r="AB31" s="41"/>
      <c r="AC31" s="28"/>
      <c r="AD31" s="40"/>
      <c r="AE31" s="44"/>
      <c r="AF31" s="44"/>
      <c r="AG31" s="26"/>
    </row>
    <row r="32" spans="1:33" ht="15.75" customHeight="1" x14ac:dyDescent="0.2">
      <c r="A32" s="15" t="s">
        <v>59</v>
      </c>
      <c r="B32" s="15"/>
      <c r="C32" s="16">
        <f>IFERROR(F32/D32," - ")</f>
        <v>19.989999999999998</v>
      </c>
      <c r="D32" s="17">
        <v>5</v>
      </c>
      <c r="E32" s="17">
        <v>0</v>
      </c>
      <c r="F32" s="18">
        <v>99.949999999999989</v>
      </c>
      <c r="G32" s="18">
        <v>0</v>
      </c>
      <c r="H32" s="32">
        <f>G32/F32*-1</f>
        <v>0</v>
      </c>
      <c r="I32" s="32">
        <f>J32/F32</f>
        <v>0.11616956673128204</v>
      </c>
      <c r="J32" s="33">
        <f>F32*0.85+G32+AF32*D32+D32*AE32+AG32+AD32</f>
        <v>11.611148194791639</v>
      </c>
      <c r="K32" s="33">
        <f>J32/D32</f>
        <v>2.3222296389583277</v>
      </c>
      <c r="L32" s="17">
        <v>13</v>
      </c>
      <c r="M32" s="34">
        <f>IFERROR(D32/L32,"-")</f>
        <v>0.38461538461538464</v>
      </c>
      <c r="N32" s="17">
        <v>96</v>
      </c>
      <c r="O32" s="35">
        <f t="shared" ref="O32:P32" si="1">D32/7</f>
        <v>0.7142857142857143</v>
      </c>
      <c r="P32" s="35">
        <f t="shared" si="1"/>
        <v>0</v>
      </c>
      <c r="Q32" s="30">
        <f>ROUNDDOWN(N32/(O32+P32),0)</f>
        <v>134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8.1632653061224483E-2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>IFERROR(W32/D32,0)</f>
        <v>0</v>
      </c>
      <c r="Y32" s="40">
        <f>IFERROR(G32/(W32+Z32)*-1,0)</f>
        <v>0</v>
      </c>
      <c r="Z32" s="15">
        <v>0</v>
      </c>
      <c r="AA32" s="15" t="s">
        <v>58</v>
      </c>
      <c r="AB32" s="41">
        <f>IF(OR(AA32="UsLargeStandardSize",AA32="UsSmallStandardSize"),-0.69,-0.48)</f>
        <v>-0.69</v>
      </c>
      <c r="AC32" s="28">
        <v>0.32555823263888894</v>
      </c>
      <c r="AD32" s="40">
        <f>IFERROR(AB32*AC32*D32*2,0)</f>
        <v>-2.2463518052083336</v>
      </c>
      <c r="AE32" s="26">
        <v>-7.48</v>
      </c>
      <c r="AF32" s="49">
        <v>-6.74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2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</row>
    <row r="225" spans="1:33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</row>
    <row r="226" spans="1:33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</row>
    <row r="227" spans="1:33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</row>
    <row r="228" spans="1:33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</row>
    <row r="229" spans="1:33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</row>
    <row r="230" spans="1:33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</row>
    <row r="231" spans="1:33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</row>
    <row r="232" spans="1:33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</row>
    <row r="233" spans="1:33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</row>
    <row r="234" spans="1:33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</row>
    <row r="235" spans="1:33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</row>
    <row r="236" spans="1:33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</row>
    <row r="237" spans="1:33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</row>
    <row r="238" spans="1:33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</row>
    <row r="239" spans="1:33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</row>
    <row r="240" spans="1:33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</row>
    <row r="241" spans="1:33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</row>
    <row r="242" spans="1:33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</row>
    <row r="243" spans="1:33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</row>
    <row r="244" spans="1:33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</row>
    <row r="245" spans="1:33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</row>
    <row r="246" spans="1:33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</row>
    <row r="247" spans="1:33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</row>
    <row r="248" spans="1:33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</row>
    <row r="249" spans="1:33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</row>
    <row r="250" spans="1:33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</row>
    <row r="251" spans="1:33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</row>
    <row r="252" spans="1:33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</row>
    <row r="253" spans="1:33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</row>
    <row r="254" spans="1:33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</row>
    <row r="255" spans="1:33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</row>
    <row r="256" spans="1:33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</row>
    <row r="257" spans="1:33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</row>
    <row r="258" spans="1:33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</row>
    <row r="259" spans="1:33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</row>
    <row r="260" spans="1:33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</row>
    <row r="261" spans="1:33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</row>
    <row r="262" spans="1:33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</row>
    <row r="263" spans="1:33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</row>
    <row r="264" spans="1:33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</row>
    <row r="265" spans="1:33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</row>
    <row r="266" spans="1:33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</row>
    <row r="267" spans="1:33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</row>
    <row r="268" spans="1:33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</row>
    <row r="269" spans="1:33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</row>
    <row r="270" spans="1:33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</row>
    <row r="271" spans="1:33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</row>
    <row r="272" spans="1:33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</row>
    <row r="273" spans="1:33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</row>
    <row r="274" spans="1:33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</row>
    <row r="275" spans="1:33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</row>
    <row r="276" spans="1:33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</row>
    <row r="277" spans="1:33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</row>
    <row r="278" spans="1:33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</row>
    <row r="279" spans="1:33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</row>
    <row r="280" spans="1:33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</row>
    <row r="281" spans="1:33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</row>
    <row r="282" spans="1:33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</row>
    <row r="283" spans="1:33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</row>
    <row r="284" spans="1:33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</row>
    <row r="285" spans="1:33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</row>
    <row r="286" spans="1:33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</row>
    <row r="287" spans="1:33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</row>
    <row r="288" spans="1:33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</row>
    <row r="289" spans="1:33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</row>
    <row r="290" spans="1:33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</row>
    <row r="291" spans="1:33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</row>
    <row r="292" spans="1:33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</row>
    <row r="293" spans="1:33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</row>
    <row r="294" spans="1:33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</row>
    <row r="295" spans="1:33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</row>
    <row r="296" spans="1:33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</row>
    <row r="297" spans="1:33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</row>
    <row r="298" spans="1:33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</row>
    <row r="299" spans="1:33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</row>
    <row r="300" spans="1:33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</row>
    <row r="301" spans="1:33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</row>
    <row r="302" spans="1:33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</row>
    <row r="303" spans="1:33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</row>
    <row r="304" spans="1:33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</row>
    <row r="305" spans="1:33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</row>
    <row r="306" spans="1:33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</row>
    <row r="307" spans="1:33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</row>
    <row r="308" spans="1:33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</row>
    <row r="309" spans="1:33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</row>
    <row r="310" spans="1:33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</row>
    <row r="311" spans="1:33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</row>
    <row r="312" spans="1:33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</row>
    <row r="313" spans="1:33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</row>
    <row r="314" spans="1:33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</row>
    <row r="315" spans="1:33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</row>
    <row r="316" spans="1:33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</row>
    <row r="317" spans="1:33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</row>
    <row r="318" spans="1:33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</row>
    <row r="319" spans="1:33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</row>
    <row r="320" spans="1:33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</row>
    <row r="321" spans="1:33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</row>
    <row r="322" spans="1:33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</row>
    <row r="323" spans="1:33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</row>
    <row r="324" spans="1:33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</row>
    <row r="325" spans="1:33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</row>
    <row r="326" spans="1:33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</row>
    <row r="327" spans="1:33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</row>
    <row r="328" spans="1:33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</row>
    <row r="329" spans="1:33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</row>
    <row r="330" spans="1:33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</row>
    <row r="331" spans="1:33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</row>
    <row r="332" spans="1:33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</row>
    <row r="333" spans="1:33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</row>
    <row r="334" spans="1:33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</row>
    <row r="335" spans="1:33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</row>
    <row r="336" spans="1:33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</row>
    <row r="337" spans="1:33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</row>
    <row r="338" spans="1:33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</row>
    <row r="339" spans="1:33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</row>
    <row r="340" spans="1:33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</row>
    <row r="341" spans="1:33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</row>
    <row r="342" spans="1:33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</row>
    <row r="343" spans="1:33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</row>
    <row r="344" spans="1:33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</row>
    <row r="345" spans="1:33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</row>
    <row r="346" spans="1:33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</row>
    <row r="347" spans="1:33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</row>
    <row r="348" spans="1:33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</row>
    <row r="349" spans="1:33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</row>
    <row r="350" spans="1:33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</row>
    <row r="351" spans="1:33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</row>
    <row r="352" spans="1:33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</row>
    <row r="353" spans="1:33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</row>
    <row r="354" spans="1:33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</row>
    <row r="355" spans="1:33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</row>
    <row r="356" spans="1:33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</row>
    <row r="357" spans="1:33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</row>
    <row r="358" spans="1:33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</row>
    <row r="359" spans="1:33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</row>
    <row r="360" spans="1:33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</row>
    <row r="361" spans="1:33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</row>
    <row r="362" spans="1:33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</row>
    <row r="363" spans="1:33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</row>
    <row r="364" spans="1:33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</row>
    <row r="365" spans="1:33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</row>
    <row r="366" spans="1:33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</row>
    <row r="367" spans="1:33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</row>
    <row r="368" spans="1:33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</row>
    <row r="369" spans="1:33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</row>
    <row r="370" spans="1:33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</row>
    <row r="371" spans="1:33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</row>
    <row r="372" spans="1:33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</row>
    <row r="373" spans="1:33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</row>
    <row r="374" spans="1:33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</row>
    <row r="375" spans="1:33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</row>
    <row r="376" spans="1:33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</row>
    <row r="377" spans="1:33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</row>
    <row r="378" spans="1:33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</row>
    <row r="379" spans="1:33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</row>
    <row r="380" spans="1:33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</row>
    <row r="381" spans="1:33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</row>
    <row r="382" spans="1:33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</row>
    <row r="383" spans="1:33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</row>
    <row r="384" spans="1:33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</row>
    <row r="385" spans="1:33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</row>
    <row r="386" spans="1:33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</row>
    <row r="387" spans="1:33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</row>
    <row r="388" spans="1:33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</row>
    <row r="389" spans="1:33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</row>
    <row r="390" spans="1:33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</row>
    <row r="391" spans="1:33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</row>
    <row r="392" spans="1:33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</row>
    <row r="393" spans="1:33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</row>
    <row r="394" spans="1:33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</row>
    <row r="395" spans="1:33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</row>
    <row r="396" spans="1:33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</row>
    <row r="397" spans="1:33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</row>
    <row r="398" spans="1:33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</row>
    <row r="399" spans="1:33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</row>
    <row r="400" spans="1:33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</row>
    <row r="401" spans="1:33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</row>
    <row r="402" spans="1:33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</row>
    <row r="403" spans="1:33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</row>
    <row r="404" spans="1:33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</row>
    <row r="405" spans="1:33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</row>
    <row r="406" spans="1:33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</row>
    <row r="407" spans="1:33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</row>
    <row r="408" spans="1:33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</row>
    <row r="409" spans="1:33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</row>
    <row r="410" spans="1:33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</row>
    <row r="411" spans="1:33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</row>
    <row r="412" spans="1:33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</row>
    <row r="413" spans="1:33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</row>
    <row r="414" spans="1:33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</row>
    <row r="415" spans="1:33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</row>
    <row r="416" spans="1:33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</row>
    <row r="417" spans="1:33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</row>
    <row r="418" spans="1:33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</row>
    <row r="419" spans="1:33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</row>
    <row r="420" spans="1:33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</row>
    <row r="421" spans="1:33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</row>
    <row r="422" spans="1:33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</row>
    <row r="423" spans="1:33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</row>
    <row r="424" spans="1:33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</row>
    <row r="425" spans="1:33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</row>
    <row r="426" spans="1:33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</row>
    <row r="427" spans="1:33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</row>
    <row r="428" spans="1:33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</row>
    <row r="429" spans="1:33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</row>
    <row r="430" spans="1:33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</row>
    <row r="431" spans="1:33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</row>
    <row r="432" spans="1:33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</row>
    <row r="433" spans="1:33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</row>
    <row r="434" spans="1:33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</row>
    <row r="435" spans="1:33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</row>
    <row r="436" spans="1:33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</row>
    <row r="437" spans="1:33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</row>
    <row r="438" spans="1:33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</row>
    <row r="439" spans="1:33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</row>
    <row r="440" spans="1:33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</row>
    <row r="441" spans="1:33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</row>
    <row r="442" spans="1:33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</row>
    <row r="443" spans="1:33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</row>
    <row r="444" spans="1:33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</row>
    <row r="445" spans="1:33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</row>
    <row r="446" spans="1:33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47" spans="1:33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</row>
    <row r="448" spans="1:33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</row>
    <row r="449" spans="1:33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</row>
    <row r="450" spans="1:33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</row>
    <row r="451" spans="1:33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</row>
    <row r="452" spans="1:33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</row>
    <row r="453" spans="1:33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</row>
    <row r="454" spans="1:33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</row>
    <row r="455" spans="1:33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</row>
    <row r="456" spans="1:33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</row>
    <row r="457" spans="1:33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</row>
    <row r="458" spans="1:33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</row>
    <row r="459" spans="1:33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</row>
    <row r="460" spans="1:33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</row>
    <row r="461" spans="1:33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</row>
    <row r="462" spans="1:33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</row>
    <row r="463" spans="1:33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</row>
    <row r="464" spans="1:33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</row>
    <row r="465" spans="1:33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</row>
    <row r="466" spans="1:33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</row>
    <row r="467" spans="1:33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</row>
    <row r="468" spans="1:33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</row>
    <row r="469" spans="1:33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</row>
    <row r="470" spans="1:33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</row>
    <row r="471" spans="1:33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</row>
    <row r="472" spans="1:33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</row>
    <row r="473" spans="1:33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</row>
    <row r="474" spans="1:33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</row>
    <row r="475" spans="1:33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</row>
    <row r="476" spans="1:33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</row>
    <row r="477" spans="1:33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</row>
    <row r="478" spans="1:33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</row>
    <row r="479" spans="1:33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</row>
    <row r="480" spans="1:33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</row>
    <row r="481" spans="1:33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</row>
    <row r="482" spans="1:33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</row>
    <row r="483" spans="1:33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</row>
    <row r="484" spans="1:33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</row>
    <row r="485" spans="1:33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</row>
    <row r="486" spans="1:33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</row>
    <row r="487" spans="1:33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</row>
    <row r="488" spans="1:33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</row>
    <row r="489" spans="1:33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</row>
    <row r="490" spans="1:33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</row>
    <row r="491" spans="1:33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</row>
    <row r="492" spans="1:33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</row>
    <row r="493" spans="1:33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</row>
    <row r="494" spans="1:33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</row>
    <row r="495" spans="1:33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</row>
    <row r="496" spans="1:33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1:33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1:33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1:33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1:33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1:33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1:33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1:33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1:33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1:33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1:33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1:33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1:33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1:33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1:33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1:33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1:33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3" spans="1:33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</row>
    <row r="514" spans="1:33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</row>
    <row r="515" spans="1:33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</row>
    <row r="516" spans="1:33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</row>
    <row r="517" spans="1:33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</row>
    <row r="518" spans="1:33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</row>
    <row r="519" spans="1:33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</row>
    <row r="520" spans="1:33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</row>
    <row r="521" spans="1:33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</row>
    <row r="522" spans="1:33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</row>
    <row r="523" spans="1:33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</row>
    <row r="524" spans="1:33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</row>
    <row r="525" spans="1:33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</row>
    <row r="526" spans="1:33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</row>
    <row r="527" spans="1:33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</row>
    <row r="528" spans="1:33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</row>
    <row r="529" spans="1:33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</row>
    <row r="530" spans="1:33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</row>
    <row r="531" spans="1:33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</row>
    <row r="532" spans="1:33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</row>
    <row r="533" spans="1:33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</row>
    <row r="534" spans="1:33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</row>
    <row r="535" spans="1:33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</row>
    <row r="536" spans="1:33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</row>
    <row r="537" spans="1:33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</row>
    <row r="538" spans="1:33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</row>
    <row r="539" spans="1:33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</row>
    <row r="540" spans="1:33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</row>
    <row r="541" spans="1:33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</row>
    <row r="542" spans="1:33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</row>
    <row r="543" spans="1:33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</row>
    <row r="544" spans="1:33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</row>
    <row r="545" spans="1:33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</row>
    <row r="546" spans="1:33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</row>
    <row r="547" spans="1:33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</row>
    <row r="548" spans="1:33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</row>
    <row r="549" spans="1:33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</row>
    <row r="550" spans="1:33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</row>
    <row r="551" spans="1:33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</row>
    <row r="552" spans="1:33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</row>
    <row r="553" spans="1:33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</row>
    <row r="554" spans="1:33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</row>
    <row r="555" spans="1:33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</row>
    <row r="556" spans="1:33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</row>
    <row r="557" spans="1:33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</row>
    <row r="558" spans="1:33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</row>
    <row r="559" spans="1:33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</row>
    <row r="560" spans="1:33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</row>
    <row r="561" spans="1:33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</row>
    <row r="562" spans="1:33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</row>
    <row r="563" spans="1:33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</row>
    <row r="564" spans="1:33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</row>
    <row r="565" spans="1:33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</row>
    <row r="566" spans="1:33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</row>
    <row r="567" spans="1:33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</row>
    <row r="568" spans="1:33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</row>
    <row r="569" spans="1:33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</row>
    <row r="570" spans="1:33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</row>
    <row r="571" spans="1:33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</row>
    <row r="572" spans="1:33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</row>
    <row r="573" spans="1:33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</row>
    <row r="574" spans="1:33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</row>
    <row r="575" spans="1:33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</row>
    <row r="576" spans="1:33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</row>
    <row r="577" spans="1:33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</row>
    <row r="578" spans="1:33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</row>
    <row r="579" spans="1:33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</row>
    <row r="580" spans="1:33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</row>
    <row r="581" spans="1:33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</row>
    <row r="582" spans="1:33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</row>
    <row r="583" spans="1:33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</row>
    <row r="584" spans="1:33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</row>
    <row r="585" spans="1:33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</row>
    <row r="586" spans="1:33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</row>
    <row r="587" spans="1:33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</row>
    <row r="588" spans="1:33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</row>
    <row r="589" spans="1:33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</row>
    <row r="590" spans="1:33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</row>
    <row r="591" spans="1:33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</row>
    <row r="592" spans="1:33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</row>
    <row r="593" spans="1:33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</row>
    <row r="594" spans="1:33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</row>
    <row r="595" spans="1:33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</row>
    <row r="596" spans="1:33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</row>
    <row r="597" spans="1:33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</row>
    <row r="598" spans="1:33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</row>
    <row r="599" spans="1:33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</row>
    <row r="600" spans="1:33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</row>
    <row r="601" spans="1:33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</row>
    <row r="602" spans="1:33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</row>
    <row r="603" spans="1:33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</row>
    <row r="604" spans="1:33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</row>
    <row r="605" spans="1:33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</row>
    <row r="606" spans="1:33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</row>
    <row r="607" spans="1:33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</row>
    <row r="608" spans="1:33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</row>
    <row r="609" spans="1:33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</row>
    <row r="610" spans="1:33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</row>
    <row r="611" spans="1:33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</row>
    <row r="612" spans="1:33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</row>
    <row r="613" spans="1:33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</row>
    <row r="614" spans="1:33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</row>
    <row r="615" spans="1:33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</row>
    <row r="616" spans="1:33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</row>
    <row r="617" spans="1:33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</row>
    <row r="618" spans="1:33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</row>
    <row r="619" spans="1:33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</row>
    <row r="620" spans="1:33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</row>
    <row r="621" spans="1:33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</row>
    <row r="622" spans="1:33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</row>
    <row r="623" spans="1:33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</row>
    <row r="624" spans="1:33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</row>
    <row r="625" spans="1:33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</row>
    <row r="626" spans="1:33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</row>
    <row r="627" spans="1:33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</row>
    <row r="628" spans="1:33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</row>
    <row r="629" spans="1:33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</row>
    <row r="630" spans="1:33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</row>
    <row r="631" spans="1:33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</row>
    <row r="632" spans="1:33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</row>
    <row r="633" spans="1:33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</row>
    <row r="634" spans="1:33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</row>
    <row r="635" spans="1:33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</row>
    <row r="636" spans="1:33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</row>
    <row r="637" spans="1:33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</row>
    <row r="638" spans="1:33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</row>
    <row r="639" spans="1:33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</row>
    <row r="640" spans="1:33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</row>
    <row r="641" spans="1:33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</row>
    <row r="642" spans="1:33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</row>
    <row r="643" spans="1:33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</row>
    <row r="644" spans="1:33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</row>
    <row r="645" spans="1:33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</row>
    <row r="646" spans="1:33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</row>
    <row r="647" spans="1:33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</row>
    <row r="648" spans="1:33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</row>
    <row r="649" spans="1:33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</row>
    <row r="650" spans="1:33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</row>
    <row r="651" spans="1:33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</row>
    <row r="652" spans="1:33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</row>
    <row r="653" spans="1:33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</row>
    <row r="654" spans="1:33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</row>
    <row r="655" spans="1:33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</row>
    <row r="656" spans="1:33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</row>
    <row r="657" spans="1:33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</row>
    <row r="658" spans="1:33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</row>
    <row r="659" spans="1:33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</row>
    <row r="660" spans="1:33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</row>
    <row r="661" spans="1:33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</row>
    <row r="662" spans="1:33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</row>
    <row r="663" spans="1:33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</row>
    <row r="664" spans="1:33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</row>
    <row r="665" spans="1:33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</row>
    <row r="666" spans="1:33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</row>
    <row r="667" spans="1:33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</row>
    <row r="668" spans="1:33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</row>
    <row r="669" spans="1:33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</row>
    <row r="670" spans="1:33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</row>
    <row r="671" spans="1:33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</row>
    <row r="672" spans="1:33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</row>
    <row r="673" spans="1:33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</row>
    <row r="674" spans="1:33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</row>
    <row r="675" spans="1:33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</row>
    <row r="676" spans="1:33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</row>
    <row r="677" spans="1:33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</row>
    <row r="678" spans="1:33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</row>
    <row r="679" spans="1:33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</row>
    <row r="680" spans="1:33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</row>
    <row r="681" spans="1:33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</row>
    <row r="682" spans="1:33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</row>
    <row r="683" spans="1:33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</row>
    <row r="684" spans="1:33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</row>
    <row r="685" spans="1:33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</row>
    <row r="686" spans="1:33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</row>
    <row r="687" spans="1:33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</row>
    <row r="688" spans="1:33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</row>
    <row r="689" spans="1:33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</row>
    <row r="690" spans="1:33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</row>
    <row r="691" spans="1:33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</row>
    <row r="692" spans="1:33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</row>
    <row r="693" spans="1:33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</row>
    <row r="694" spans="1:33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</row>
    <row r="695" spans="1:33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</row>
    <row r="696" spans="1:33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</row>
    <row r="697" spans="1:33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</row>
    <row r="698" spans="1:33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</row>
    <row r="699" spans="1:33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</row>
    <row r="700" spans="1:33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</row>
    <row r="701" spans="1:33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</row>
    <row r="702" spans="1:33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</row>
    <row r="703" spans="1:33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</row>
    <row r="704" spans="1:33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</row>
    <row r="705" spans="1:33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</row>
    <row r="706" spans="1:33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</row>
    <row r="707" spans="1:33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</row>
    <row r="708" spans="1:33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</row>
    <row r="709" spans="1:33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</row>
    <row r="710" spans="1:33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</row>
    <row r="711" spans="1:33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</row>
    <row r="712" spans="1:33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</row>
    <row r="713" spans="1:33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</row>
    <row r="714" spans="1:33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</row>
    <row r="715" spans="1:33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</row>
    <row r="716" spans="1:33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</row>
    <row r="717" spans="1:33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</row>
    <row r="718" spans="1:33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</row>
    <row r="719" spans="1:33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</row>
    <row r="720" spans="1:33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</row>
    <row r="721" spans="1:33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</row>
    <row r="722" spans="1:33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</row>
    <row r="723" spans="1:33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</row>
    <row r="724" spans="1:33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</row>
    <row r="725" spans="1:33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</row>
    <row r="726" spans="1:33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</row>
    <row r="727" spans="1:33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</row>
    <row r="728" spans="1:33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</row>
    <row r="729" spans="1:33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</row>
    <row r="730" spans="1:33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</row>
    <row r="731" spans="1:33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</row>
    <row r="732" spans="1:33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</row>
    <row r="733" spans="1:33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</row>
    <row r="734" spans="1:33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</row>
    <row r="735" spans="1:33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</row>
    <row r="736" spans="1:33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</row>
    <row r="737" spans="1:33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</row>
    <row r="738" spans="1:33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</row>
    <row r="739" spans="1:33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</row>
    <row r="740" spans="1:33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</row>
    <row r="741" spans="1:33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</row>
    <row r="742" spans="1:33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</row>
    <row r="743" spans="1:33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</row>
    <row r="744" spans="1:33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</row>
    <row r="745" spans="1:33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</row>
    <row r="746" spans="1:33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</row>
    <row r="747" spans="1:33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</row>
    <row r="748" spans="1:33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</row>
    <row r="749" spans="1:33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</row>
    <row r="750" spans="1:33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</row>
    <row r="751" spans="1:33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</row>
    <row r="752" spans="1:33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</row>
    <row r="753" spans="1:33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</row>
    <row r="754" spans="1:33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</row>
    <row r="755" spans="1:33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</row>
    <row r="756" spans="1:33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</row>
    <row r="757" spans="1:33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</row>
    <row r="758" spans="1:33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</row>
    <row r="759" spans="1:33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</row>
    <row r="760" spans="1:33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</row>
    <row r="761" spans="1:33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</row>
    <row r="762" spans="1:33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</row>
    <row r="763" spans="1:33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</row>
    <row r="764" spans="1:33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</row>
    <row r="765" spans="1:33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</row>
    <row r="766" spans="1:33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</row>
    <row r="767" spans="1:33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</row>
    <row r="768" spans="1:33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</row>
    <row r="769" spans="1:33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</row>
    <row r="770" spans="1:33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</row>
    <row r="771" spans="1:33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</row>
    <row r="772" spans="1:33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</row>
    <row r="773" spans="1:33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</row>
    <row r="774" spans="1:33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</row>
    <row r="775" spans="1:33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</row>
    <row r="776" spans="1:33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</row>
    <row r="777" spans="1:33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</row>
    <row r="778" spans="1:33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</row>
    <row r="779" spans="1:33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</row>
    <row r="780" spans="1:33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</row>
    <row r="781" spans="1:33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</row>
    <row r="782" spans="1:33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</row>
    <row r="783" spans="1:33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</row>
    <row r="784" spans="1:33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</row>
    <row r="785" spans="1:33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</row>
    <row r="786" spans="1:33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</row>
    <row r="787" spans="1:33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</row>
    <row r="788" spans="1:33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</row>
    <row r="789" spans="1:33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</row>
    <row r="790" spans="1:33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</row>
    <row r="791" spans="1:33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</row>
    <row r="792" spans="1:33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</row>
    <row r="793" spans="1:33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</row>
    <row r="794" spans="1:33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</row>
    <row r="795" spans="1:33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</row>
    <row r="796" spans="1:33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</row>
    <row r="797" spans="1:33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</row>
    <row r="798" spans="1:33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</row>
    <row r="799" spans="1:33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</row>
    <row r="800" spans="1:33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</row>
    <row r="801" spans="1:33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</row>
    <row r="802" spans="1:33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</row>
    <row r="803" spans="1:33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</row>
    <row r="804" spans="1:33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</row>
    <row r="805" spans="1:33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</row>
    <row r="806" spans="1:33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</row>
    <row r="807" spans="1:33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</row>
    <row r="808" spans="1:33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</row>
    <row r="809" spans="1:33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</row>
    <row r="810" spans="1:33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</row>
    <row r="811" spans="1:33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</row>
    <row r="812" spans="1:33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</row>
    <row r="813" spans="1:33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</row>
    <row r="814" spans="1:33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</row>
    <row r="815" spans="1:33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</row>
    <row r="816" spans="1:33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</row>
    <row r="817" spans="1:33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</row>
    <row r="818" spans="1:33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</row>
    <row r="819" spans="1:33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</row>
    <row r="820" spans="1:33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</row>
    <row r="821" spans="1:33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</row>
    <row r="822" spans="1:33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</row>
    <row r="823" spans="1:33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</row>
    <row r="824" spans="1:33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</row>
    <row r="825" spans="1:33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</row>
    <row r="826" spans="1:33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</row>
    <row r="827" spans="1:33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</row>
    <row r="828" spans="1:33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</row>
    <row r="829" spans="1:33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</row>
    <row r="830" spans="1:33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</row>
    <row r="831" spans="1:33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</row>
    <row r="832" spans="1:33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</row>
    <row r="833" spans="1:33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</row>
    <row r="834" spans="1:33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</row>
    <row r="835" spans="1:33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</row>
    <row r="836" spans="1:33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</row>
    <row r="837" spans="1:33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</row>
    <row r="838" spans="1:33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</row>
    <row r="839" spans="1:33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</row>
    <row r="840" spans="1:33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</row>
    <row r="841" spans="1:33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</row>
    <row r="842" spans="1:33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</row>
    <row r="843" spans="1:33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</row>
    <row r="844" spans="1:33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</row>
    <row r="845" spans="1:33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</row>
    <row r="846" spans="1:33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</row>
    <row r="847" spans="1:33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</row>
    <row r="848" spans="1:33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</row>
    <row r="849" spans="1:33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</row>
    <row r="850" spans="1:33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</row>
    <row r="851" spans="1:33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</row>
    <row r="852" spans="1:33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</row>
    <row r="853" spans="1:33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</row>
    <row r="854" spans="1:33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</row>
    <row r="855" spans="1:33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</row>
    <row r="856" spans="1:33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</row>
    <row r="857" spans="1:33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</row>
    <row r="858" spans="1:33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</row>
    <row r="859" spans="1:33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</row>
    <row r="860" spans="1:33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</row>
    <row r="861" spans="1:33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</row>
    <row r="862" spans="1:33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</row>
    <row r="863" spans="1:33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</row>
    <row r="864" spans="1:33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</row>
    <row r="865" spans="1:33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</row>
    <row r="866" spans="1:33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</row>
    <row r="867" spans="1:33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</row>
    <row r="868" spans="1:33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</row>
    <row r="869" spans="1:33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</row>
    <row r="870" spans="1:33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</row>
    <row r="871" spans="1:33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</row>
    <row r="872" spans="1:33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</row>
    <row r="873" spans="1:33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</row>
    <row r="874" spans="1:33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</row>
    <row r="875" spans="1:33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</row>
    <row r="876" spans="1:33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</row>
    <row r="877" spans="1:33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</row>
    <row r="878" spans="1:33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</row>
    <row r="879" spans="1:33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</row>
    <row r="880" spans="1:33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</row>
    <row r="881" spans="1:33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</row>
    <row r="882" spans="1:33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</row>
    <row r="883" spans="1:33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</row>
    <row r="884" spans="1:33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</row>
    <row r="885" spans="1:33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</row>
    <row r="886" spans="1:33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</row>
    <row r="887" spans="1:33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</row>
    <row r="888" spans="1:33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</row>
    <row r="889" spans="1:33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</row>
    <row r="890" spans="1:33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</row>
    <row r="891" spans="1:33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</row>
    <row r="892" spans="1:33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</row>
    <row r="893" spans="1:33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</row>
    <row r="894" spans="1:33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</row>
    <row r="895" spans="1:33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</row>
    <row r="896" spans="1:33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</row>
    <row r="897" spans="1:33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</row>
    <row r="898" spans="1:33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</row>
    <row r="899" spans="1:33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</row>
    <row r="900" spans="1:33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</row>
    <row r="901" spans="1:33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</row>
    <row r="902" spans="1:33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</row>
    <row r="903" spans="1:33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</row>
    <row r="904" spans="1:33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</row>
    <row r="905" spans="1:33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</row>
    <row r="906" spans="1:33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</row>
    <row r="907" spans="1:33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</row>
    <row r="908" spans="1:33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</row>
    <row r="909" spans="1:33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</row>
    <row r="910" spans="1:33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</row>
    <row r="911" spans="1:33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</row>
    <row r="912" spans="1:33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</row>
    <row r="913" spans="1:33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</row>
    <row r="914" spans="1:33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</row>
    <row r="915" spans="1:33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</row>
    <row r="916" spans="1:33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</row>
    <row r="917" spans="1:33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</row>
    <row r="918" spans="1:33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</row>
    <row r="919" spans="1:33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</row>
    <row r="920" spans="1:33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</row>
    <row r="921" spans="1:33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</row>
    <row r="922" spans="1:33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</row>
    <row r="923" spans="1:33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</row>
    <row r="924" spans="1:33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</row>
    <row r="925" spans="1:33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</row>
    <row r="926" spans="1:33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</row>
    <row r="927" spans="1:33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</row>
    <row r="928" spans="1:33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</row>
    <row r="929" spans="1:33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</row>
    <row r="930" spans="1:33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</row>
    <row r="931" spans="1:33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</row>
    <row r="932" spans="1:33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</row>
    <row r="933" spans="1:33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</row>
    <row r="934" spans="1:33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</row>
    <row r="935" spans="1:33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</row>
    <row r="936" spans="1:33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</row>
    <row r="937" spans="1:33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</row>
    <row r="938" spans="1:33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</row>
    <row r="939" spans="1:33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</row>
    <row r="940" spans="1:33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</row>
    <row r="941" spans="1:33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</row>
    <row r="942" spans="1:33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</row>
    <row r="943" spans="1:33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</row>
    <row r="944" spans="1:33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</row>
    <row r="945" spans="1:33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</row>
    <row r="946" spans="1:33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</row>
    <row r="947" spans="1:33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</row>
    <row r="948" spans="1:33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</row>
    <row r="949" spans="1:33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</row>
    <row r="950" spans="1:33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</row>
    <row r="951" spans="1:33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</row>
    <row r="952" spans="1:33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</row>
    <row r="953" spans="1:33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</row>
    <row r="954" spans="1:33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</row>
    <row r="955" spans="1:33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</row>
    <row r="956" spans="1:33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</row>
    <row r="957" spans="1:33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</row>
    <row r="958" spans="1:33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</row>
    <row r="959" spans="1:33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</row>
    <row r="960" spans="1:33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</row>
    <row r="961" spans="1:33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</row>
    <row r="962" spans="1:33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</row>
    <row r="963" spans="1:33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</row>
    <row r="964" spans="1:33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</row>
    <row r="965" spans="1:33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</row>
    <row r="966" spans="1:33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</row>
    <row r="967" spans="1:33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</row>
    <row r="968" spans="1:33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</row>
    <row r="969" spans="1:33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</row>
    <row r="970" spans="1:33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</row>
    <row r="971" spans="1:33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</row>
    <row r="972" spans="1:33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</row>
    <row r="973" spans="1:33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</row>
    <row r="974" spans="1:33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</row>
    <row r="975" spans="1:33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</row>
    <row r="976" spans="1:33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</row>
    <row r="977" spans="1:33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</row>
    <row r="978" spans="1:33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</row>
    <row r="979" spans="1:33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</row>
    <row r="980" spans="1:33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</row>
    <row r="981" spans="1:33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</row>
    <row r="982" spans="1:33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</row>
    <row r="983" spans="1:33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</row>
    <row r="984" spans="1:33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</row>
    <row r="985" spans="1:33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</row>
    <row r="986" spans="1:33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</row>
    <row r="987" spans="1:33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</row>
    <row r="988" spans="1:33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</row>
    <row r="989" spans="1:33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</row>
    <row r="990" spans="1:33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</row>
    <row r="991" spans="1:33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</row>
    <row r="992" spans="1:33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</row>
    <row r="993" spans="1:33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</row>
    <row r="994" spans="1:33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</row>
    <row r="995" spans="1:33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</row>
    <row r="996" spans="1:33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</row>
    <row r="997" spans="1:33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</row>
    <row r="998" spans="1:33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</row>
    <row r="999" spans="1:33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</row>
    <row r="1000" spans="1:33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Navy Blue &amp; Yellow")</f>
        <v>Corn Filled Cornhole Bags - Set of 8 Bean Bags for Corn Hole Game - Regulation Size &amp; Weight - Navy Blue &amp; Yellow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Info!B1:BJ7000""),2,FALSE),"""")"),"B07ZTPH1TM")</f>
        <v>B07ZTPH1TM</v>
      </c>
      <c r="B2" s="47" t="s">
        <v>233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16.729411764705883</v>
      </c>
      <c r="D3" s="5">
        <f>SUM(D4:D99765)</f>
        <v>1</v>
      </c>
      <c r="E3" s="5"/>
      <c r="F3" s="6">
        <f t="shared" ref="F3:G3" si="0">SUM(F4:F99765)</f>
        <v>19.989999999999998</v>
      </c>
      <c r="G3" s="6">
        <f t="shared" si="0"/>
        <v>0</v>
      </c>
      <c r="H3" s="7">
        <f>G3/F3*-1</f>
        <v>0</v>
      </c>
      <c r="I3" s="8">
        <f>J3/F3</f>
        <v>0.10767812239453051</v>
      </c>
      <c r="J3" s="6">
        <f>SUM(J4:J99765)</f>
        <v>2.1524856666666645</v>
      </c>
      <c r="K3" s="6">
        <f>J3/D3</f>
        <v>2.1524856666666645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-0.61901433333333333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hidden="1" customHeight="1" x14ac:dyDescent="0.2">
      <c r="A4" s="15" t="s">
        <v>32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35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36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37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38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39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40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41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42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43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44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45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46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47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48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49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50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51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52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"/>
      <c r="AB24" s="41"/>
      <c r="AC24" s="28"/>
      <c r="AD24" s="40"/>
      <c r="AE24" s="26"/>
      <c r="AF24" s="40"/>
      <c r="AG24" s="40"/>
    </row>
    <row r="25" spans="1:33" ht="15.75" hidden="1" customHeight="1" x14ac:dyDescent="0.2">
      <c r="A25" s="29" t="s">
        <v>53</v>
      </c>
      <c r="B25" s="15"/>
      <c r="C25" s="16"/>
      <c r="D25" s="30"/>
      <c r="E25" s="30"/>
      <c r="F25" s="33"/>
      <c r="G25" s="33"/>
      <c r="H25" s="32"/>
      <c r="I25" s="32"/>
      <c r="J25" s="33"/>
      <c r="K25" s="33"/>
      <c r="L25" s="30"/>
      <c r="M25" s="34"/>
      <c r="N25" s="30"/>
      <c r="O25" s="35"/>
      <c r="P25" s="35"/>
      <c r="Q25" s="30"/>
      <c r="R25" s="30"/>
      <c r="S25" s="36"/>
      <c r="T25" s="15"/>
      <c r="U25" s="23"/>
      <c r="V25" s="1"/>
      <c r="W25" s="15"/>
      <c r="X25" s="39"/>
      <c r="Y25" s="40"/>
      <c r="Z25" s="15"/>
      <c r="AA25" s="29"/>
      <c r="AB25" s="41"/>
      <c r="AC25" s="42"/>
      <c r="AD25" s="40"/>
      <c r="AE25" s="40"/>
      <c r="AF25" s="40"/>
      <c r="AG25" s="40"/>
    </row>
    <row r="26" spans="1:33" ht="15.75" hidden="1" customHeight="1" x14ac:dyDescent="0.2">
      <c r="A26" s="15" t="s">
        <v>54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15"/>
      <c r="U26" s="23"/>
      <c r="V26" s="1"/>
      <c r="W26" s="15"/>
      <c r="X26" s="39"/>
      <c r="Y26" s="40"/>
      <c r="Z26" s="15"/>
      <c r="AA26" s="29"/>
      <c r="AB26" s="41"/>
      <c r="AC26" s="42"/>
      <c r="AD26" s="40"/>
      <c r="AE26" s="26"/>
      <c r="AF26" s="26"/>
      <c r="AG26" s="26"/>
    </row>
    <row r="27" spans="1:33" ht="15.75" hidden="1" customHeight="1" x14ac:dyDescent="0.2">
      <c r="A27" s="15" t="s">
        <v>74</v>
      </c>
      <c r="B27" s="15"/>
      <c r="C27" s="16"/>
      <c r="D27" s="17"/>
      <c r="E27" s="17"/>
      <c r="F27" s="18"/>
      <c r="G27" s="18"/>
      <c r="H27" s="32"/>
      <c r="I27" s="32"/>
      <c r="J27" s="33"/>
      <c r="K27" s="33"/>
      <c r="L27" s="17"/>
      <c r="M27" s="34"/>
      <c r="N27" s="17"/>
      <c r="O27" s="35"/>
      <c r="P27" s="35"/>
      <c r="Q27" s="30"/>
      <c r="R27" s="30"/>
      <c r="S27" s="22"/>
      <c r="T27" s="15"/>
      <c r="U27" s="23"/>
      <c r="V27" s="1"/>
      <c r="W27" s="15"/>
      <c r="X27" s="39"/>
      <c r="Y27" s="40"/>
      <c r="Z27" s="15"/>
      <c r="AA27" s="29"/>
      <c r="AB27" s="41"/>
      <c r="AC27" s="42"/>
      <c r="AD27" s="40"/>
      <c r="AE27" s="26"/>
      <c r="AF27" s="26"/>
      <c r="AG27" s="26"/>
    </row>
    <row r="28" spans="1:33" ht="15.75" hidden="1" customHeight="1" x14ac:dyDescent="0.2">
      <c r="A28" s="15" t="s">
        <v>75</v>
      </c>
      <c r="B28" s="15"/>
      <c r="C28" s="16"/>
      <c r="D28" s="17"/>
      <c r="E28" s="17"/>
      <c r="F28" s="18"/>
      <c r="G28" s="18"/>
      <c r="H28" s="32"/>
      <c r="I28" s="32"/>
      <c r="J28" s="33"/>
      <c r="K28" s="33"/>
      <c r="L28" s="17"/>
      <c r="M28" s="34"/>
      <c r="N28" s="17"/>
      <c r="O28" s="35"/>
      <c r="P28" s="35"/>
      <c r="Q28" s="30"/>
      <c r="R28" s="30"/>
      <c r="S28" s="22"/>
      <c r="T28" s="15"/>
      <c r="U28" s="23"/>
      <c r="V28" s="1"/>
      <c r="W28" s="15"/>
      <c r="X28" s="39"/>
      <c r="Y28" s="40"/>
      <c r="Z28" s="15"/>
      <c r="AA28" s="29"/>
      <c r="AB28" s="41"/>
      <c r="AC28" s="42"/>
      <c r="AD28" s="40"/>
      <c r="AE28" s="26"/>
      <c r="AF28" s="26"/>
      <c r="AG28" s="26"/>
    </row>
    <row r="29" spans="1:33" ht="15.75" hidden="1" customHeight="1" x14ac:dyDescent="0.2">
      <c r="A29" s="15" t="s">
        <v>77</v>
      </c>
      <c r="B29" s="15"/>
      <c r="C29" s="16"/>
      <c r="D29" s="17"/>
      <c r="E29" s="17"/>
      <c r="F29" s="18"/>
      <c r="G29" s="18"/>
      <c r="H29" s="32"/>
      <c r="I29" s="32"/>
      <c r="J29" s="33"/>
      <c r="K29" s="33"/>
      <c r="L29" s="17"/>
      <c r="M29" s="34"/>
      <c r="N29" s="17"/>
      <c r="O29" s="35"/>
      <c r="P29" s="35"/>
      <c r="Q29" s="30"/>
      <c r="R29" s="30"/>
      <c r="S29" s="22"/>
      <c r="T29" s="15"/>
      <c r="U29" s="23"/>
      <c r="V29" s="1"/>
      <c r="W29" s="15"/>
      <c r="X29" s="39"/>
      <c r="Y29" s="40"/>
      <c r="Z29" s="15"/>
      <c r="AA29" s="29"/>
      <c r="AB29" s="41"/>
      <c r="AC29" s="42"/>
      <c r="AD29" s="40"/>
      <c r="AE29" s="26"/>
      <c r="AF29" s="26"/>
      <c r="AG29" s="26"/>
    </row>
    <row r="30" spans="1:33" ht="15.75" hidden="1" customHeight="1" x14ac:dyDescent="0.2">
      <c r="A30" s="15" t="s">
        <v>78</v>
      </c>
      <c r="B30" s="48"/>
      <c r="C30" s="16"/>
      <c r="D30" s="17"/>
      <c r="E30" s="17"/>
      <c r="F30" s="18"/>
      <c r="G30" s="18"/>
      <c r="H30" s="32"/>
      <c r="I30" s="32"/>
      <c r="J30" s="33"/>
      <c r="K30" s="33"/>
      <c r="L30" s="17"/>
      <c r="M30" s="34"/>
      <c r="N30" s="17"/>
      <c r="O30" s="35"/>
      <c r="P30" s="35"/>
      <c r="Q30" s="30"/>
      <c r="R30" s="30"/>
      <c r="S30" s="22"/>
      <c r="T30" s="29"/>
      <c r="U30" s="37"/>
      <c r="V30" s="38"/>
      <c r="W30" s="15"/>
      <c r="X30" s="39"/>
      <c r="Y30" s="40"/>
      <c r="Z30" s="15"/>
      <c r="AA30" s="29"/>
      <c r="AB30" s="41"/>
      <c r="AC30" s="42"/>
      <c r="AD30" s="40"/>
      <c r="AE30" s="26"/>
      <c r="AF30" s="26"/>
      <c r="AG30" s="26"/>
    </row>
    <row r="31" spans="1:33" ht="15.75" customHeight="1" x14ac:dyDescent="0.2">
      <c r="A31" s="15" t="s">
        <v>55</v>
      </c>
      <c r="B31" s="15"/>
      <c r="C31" s="16"/>
      <c r="D31" s="17"/>
      <c r="E31" s="17"/>
      <c r="F31" s="18"/>
      <c r="G31" s="43"/>
      <c r="H31" s="32"/>
      <c r="I31" s="32"/>
      <c r="J31" s="33"/>
      <c r="K31" s="33"/>
      <c r="L31" s="17"/>
      <c r="M31" s="34"/>
      <c r="N31" s="17"/>
      <c r="O31" s="35"/>
      <c r="P31" s="35"/>
      <c r="Q31" s="30"/>
      <c r="R31" s="30"/>
      <c r="S31" s="22"/>
      <c r="T31" s="15"/>
      <c r="U31" s="23"/>
      <c r="V31" s="1"/>
      <c r="W31" s="15"/>
      <c r="X31" s="39"/>
      <c r="Y31" s="40"/>
      <c r="Z31" s="15"/>
      <c r="AA31" s="15"/>
      <c r="AB31" s="41"/>
      <c r="AC31" s="28"/>
      <c r="AD31" s="40"/>
      <c r="AE31" s="44"/>
      <c r="AF31" s="44"/>
      <c r="AG31" s="26"/>
    </row>
    <row r="32" spans="1:33" ht="15.75" customHeight="1" x14ac:dyDescent="0.2">
      <c r="A32" s="15" t="s">
        <v>59</v>
      </c>
      <c r="B32" s="15"/>
      <c r="C32" s="16">
        <f>IFERROR(F32/D32," - ")</f>
        <v>19.989999999999998</v>
      </c>
      <c r="D32" s="17">
        <v>1</v>
      </c>
      <c r="E32" s="17">
        <v>0</v>
      </c>
      <c r="F32" s="18">
        <v>19.989999999999998</v>
      </c>
      <c r="G32" s="18">
        <v>0</v>
      </c>
      <c r="H32" s="32">
        <f>G32/F32*-1</f>
        <v>0</v>
      </c>
      <c r="I32" s="32">
        <f>J32/F32</f>
        <v>0.10767812239453051</v>
      </c>
      <c r="J32" s="33">
        <f>F32*0.85+G32+AF32*D32+D32*AE32+AG32+AD32</f>
        <v>2.1524856666666645</v>
      </c>
      <c r="K32" s="33">
        <f>J32/D32</f>
        <v>2.1524856666666645</v>
      </c>
      <c r="L32" s="17">
        <v>9</v>
      </c>
      <c r="M32" s="34">
        <f>IFERROR(D32/L32,"-")</f>
        <v>0.1111111111111111</v>
      </c>
      <c r="N32" s="17">
        <v>119</v>
      </c>
      <c r="O32" s="35">
        <f t="shared" ref="O32:P32" si="1">D32/7</f>
        <v>0.14285714285714285</v>
      </c>
      <c r="P32" s="35">
        <f t="shared" si="1"/>
        <v>0</v>
      </c>
      <c r="Q32" s="30">
        <f>ROUNDDOWN(N32/(O32+P32),0)</f>
        <v>833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3.3613445378151259E-2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>IFERROR(W32/D32,0)</f>
        <v>0</v>
      </c>
      <c r="Y32" s="40">
        <f>IFERROR(G32/(W32+Z32)*-1,0)</f>
        <v>0</v>
      </c>
      <c r="Z32" s="15">
        <v>0</v>
      </c>
      <c r="AA32" s="15" t="s">
        <v>58</v>
      </c>
      <c r="AB32" s="41">
        <f>IF(OR(AA32="UsLargeStandardSize",AA32="UsSmallStandardSize"),-0.69,-0.48)</f>
        <v>-0.69</v>
      </c>
      <c r="AC32" s="28">
        <v>0.44856111111111113</v>
      </c>
      <c r="AD32" s="40">
        <f>IFERROR(AB32*AC32*D32*2,0)</f>
        <v>-0.61901433333333333</v>
      </c>
      <c r="AE32" s="26">
        <v>-7.48</v>
      </c>
      <c r="AF32" s="49">
        <v>-6.74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2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</row>
    <row r="225" spans="1:33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</row>
    <row r="226" spans="1:33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</row>
    <row r="227" spans="1:33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</row>
    <row r="228" spans="1:33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</row>
    <row r="229" spans="1:33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</row>
    <row r="230" spans="1:33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</row>
    <row r="231" spans="1:33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</row>
    <row r="232" spans="1:33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</row>
    <row r="233" spans="1:33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</row>
    <row r="234" spans="1:33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</row>
    <row r="235" spans="1:33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</row>
    <row r="236" spans="1:33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</row>
    <row r="237" spans="1:33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</row>
    <row r="238" spans="1:33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</row>
    <row r="239" spans="1:33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</row>
    <row r="240" spans="1:33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</row>
    <row r="241" spans="1:33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</row>
    <row r="242" spans="1:33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</row>
    <row r="243" spans="1:33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</row>
    <row r="244" spans="1:33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</row>
    <row r="245" spans="1:33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</row>
    <row r="246" spans="1:33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</row>
    <row r="247" spans="1:33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</row>
    <row r="248" spans="1:33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</row>
    <row r="249" spans="1:33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</row>
    <row r="250" spans="1:33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</row>
    <row r="251" spans="1:33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</row>
    <row r="252" spans="1:33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</row>
    <row r="253" spans="1:33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</row>
    <row r="254" spans="1:33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</row>
    <row r="255" spans="1:33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</row>
    <row r="256" spans="1:33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</row>
    <row r="257" spans="1:33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</row>
    <row r="258" spans="1:33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</row>
    <row r="259" spans="1:33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</row>
    <row r="260" spans="1:33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</row>
    <row r="261" spans="1:33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</row>
    <row r="262" spans="1:33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</row>
    <row r="263" spans="1:33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</row>
    <row r="264" spans="1:33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</row>
    <row r="265" spans="1:33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</row>
    <row r="266" spans="1:33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</row>
    <row r="267" spans="1:33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</row>
    <row r="268" spans="1:33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</row>
    <row r="269" spans="1:33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</row>
    <row r="270" spans="1:33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</row>
    <row r="271" spans="1:33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</row>
    <row r="272" spans="1:33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</row>
    <row r="273" spans="1:33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</row>
    <row r="274" spans="1:33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</row>
    <row r="275" spans="1:33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</row>
    <row r="276" spans="1:33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</row>
    <row r="277" spans="1:33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</row>
    <row r="278" spans="1:33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</row>
    <row r="279" spans="1:33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</row>
    <row r="280" spans="1:33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</row>
    <row r="281" spans="1:33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</row>
    <row r="282" spans="1:33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</row>
    <row r="283" spans="1:33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</row>
    <row r="284" spans="1:33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</row>
    <row r="285" spans="1:33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</row>
    <row r="286" spans="1:33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</row>
    <row r="287" spans="1:33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</row>
    <row r="288" spans="1:33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</row>
    <row r="289" spans="1:33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</row>
    <row r="290" spans="1:33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</row>
    <row r="291" spans="1:33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</row>
    <row r="292" spans="1:33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</row>
    <row r="293" spans="1:33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</row>
    <row r="294" spans="1:33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</row>
    <row r="295" spans="1:33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</row>
    <row r="296" spans="1:33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</row>
    <row r="297" spans="1:33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</row>
    <row r="298" spans="1:33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</row>
    <row r="299" spans="1:33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</row>
    <row r="300" spans="1:33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</row>
    <row r="301" spans="1:33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</row>
    <row r="302" spans="1:33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</row>
    <row r="303" spans="1:33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</row>
    <row r="304" spans="1:33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</row>
    <row r="305" spans="1:33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</row>
    <row r="306" spans="1:33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</row>
    <row r="307" spans="1:33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</row>
    <row r="308" spans="1:33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</row>
    <row r="309" spans="1:33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</row>
    <row r="310" spans="1:33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</row>
    <row r="311" spans="1:33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</row>
    <row r="312" spans="1:33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</row>
    <row r="313" spans="1:33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</row>
    <row r="314" spans="1:33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</row>
    <row r="315" spans="1:33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</row>
    <row r="316" spans="1:33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</row>
    <row r="317" spans="1:33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</row>
    <row r="318" spans="1:33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</row>
    <row r="319" spans="1:33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</row>
    <row r="320" spans="1:33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</row>
    <row r="321" spans="1:33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</row>
    <row r="322" spans="1:33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</row>
    <row r="323" spans="1:33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</row>
    <row r="324" spans="1:33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</row>
    <row r="325" spans="1:33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</row>
    <row r="326" spans="1:33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</row>
    <row r="327" spans="1:33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</row>
    <row r="328" spans="1:33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</row>
    <row r="329" spans="1:33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</row>
    <row r="330" spans="1:33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</row>
    <row r="331" spans="1:33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</row>
    <row r="332" spans="1:33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</row>
    <row r="333" spans="1:33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</row>
    <row r="334" spans="1:33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</row>
    <row r="335" spans="1:33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</row>
    <row r="336" spans="1:33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</row>
    <row r="337" spans="1:33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</row>
    <row r="338" spans="1:33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</row>
    <row r="339" spans="1:33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</row>
    <row r="340" spans="1:33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</row>
    <row r="341" spans="1:33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</row>
    <row r="342" spans="1:33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</row>
    <row r="343" spans="1:33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</row>
    <row r="344" spans="1:33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</row>
    <row r="345" spans="1:33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</row>
    <row r="346" spans="1:33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</row>
    <row r="347" spans="1:33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</row>
    <row r="348" spans="1:33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</row>
    <row r="349" spans="1:33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</row>
    <row r="350" spans="1:33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</row>
    <row r="351" spans="1:33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</row>
    <row r="352" spans="1:33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</row>
    <row r="353" spans="1:33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</row>
    <row r="354" spans="1:33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</row>
    <row r="355" spans="1:33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</row>
    <row r="356" spans="1:33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</row>
    <row r="357" spans="1:33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</row>
    <row r="358" spans="1:33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</row>
    <row r="359" spans="1:33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</row>
    <row r="360" spans="1:33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</row>
    <row r="361" spans="1:33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</row>
    <row r="362" spans="1:33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</row>
    <row r="363" spans="1:33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</row>
    <row r="364" spans="1:33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</row>
    <row r="365" spans="1:33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</row>
    <row r="366" spans="1:33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</row>
    <row r="367" spans="1:33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</row>
    <row r="368" spans="1:33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</row>
    <row r="369" spans="1:33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</row>
    <row r="370" spans="1:33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</row>
    <row r="371" spans="1:33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</row>
    <row r="372" spans="1:33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</row>
    <row r="373" spans="1:33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</row>
    <row r="374" spans="1:33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</row>
    <row r="375" spans="1:33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</row>
    <row r="376" spans="1:33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</row>
    <row r="377" spans="1:33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</row>
    <row r="378" spans="1:33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</row>
    <row r="379" spans="1:33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</row>
    <row r="380" spans="1:33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</row>
    <row r="381" spans="1:33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</row>
    <row r="382" spans="1:33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</row>
    <row r="383" spans="1:33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</row>
    <row r="384" spans="1:33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</row>
    <row r="385" spans="1:33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</row>
    <row r="386" spans="1:33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</row>
    <row r="387" spans="1:33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</row>
    <row r="388" spans="1:33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</row>
    <row r="389" spans="1:33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</row>
    <row r="390" spans="1:33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</row>
    <row r="391" spans="1:33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</row>
    <row r="392" spans="1:33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</row>
    <row r="393" spans="1:33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</row>
    <row r="394" spans="1:33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</row>
    <row r="395" spans="1:33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</row>
    <row r="396" spans="1:33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</row>
    <row r="397" spans="1:33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</row>
    <row r="398" spans="1:33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</row>
    <row r="399" spans="1:33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</row>
    <row r="400" spans="1:33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</row>
    <row r="401" spans="1:33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</row>
    <row r="402" spans="1:33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</row>
    <row r="403" spans="1:33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</row>
    <row r="404" spans="1:33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</row>
    <row r="405" spans="1:33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</row>
    <row r="406" spans="1:33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</row>
    <row r="407" spans="1:33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</row>
    <row r="408" spans="1:33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</row>
    <row r="409" spans="1:33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</row>
    <row r="410" spans="1:33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</row>
    <row r="411" spans="1:33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</row>
    <row r="412" spans="1:33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</row>
    <row r="413" spans="1:33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</row>
    <row r="414" spans="1:33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</row>
    <row r="415" spans="1:33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</row>
    <row r="416" spans="1:33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</row>
    <row r="417" spans="1:33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</row>
    <row r="418" spans="1:33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</row>
    <row r="419" spans="1:33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</row>
    <row r="420" spans="1:33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</row>
    <row r="421" spans="1:33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</row>
    <row r="422" spans="1:33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</row>
    <row r="423" spans="1:33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</row>
    <row r="424" spans="1:33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</row>
    <row r="425" spans="1:33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</row>
    <row r="426" spans="1:33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</row>
    <row r="427" spans="1:33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</row>
    <row r="428" spans="1:33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</row>
    <row r="429" spans="1:33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</row>
    <row r="430" spans="1:33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</row>
    <row r="431" spans="1:33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</row>
    <row r="432" spans="1:33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</row>
    <row r="433" spans="1:33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</row>
    <row r="434" spans="1:33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</row>
    <row r="435" spans="1:33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</row>
    <row r="436" spans="1:33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</row>
    <row r="437" spans="1:33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</row>
    <row r="438" spans="1:33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</row>
    <row r="439" spans="1:33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</row>
    <row r="440" spans="1:33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</row>
    <row r="441" spans="1:33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</row>
    <row r="442" spans="1:33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</row>
    <row r="443" spans="1:33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</row>
    <row r="444" spans="1:33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</row>
    <row r="445" spans="1:33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</row>
    <row r="446" spans="1:33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47" spans="1:33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</row>
    <row r="448" spans="1:33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</row>
    <row r="449" spans="1:33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</row>
    <row r="450" spans="1:33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</row>
    <row r="451" spans="1:33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</row>
    <row r="452" spans="1:33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</row>
    <row r="453" spans="1:33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</row>
    <row r="454" spans="1:33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</row>
    <row r="455" spans="1:33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</row>
    <row r="456" spans="1:33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</row>
    <row r="457" spans="1:33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</row>
    <row r="458" spans="1:33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</row>
    <row r="459" spans="1:33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</row>
    <row r="460" spans="1:33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</row>
    <row r="461" spans="1:33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</row>
    <row r="462" spans="1:33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</row>
    <row r="463" spans="1:33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</row>
    <row r="464" spans="1:33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</row>
    <row r="465" spans="1:33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</row>
    <row r="466" spans="1:33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</row>
    <row r="467" spans="1:33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</row>
    <row r="468" spans="1:33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</row>
    <row r="469" spans="1:33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</row>
    <row r="470" spans="1:33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</row>
    <row r="471" spans="1:33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</row>
    <row r="472" spans="1:33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</row>
    <row r="473" spans="1:33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</row>
    <row r="474" spans="1:33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</row>
    <row r="475" spans="1:33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</row>
    <row r="476" spans="1:33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</row>
    <row r="477" spans="1:33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</row>
    <row r="478" spans="1:33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</row>
    <row r="479" spans="1:33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</row>
    <row r="480" spans="1:33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</row>
    <row r="481" spans="1:33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</row>
    <row r="482" spans="1:33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</row>
    <row r="483" spans="1:33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</row>
    <row r="484" spans="1:33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</row>
    <row r="485" spans="1:33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</row>
    <row r="486" spans="1:33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</row>
    <row r="487" spans="1:33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</row>
    <row r="488" spans="1:33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</row>
    <row r="489" spans="1:33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</row>
    <row r="490" spans="1:33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</row>
    <row r="491" spans="1:33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</row>
    <row r="492" spans="1:33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</row>
    <row r="493" spans="1:33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</row>
    <row r="494" spans="1:33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</row>
    <row r="495" spans="1:33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</row>
    <row r="496" spans="1:33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1:33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1:33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1:33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1:33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1:33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1:33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1:33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1:33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1:33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1:33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1:33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1:33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1:33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1:33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1:33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1:33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3" spans="1:33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</row>
    <row r="514" spans="1:33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</row>
    <row r="515" spans="1:33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</row>
    <row r="516" spans="1:33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</row>
    <row r="517" spans="1:33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</row>
    <row r="518" spans="1:33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</row>
    <row r="519" spans="1:33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</row>
    <row r="520" spans="1:33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</row>
    <row r="521" spans="1:33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</row>
    <row r="522" spans="1:33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</row>
    <row r="523" spans="1:33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</row>
    <row r="524" spans="1:33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</row>
    <row r="525" spans="1:33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</row>
    <row r="526" spans="1:33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</row>
    <row r="527" spans="1:33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</row>
    <row r="528" spans="1:33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</row>
    <row r="529" spans="1:33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</row>
    <row r="530" spans="1:33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</row>
    <row r="531" spans="1:33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</row>
    <row r="532" spans="1:33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</row>
    <row r="533" spans="1:33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</row>
    <row r="534" spans="1:33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</row>
    <row r="535" spans="1:33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</row>
    <row r="536" spans="1:33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</row>
    <row r="537" spans="1:33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</row>
    <row r="538" spans="1:33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</row>
    <row r="539" spans="1:33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</row>
    <row r="540" spans="1:33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</row>
    <row r="541" spans="1:33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</row>
    <row r="542" spans="1:33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</row>
    <row r="543" spans="1:33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</row>
    <row r="544" spans="1:33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</row>
    <row r="545" spans="1:33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</row>
    <row r="546" spans="1:33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</row>
    <row r="547" spans="1:33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</row>
    <row r="548" spans="1:33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</row>
    <row r="549" spans="1:33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</row>
    <row r="550" spans="1:33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</row>
    <row r="551" spans="1:33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</row>
    <row r="552" spans="1:33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</row>
    <row r="553" spans="1:33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</row>
    <row r="554" spans="1:33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</row>
    <row r="555" spans="1:33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</row>
    <row r="556" spans="1:33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</row>
    <row r="557" spans="1:33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</row>
    <row r="558" spans="1:33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</row>
    <row r="559" spans="1:33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</row>
    <row r="560" spans="1:33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</row>
    <row r="561" spans="1:33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</row>
    <row r="562" spans="1:33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</row>
    <row r="563" spans="1:33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</row>
    <row r="564" spans="1:33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</row>
    <row r="565" spans="1:33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</row>
    <row r="566" spans="1:33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</row>
    <row r="567" spans="1:33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</row>
    <row r="568" spans="1:33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</row>
    <row r="569" spans="1:33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</row>
    <row r="570" spans="1:33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</row>
    <row r="571" spans="1:33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</row>
    <row r="572" spans="1:33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</row>
    <row r="573" spans="1:33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</row>
    <row r="574" spans="1:33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</row>
    <row r="575" spans="1:33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</row>
    <row r="576" spans="1:33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</row>
    <row r="577" spans="1:33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</row>
    <row r="578" spans="1:33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</row>
    <row r="579" spans="1:33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</row>
    <row r="580" spans="1:33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</row>
    <row r="581" spans="1:33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</row>
    <row r="582" spans="1:33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</row>
    <row r="583" spans="1:33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</row>
    <row r="584" spans="1:33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</row>
    <row r="585" spans="1:33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</row>
    <row r="586" spans="1:33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</row>
    <row r="587" spans="1:33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</row>
    <row r="588" spans="1:33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</row>
    <row r="589" spans="1:33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</row>
    <row r="590" spans="1:33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</row>
    <row r="591" spans="1:33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</row>
    <row r="592" spans="1:33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</row>
    <row r="593" spans="1:33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</row>
    <row r="594" spans="1:33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</row>
    <row r="595" spans="1:33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</row>
    <row r="596" spans="1:33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</row>
    <row r="597" spans="1:33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</row>
    <row r="598" spans="1:33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</row>
    <row r="599" spans="1:33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</row>
    <row r="600" spans="1:33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</row>
    <row r="601" spans="1:33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</row>
    <row r="602" spans="1:33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</row>
    <row r="603" spans="1:33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</row>
    <row r="604" spans="1:33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</row>
    <row r="605" spans="1:33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</row>
    <row r="606" spans="1:33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</row>
    <row r="607" spans="1:33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</row>
    <row r="608" spans="1:33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</row>
    <row r="609" spans="1:33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</row>
    <row r="610" spans="1:33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</row>
    <row r="611" spans="1:33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</row>
    <row r="612" spans="1:33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</row>
    <row r="613" spans="1:33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</row>
    <row r="614" spans="1:33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</row>
    <row r="615" spans="1:33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</row>
    <row r="616" spans="1:33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</row>
    <row r="617" spans="1:33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</row>
    <row r="618" spans="1:33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</row>
    <row r="619" spans="1:33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</row>
    <row r="620" spans="1:33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</row>
    <row r="621" spans="1:33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</row>
    <row r="622" spans="1:33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</row>
    <row r="623" spans="1:33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</row>
    <row r="624" spans="1:33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</row>
    <row r="625" spans="1:33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</row>
    <row r="626" spans="1:33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</row>
    <row r="627" spans="1:33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</row>
    <row r="628" spans="1:33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</row>
    <row r="629" spans="1:33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</row>
    <row r="630" spans="1:33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</row>
    <row r="631" spans="1:33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</row>
    <row r="632" spans="1:33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</row>
    <row r="633" spans="1:33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</row>
    <row r="634" spans="1:33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</row>
    <row r="635" spans="1:33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</row>
    <row r="636" spans="1:33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</row>
    <row r="637" spans="1:33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</row>
    <row r="638" spans="1:33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</row>
    <row r="639" spans="1:33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</row>
    <row r="640" spans="1:33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</row>
    <row r="641" spans="1:33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</row>
    <row r="642" spans="1:33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</row>
    <row r="643" spans="1:33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</row>
    <row r="644" spans="1:33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</row>
    <row r="645" spans="1:33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</row>
    <row r="646" spans="1:33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</row>
    <row r="647" spans="1:33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</row>
    <row r="648" spans="1:33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</row>
    <row r="649" spans="1:33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</row>
    <row r="650" spans="1:33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</row>
    <row r="651" spans="1:33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</row>
    <row r="652" spans="1:33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</row>
    <row r="653" spans="1:33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</row>
    <row r="654" spans="1:33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</row>
    <row r="655" spans="1:33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</row>
    <row r="656" spans="1:33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</row>
    <row r="657" spans="1:33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</row>
    <row r="658" spans="1:33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</row>
    <row r="659" spans="1:33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</row>
    <row r="660" spans="1:33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</row>
    <row r="661" spans="1:33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</row>
    <row r="662" spans="1:33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</row>
    <row r="663" spans="1:33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</row>
    <row r="664" spans="1:33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</row>
    <row r="665" spans="1:33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</row>
    <row r="666" spans="1:33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</row>
    <row r="667" spans="1:33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</row>
    <row r="668" spans="1:33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</row>
    <row r="669" spans="1:33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</row>
    <row r="670" spans="1:33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</row>
    <row r="671" spans="1:33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</row>
    <row r="672" spans="1:33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</row>
    <row r="673" spans="1:33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</row>
    <row r="674" spans="1:33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</row>
    <row r="675" spans="1:33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</row>
    <row r="676" spans="1:33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</row>
    <row r="677" spans="1:33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</row>
    <row r="678" spans="1:33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</row>
    <row r="679" spans="1:33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</row>
    <row r="680" spans="1:33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</row>
    <row r="681" spans="1:33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</row>
    <row r="682" spans="1:33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</row>
    <row r="683" spans="1:33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</row>
    <row r="684" spans="1:33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</row>
    <row r="685" spans="1:33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</row>
    <row r="686" spans="1:33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</row>
    <row r="687" spans="1:33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</row>
    <row r="688" spans="1:33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</row>
    <row r="689" spans="1:33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</row>
    <row r="690" spans="1:33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</row>
    <row r="691" spans="1:33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</row>
    <row r="692" spans="1:33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</row>
    <row r="693" spans="1:33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</row>
    <row r="694" spans="1:33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</row>
    <row r="695" spans="1:33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</row>
    <row r="696" spans="1:33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</row>
    <row r="697" spans="1:33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</row>
    <row r="698" spans="1:33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</row>
    <row r="699" spans="1:33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</row>
    <row r="700" spans="1:33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</row>
    <row r="701" spans="1:33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</row>
    <row r="702" spans="1:33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</row>
    <row r="703" spans="1:33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</row>
    <row r="704" spans="1:33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</row>
    <row r="705" spans="1:33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</row>
    <row r="706" spans="1:33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</row>
    <row r="707" spans="1:33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</row>
    <row r="708" spans="1:33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</row>
    <row r="709" spans="1:33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</row>
    <row r="710" spans="1:33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</row>
    <row r="711" spans="1:33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</row>
    <row r="712" spans="1:33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</row>
    <row r="713" spans="1:33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</row>
    <row r="714" spans="1:33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</row>
    <row r="715" spans="1:33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</row>
    <row r="716" spans="1:33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</row>
    <row r="717" spans="1:33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</row>
    <row r="718" spans="1:33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</row>
    <row r="719" spans="1:33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</row>
    <row r="720" spans="1:33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</row>
    <row r="721" spans="1:33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</row>
    <row r="722" spans="1:33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</row>
    <row r="723" spans="1:33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</row>
    <row r="724" spans="1:33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</row>
    <row r="725" spans="1:33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</row>
    <row r="726" spans="1:33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</row>
    <row r="727" spans="1:33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</row>
    <row r="728" spans="1:33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</row>
    <row r="729" spans="1:33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</row>
    <row r="730" spans="1:33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</row>
    <row r="731" spans="1:33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</row>
    <row r="732" spans="1:33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</row>
    <row r="733" spans="1:33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</row>
    <row r="734" spans="1:33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</row>
    <row r="735" spans="1:33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</row>
    <row r="736" spans="1:33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</row>
    <row r="737" spans="1:33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</row>
    <row r="738" spans="1:33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</row>
    <row r="739" spans="1:33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</row>
    <row r="740" spans="1:33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</row>
    <row r="741" spans="1:33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</row>
    <row r="742" spans="1:33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</row>
    <row r="743" spans="1:33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</row>
    <row r="744" spans="1:33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</row>
    <row r="745" spans="1:33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</row>
    <row r="746" spans="1:33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</row>
    <row r="747" spans="1:33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</row>
    <row r="748" spans="1:33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</row>
    <row r="749" spans="1:33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</row>
    <row r="750" spans="1:33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</row>
    <row r="751" spans="1:33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</row>
    <row r="752" spans="1:33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</row>
    <row r="753" spans="1:33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</row>
    <row r="754" spans="1:33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</row>
    <row r="755" spans="1:33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</row>
    <row r="756" spans="1:33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</row>
    <row r="757" spans="1:33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</row>
    <row r="758" spans="1:33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</row>
    <row r="759" spans="1:33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</row>
    <row r="760" spans="1:33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</row>
    <row r="761" spans="1:33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</row>
    <row r="762" spans="1:33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</row>
    <row r="763" spans="1:33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</row>
    <row r="764" spans="1:33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</row>
    <row r="765" spans="1:33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</row>
    <row r="766" spans="1:33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</row>
    <row r="767" spans="1:33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</row>
    <row r="768" spans="1:33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</row>
    <row r="769" spans="1:33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</row>
    <row r="770" spans="1:33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</row>
    <row r="771" spans="1:33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</row>
    <row r="772" spans="1:33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</row>
    <row r="773" spans="1:33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</row>
    <row r="774" spans="1:33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</row>
    <row r="775" spans="1:33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</row>
    <row r="776" spans="1:33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</row>
    <row r="777" spans="1:33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</row>
    <row r="778" spans="1:33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</row>
    <row r="779" spans="1:33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</row>
    <row r="780" spans="1:33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</row>
    <row r="781" spans="1:33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</row>
    <row r="782" spans="1:33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</row>
    <row r="783" spans="1:33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</row>
    <row r="784" spans="1:33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</row>
    <row r="785" spans="1:33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</row>
    <row r="786" spans="1:33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</row>
    <row r="787" spans="1:33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</row>
    <row r="788" spans="1:33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</row>
    <row r="789" spans="1:33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</row>
    <row r="790" spans="1:33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</row>
    <row r="791" spans="1:33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</row>
    <row r="792" spans="1:33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</row>
    <row r="793" spans="1:33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</row>
    <row r="794" spans="1:33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</row>
    <row r="795" spans="1:33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</row>
    <row r="796" spans="1:33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</row>
    <row r="797" spans="1:33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</row>
    <row r="798" spans="1:33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</row>
    <row r="799" spans="1:33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</row>
    <row r="800" spans="1:33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</row>
    <row r="801" spans="1:33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</row>
    <row r="802" spans="1:33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</row>
    <row r="803" spans="1:33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</row>
    <row r="804" spans="1:33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</row>
    <row r="805" spans="1:33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</row>
    <row r="806" spans="1:33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</row>
    <row r="807" spans="1:33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</row>
    <row r="808" spans="1:33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</row>
    <row r="809" spans="1:33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</row>
    <row r="810" spans="1:33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</row>
    <row r="811" spans="1:33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</row>
    <row r="812" spans="1:33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</row>
    <row r="813" spans="1:33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</row>
    <row r="814" spans="1:33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</row>
    <row r="815" spans="1:33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</row>
    <row r="816" spans="1:33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</row>
    <row r="817" spans="1:33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</row>
    <row r="818" spans="1:33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</row>
    <row r="819" spans="1:33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</row>
    <row r="820" spans="1:33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</row>
    <row r="821" spans="1:33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</row>
    <row r="822" spans="1:33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</row>
    <row r="823" spans="1:33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</row>
    <row r="824" spans="1:33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</row>
    <row r="825" spans="1:33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</row>
    <row r="826" spans="1:33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</row>
    <row r="827" spans="1:33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</row>
    <row r="828" spans="1:33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</row>
    <row r="829" spans="1:33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</row>
    <row r="830" spans="1:33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</row>
    <row r="831" spans="1:33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</row>
    <row r="832" spans="1:33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</row>
    <row r="833" spans="1:33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</row>
    <row r="834" spans="1:33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</row>
    <row r="835" spans="1:33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</row>
    <row r="836" spans="1:33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</row>
    <row r="837" spans="1:33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</row>
    <row r="838" spans="1:33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</row>
    <row r="839" spans="1:33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</row>
    <row r="840" spans="1:33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</row>
    <row r="841" spans="1:33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</row>
    <row r="842" spans="1:33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</row>
    <row r="843" spans="1:33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</row>
    <row r="844" spans="1:33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</row>
    <row r="845" spans="1:33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</row>
    <row r="846" spans="1:33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</row>
    <row r="847" spans="1:33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</row>
    <row r="848" spans="1:33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</row>
    <row r="849" spans="1:33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</row>
    <row r="850" spans="1:33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</row>
    <row r="851" spans="1:33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</row>
    <row r="852" spans="1:33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</row>
    <row r="853" spans="1:33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</row>
    <row r="854" spans="1:33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</row>
    <row r="855" spans="1:33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</row>
    <row r="856" spans="1:33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</row>
    <row r="857" spans="1:33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</row>
    <row r="858" spans="1:33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</row>
    <row r="859" spans="1:33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</row>
    <row r="860" spans="1:33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</row>
    <row r="861" spans="1:33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</row>
    <row r="862" spans="1:33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</row>
    <row r="863" spans="1:33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</row>
    <row r="864" spans="1:33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</row>
    <row r="865" spans="1:33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</row>
    <row r="866" spans="1:33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</row>
    <row r="867" spans="1:33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</row>
    <row r="868" spans="1:33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</row>
    <row r="869" spans="1:33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</row>
    <row r="870" spans="1:33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</row>
    <row r="871" spans="1:33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</row>
    <row r="872" spans="1:33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</row>
    <row r="873" spans="1:33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</row>
    <row r="874" spans="1:33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</row>
    <row r="875" spans="1:33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</row>
    <row r="876" spans="1:33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</row>
    <row r="877" spans="1:33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</row>
    <row r="878" spans="1:33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</row>
    <row r="879" spans="1:33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</row>
    <row r="880" spans="1:33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</row>
    <row r="881" spans="1:33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</row>
    <row r="882" spans="1:33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</row>
    <row r="883" spans="1:33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</row>
    <row r="884" spans="1:33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</row>
    <row r="885" spans="1:33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</row>
    <row r="886" spans="1:33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</row>
    <row r="887" spans="1:33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</row>
    <row r="888" spans="1:33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</row>
    <row r="889" spans="1:33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</row>
    <row r="890" spans="1:33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</row>
    <row r="891" spans="1:33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</row>
    <row r="892" spans="1:33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</row>
    <row r="893" spans="1:33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</row>
    <row r="894" spans="1:33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</row>
    <row r="895" spans="1:33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</row>
    <row r="896" spans="1:33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</row>
    <row r="897" spans="1:33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</row>
    <row r="898" spans="1:33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</row>
    <row r="899" spans="1:33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</row>
    <row r="900" spans="1:33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</row>
    <row r="901" spans="1:33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</row>
    <row r="902" spans="1:33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</row>
    <row r="903" spans="1:33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</row>
    <row r="904" spans="1:33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</row>
    <row r="905" spans="1:33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</row>
    <row r="906" spans="1:33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</row>
    <row r="907" spans="1:33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</row>
    <row r="908" spans="1:33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</row>
    <row r="909" spans="1:33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</row>
    <row r="910" spans="1:33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</row>
    <row r="911" spans="1:33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</row>
    <row r="912" spans="1:33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</row>
    <row r="913" spans="1:33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</row>
    <row r="914" spans="1:33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</row>
    <row r="915" spans="1:33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</row>
    <row r="916" spans="1:33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</row>
    <row r="917" spans="1:33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</row>
    <row r="918" spans="1:33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</row>
    <row r="919" spans="1:33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</row>
    <row r="920" spans="1:33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</row>
    <row r="921" spans="1:33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</row>
    <row r="922" spans="1:33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</row>
    <row r="923" spans="1:33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</row>
    <row r="924" spans="1:33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</row>
    <row r="925" spans="1:33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</row>
    <row r="926" spans="1:33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</row>
    <row r="927" spans="1:33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</row>
    <row r="928" spans="1:33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</row>
    <row r="929" spans="1:33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</row>
    <row r="930" spans="1:33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</row>
    <row r="931" spans="1:33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</row>
    <row r="932" spans="1:33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</row>
    <row r="933" spans="1:33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</row>
    <row r="934" spans="1:33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</row>
    <row r="935" spans="1:33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</row>
    <row r="936" spans="1:33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</row>
    <row r="937" spans="1:33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</row>
    <row r="938" spans="1:33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</row>
    <row r="939" spans="1:33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</row>
    <row r="940" spans="1:33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</row>
    <row r="941" spans="1:33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</row>
    <row r="942" spans="1:33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</row>
    <row r="943" spans="1:33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</row>
    <row r="944" spans="1:33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</row>
    <row r="945" spans="1:33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</row>
    <row r="946" spans="1:33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</row>
    <row r="947" spans="1:33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</row>
    <row r="948" spans="1:33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</row>
    <row r="949" spans="1:33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</row>
    <row r="950" spans="1:33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</row>
    <row r="951" spans="1:33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</row>
    <row r="952" spans="1:33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</row>
    <row r="953" spans="1:33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</row>
    <row r="954" spans="1:33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</row>
    <row r="955" spans="1:33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</row>
    <row r="956" spans="1:33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</row>
    <row r="957" spans="1:33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</row>
    <row r="958" spans="1:33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</row>
    <row r="959" spans="1:33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</row>
    <row r="960" spans="1:33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</row>
    <row r="961" spans="1:33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</row>
    <row r="962" spans="1:33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</row>
    <row r="963" spans="1:33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</row>
    <row r="964" spans="1:33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</row>
    <row r="965" spans="1:33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</row>
    <row r="966" spans="1:33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</row>
    <row r="967" spans="1:33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</row>
    <row r="968" spans="1:33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</row>
    <row r="969" spans="1:33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</row>
    <row r="970" spans="1:33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</row>
    <row r="971" spans="1:33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</row>
    <row r="972" spans="1:33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</row>
    <row r="973" spans="1:33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</row>
    <row r="974" spans="1:33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</row>
    <row r="975" spans="1:33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</row>
    <row r="976" spans="1:33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</row>
    <row r="977" spans="1:33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</row>
    <row r="978" spans="1:33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</row>
    <row r="979" spans="1:33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</row>
    <row r="980" spans="1:33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</row>
    <row r="981" spans="1:33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</row>
    <row r="982" spans="1:33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</row>
    <row r="983" spans="1:33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</row>
    <row r="984" spans="1:33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</row>
    <row r="985" spans="1:33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</row>
    <row r="986" spans="1:33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</row>
    <row r="987" spans="1:33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</row>
    <row r="988" spans="1:33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</row>
    <row r="989" spans="1:33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</row>
    <row r="990" spans="1:33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</row>
    <row r="991" spans="1:33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</row>
    <row r="992" spans="1:33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</row>
    <row r="993" spans="1:33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</row>
    <row r="994" spans="1:33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</row>
    <row r="995" spans="1:33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</row>
    <row r="996" spans="1:33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</row>
    <row r="997" spans="1:33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</row>
    <row r="998" spans="1:33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</row>
    <row r="999" spans="1:33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</row>
    <row r="1000" spans="1:33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Navy Blue &amp; Gray")</f>
        <v>Corn Filled Cornhole Bags - Set of 8 Bean Bags for Corn Hole Game - Regulation Size &amp; Weight - Navy Blue &amp; Gray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Info!B1:BJ7000""),2,FALSE),"""")"),"B07ZTQ4Q1J")</f>
        <v>B07ZTQ4Q1J</v>
      </c>
      <c r="B2" s="47" t="s">
        <v>234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16.729411764705883</v>
      </c>
      <c r="D3" s="5">
        <f>SUM(D4:D99765)</f>
        <v>4</v>
      </c>
      <c r="E3" s="5"/>
      <c r="F3" s="6">
        <f t="shared" ref="F3:G3" si="0">SUM(F4:F99765)</f>
        <v>79.959999999999994</v>
      </c>
      <c r="G3" s="6">
        <f t="shared" si="0"/>
        <v>0</v>
      </c>
      <c r="H3" s="7">
        <f>G3/F3*-1</f>
        <v>0</v>
      </c>
      <c r="I3" s="8">
        <f>J3/F3</f>
        <v>0.11451830422502909</v>
      </c>
      <c r="J3" s="6">
        <f>SUM(J4:J99765)</f>
        <v>9.1568836058333254</v>
      </c>
      <c r="K3" s="6">
        <f>J3/D3</f>
        <v>2.2892209014583313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-1.9291163941666662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hidden="1" customHeight="1" x14ac:dyDescent="0.2">
      <c r="A4" s="15" t="s">
        <v>32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35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36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37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38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39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40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41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42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43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44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45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46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47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48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49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50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51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52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"/>
      <c r="AB24" s="41"/>
      <c r="AC24" s="28"/>
      <c r="AD24" s="40"/>
      <c r="AE24" s="26"/>
      <c r="AF24" s="40"/>
      <c r="AG24" s="40"/>
    </row>
    <row r="25" spans="1:33" ht="15.75" hidden="1" customHeight="1" x14ac:dyDescent="0.2">
      <c r="A25" s="29" t="s">
        <v>53</v>
      </c>
      <c r="B25" s="15"/>
      <c r="C25" s="16"/>
      <c r="D25" s="30"/>
      <c r="E25" s="30"/>
      <c r="F25" s="33"/>
      <c r="G25" s="33"/>
      <c r="H25" s="32"/>
      <c r="I25" s="32"/>
      <c r="J25" s="33"/>
      <c r="K25" s="33"/>
      <c r="L25" s="30"/>
      <c r="M25" s="34"/>
      <c r="N25" s="30"/>
      <c r="O25" s="35"/>
      <c r="P25" s="35"/>
      <c r="Q25" s="30"/>
      <c r="R25" s="30"/>
      <c r="S25" s="36"/>
      <c r="T25" s="15"/>
      <c r="U25" s="23"/>
      <c r="V25" s="1"/>
      <c r="W25" s="15"/>
      <c r="X25" s="39"/>
      <c r="Y25" s="40"/>
      <c r="Z25" s="15"/>
      <c r="AA25" s="29"/>
      <c r="AB25" s="41"/>
      <c r="AC25" s="42"/>
      <c r="AD25" s="40"/>
      <c r="AE25" s="40"/>
      <c r="AF25" s="40"/>
      <c r="AG25" s="40"/>
    </row>
    <row r="26" spans="1:33" ht="15.75" hidden="1" customHeight="1" x14ac:dyDescent="0.2">
      <c r="A26" s="15" t="s">
        <v>54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15"/>
      <c r="U26" s="23"/>
      <c r="V26" s="1"/>
      <c r="W26" s="15"/>
      <c r="X26" s="39"/>
      <c r="Y26" s="40"/>
      <c r="Z26" s="15"/>
      <c r="AA26" s="29"/>
      <c r="AB26" s="41"/>
      <c r="AC26" s="42"/>
      <c r="AD26" s="40"/>
      <c r="AE26" s="26"/>
      <c r="AF26" s="26"/>
      <c r="AG26" s="26"/>
    </row>
    <row r="27" spans="1:33" ht="15.75" hidden="1" customHeight="1" x14ac:dyDescent="0.2">
      <c r="A27" s="15" t="s">
        <v>74</v>
      </c>
      <c r="B27" s="15"/>
      <c r="C27" s="16"/>
      <c r="D27" s="17"/>
      <c r="E27" s="17"/>
      <c r="F27" s="18"/>
      <c r="G27" s="18"/>
      <c r="H27" s="32"/>
      <c r="I27" s="32"/>
      <c r="J27" s="33"/>
      <c r="K27" s="33"/>
      <c r="L27" s="17"/>
      <c r="M27" s="34"/>
      <c r="N27" s="17"/>
      <c r="O27" s="35"/>
      <c r="P27" s="35"/>
      <c r="Q27" s="30"/>
      <c r="R27" s="30"/>
      <c r="S27" s="22"/>
      <c r="T27" s="15"/>
      <c r="U27" s="23"/>
      <c r="V27" s="1"/>
      <c r="W27" s="15"/>
      <c r="X27" s="39"/>
      <c r="Y27" s="40"/>
      <c r="Z27" s="15"/>
      <c r="AA27" s="29"/>
      <c r="AB27" s="41"/>
      <c r="AC27" s="42"/>
      <c r="AD27" s="40"/>
      <c r="AE27" s="26"/>
      <c r="AF27" s="26"/>
      <c r="AG27" s="26"/>
    </row>
    <row r="28" spans="1:33" ht="15.75" hidden="1" customHeight="1" x14ac:dyDescent="0.2">
      <c r="A28" s="15" t="s">
        <v>75</v>
      </c>
      <c r="B28" s="15"/>
      <c r="C28" s="16"/>
      <c r="D28" s="17"/>
      <c r="E28" s="17"/>
      <c r="F28" s="18"/>
      <c r="G28" s="18"/>
      <c r="H28" s="32"/>
      <c r="I28" s="32"/>
      <c r="J28" s="33"/>
      <c r="K28" s="33"/>
      <c r="L28" s="17"/>
      <c r="M28" s="34"/>
      <c r="N28" s="17"/>
      <c r="O28" s="35"/>
      <c r="P28" s="35"/>
      <c r="Q28" s="30"/>
      <c r="R28" s="30"/>
      <c r="S28" s="22"/>
      <c r="T28" s="15"/>
      <c r="U28" s="23"/>
      <c r="V28" s="1"/>
      <c r="W28" s="15"/>
      <c r="X28" s="39"/>
      <c r="Y28" s="40"/>
      <c r="Z28" s="15"/>
      <c r="AA28" s="29"/>
      <c r="AB28" s="41"/>
      <c r="AC28" s="42"/>
      <c r="AD28" s="40"/>
      <c r="AE28" s="26"/>
      <c r="AF28" s="26"/>
      <c r="AG28" s="26"/>
    </row>
    <row r="29" spans="1:33" ht="15.75" hidden="1" customHeight="1" x14ac:dyDescent="0.2">
      <c r="A29" s="15" t="s">
        <v>77</v>
      </c>
      <c r="B29" s="15"/>
      <c r="C29" s="16"/>
      <c r="D29" s="17"/>
      <c r="E29" s="17"/>
      <c r="F29" s="18"/>
      <c r="G29" s="18"/>
      <c r="H29" s="32"/>
      <c r="I29" s="32"/>
      <c r="J29" s="33"/>
      <c r="K29" s="33"/>
      <c r="L29" s="17"/>
      <c r="M29" s="34"/>
      <c r="N29" s="17"/>
      <c r="O29" s="35"/>
      <c r="P29" s="35"/>
      <c r="Q29" s="30"/>
      <c r="R29" s="30"/>
      <c r="S29" s="22"/>
      <c r="T29" s="15"/>
      <c r="U29" s="23"/>
      <c r="V29" s="1"/>
      <c r="W29" s="15"/>
      <c r="X29" s="39"/>
      <c r="Y29" s="40"/>
      <c r="Z29" s="15"/>
      <c r="AA29" s="29"/>
      <c r="AB29" s="41"/>
      <c r="AC29" s="42"/>
      <c r="AD29" s="40"/>
      <c r="AE29" s="26"/>
      <c r="AF29" s="26"/>
      <c r="AG29" s="26"/>
    </row>
    <row r="30" spans="1:33" ht="15.75" hidden="1" customHeight="1" x14ac:dyDescent="0.2">
      <c r="A30" s="15" t="s">
        <v>78</v>
      </c>
      <c r="B30" s="48"/>
      <c r="C30" s="16"/>
      <c r="D30" s="17"/>
      <c r="E30" s="17"/>
      <c r="F30" s="18"/>
      <c r="G30" s="18"/>
      <c r="H30" s="32"/>
      <c r="I30" s="32"/>
      <c r="J30" s="33"/>
      <c r="K30" s="33"/>
      <c r="L30" s="17"/>
      <c r="M30" s="34"/>
      <c r="N30" s="17"/>
      <c r="O30" s="35"/>
      <c r="P30" s="35"/>
      <c r="Q30" s="30"/>
      <c r="R30" s="30"/>
      <c r="S30" s="22"/>
      <c r="T30" s="29"/>
      <c r="U30" s="37"/>
      <c r="V30" s="38"/>
      <c r="W30" s="15"/>
      <c r="X30" s="39"/>
      <c r="Y30" s="40"/>
      <c r="Z30" s="15"/>
      <c r="AA30" s="29"/>
      <c r="AB30" s="41"/>
      <c r="AC30" s="42"/>
      <c r="AD30" s="40"/>
      <c r="AE30" s="26"/>
      <c r="AF30" s="26"/>
      <c r="AG30" s="26"/>
    </row>
    <row r="31" spans="1:33" ht="15.75" customHeight="1" x14ac:dyDescent="0.2">
      <c r="A31" s="15" t="s">
        <v>55</v>
      </c>
      <c r="B31" s="15"/>
      <c r="C31" s="16"/>
      <c r="D31" s="17"/>
      <c r="E31" s="17"/>
      <c r="F31" s="18"/>
      <c r="G31" s="43"/>
      <c r="H31" s="32"/>
      <c r="I31" s="32"/>
      <c r="J31" s="33"/>
      <c r="K31" s="33"/>
      <c r="L31" s="17"/>
      <c r="M31" s="34"/>
      <c r="N31" s="17"/>
      <c r="O31" s="35"/>
      <c r="P31" s="35"/>
      <c r="Q31" s="30"/>
      <c r="R31" s="30"/>
      <c r="S31" s="22"/>
      <c r="T31" s="15"/>
      <c r="U31" s="23"/>
      <c r="V31" s="1"/>
      <c r="W31" s="15"/>
      <c r="X31" s="39"/>
      <c r="Y31" s="40"/>
      <c r="Z31" s="15"/>
      <c r="AA31" s="15"/>
      <c r="AB31" s="41"/>
      <c r="AC31" s="28"/>
      <c r="AD31" s="40"/>
      <c r="AE31" s="44"/>
      <c r="AF31" s="44"/>
      <c r="AG31" s="26"/>
    </row>
    <row r="32" spans="1:33" ht="15.75" customHeight="1" x14ac:dyDescent="0.2">
      <c r="A32" s="15" t="s">
        <v>59</v>
      </c>
      <c r="B32" s="15"/>
      <c r="C32" s="16">
        <f>IFERROR(F32/D32," - ")</f>
        <v>19.989999999999998</v>
      </c>
      <c r="D32" s="17">
        <v>4</v>
      </c>
      <c r="E32" s="17">
        <v>0</v>
      </c>
      <c r="F32" s="18">
        <v>79.959999999999994</v>
      </c>
      <c r="G32" s="18">
        <v>0</v>
      </c>
      <c r="H32" s="32">
        <f>G32/F32*-1</f>
        <v>0</v>
      </c>
      <c r="I32" s="32">
        <f>J32/F32</f>
        <v>0.11451830422502909</v>
      </c>
      <c r="J32" s="33">
        <f>F32*0.85+G32+AF32*D32+D32*AE32+AG32+AD32</f>
        <v>9.1568836058333254</v>
      </c>
      <c r="K32" s="33">
        <f>J32/D32</f>
        <v>2.2892209014583313</v>
      </c>
      <c r="L32" s="17">
        <v>13</v>
      </c>
      <c r="M32" s="34">
        <f>IFERROR(D32/L32,"-")</f>
        <v>0.30769230769230771</v>
      </c>
      <c r="N32" s="17">
        <v>96</v>
      </c>
      <c r="O32" s="35">
        <f t="shared" ref="O32:P32" si="1">D32/7</f>
        <v>0.5714285714285714</v>
      </c>
      <c r="P32" s="35">
        <f t="shared" si="1"/>
        <v>0</v>
      </c>
      <c r="Q32" s="30">
        <f>ROUNDDOWN(N32/(O32+P32),0)</f>
        <v>168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0.16666666666666671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>IFERROR(W32/D32,0)</f>
        <v>0</v>
      </c>
      <c r="Y32" s="40">
        <f>IFERROR(G32/(W32+Z32)*-1,0)</f>
        <v>0</v>
      </c>
      <c r="Z32" s="15">
        <v>0</v>
      </c>
      <c r="AA32" s="15" t="s">
        <v>58</v>
      </c>
      <c r="AB32" s="41">
        <f>IF(OR(AA32="UsLargeStandardSize",AA32="UsSmallStandardSize"),-0.69,-0.48)</f>
        <v>-0.69</v>
      </c>
      <c r="AC32" s="28">
        <v>0.34947760763888885</v>
      </c>
      <c r="AD32" s="40">
        <f>IFERROR(AB32*AC32*D32*2,0)</f>
        <v>-1.9291163941666662</v>
      </c>
      <c r="AE32" s="26">
        <v>-7.48</v>
      </c>
      <c r="AF32" s="49">
        <v>-6.74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2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</row>
    <row r="225" spans="1:33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</row>
    <row r="226" spans="1:33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</row>
    <row r="227" spans="1:33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</row>
    <row r="228" spans="1:33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</row>
    <row r="229" spans="1:33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</row>
    <row r="230" spans="1:33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</row>
    <row r="231" spans="1:33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</row>
    <row r="232" spans="1:33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</row>
    <row r="233" spans="1:33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</row>
    <row r="234" spans="1:33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</row>
    <row r="235" spans="1:33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</row>
    <row r="236" spans="1:33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</row>
    <row r="237" spans="1:33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</row>
    <row r="238" spans="1:33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</row>
    <row r="239" spans="1:33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</row>
    <row r="240" spans="1:33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</row>
    <row r="241" spans="1:33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</row>
    <row r="242" spans="1:33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</row>
    <row r="243" spans="1:33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</row>
    <row r="244" spans="1:33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</row>
    <row r="245" spans="1:33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</row>
    <row r="246" spans="1:33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</row>
    <row r="247" spans="1:33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</row>
    <row r="248" spans="1:33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</row>
    <row r="249" spans="1:33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</row>
    <row r="250" spans="1:33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</row>
    <row r="251" spans="1:33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</row>
    <row r="252" spans="1:33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</row>
    <row r="253" spans="1:33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</row>
    <row r="254" spans="1:33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</row>
    <row r="255" spans="1:33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</row>
    <row r="256" spans="1:33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</row>
    <row r="257" spans="1:33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</row>
    <row r="258" spans="1:33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</row>
    <row r="259" spans="1:33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</row>
    <row r="260" spans="1:33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</row>
    <row r="261" spans="1:33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</row>
    <row r="262" spans="1:33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</row>
    <row r="263" spans="1:33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</row>
    <row r="264" spans="1:33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</row>
    <row r="265" spans="1:33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</row>
    <row r="266" spans="1:33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</row>
    <row r="267" spans="1:33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</row>
    <row r="268" spans="1:33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</row>
    <row r="269" spans="1:33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</row>
    <row r="270" spans="1:33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</row>
    <row r="271" spans="1:33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</row>
    <row r="272" spans="1:33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</row>
    <row r="273" spans="1:33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</row>
    <row r="274" spans="1:33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</row>
    <row r="275" spans="1:33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</row>
    <row r="276" spans="1:33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</row>
    <row r="277" spans="1:33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</row>
    <row r="278" spans="1:33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</row>
    <row r="279" spans="1:33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</row>
    <row r="280" spans="1:33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</row>
    <row r="281" spans="1:33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</row>
    <row r="282" spans="1:33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</row>
    <row r="283" spans="1:33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</row>
    <row r="284" spans="1:33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</row>
    <row r="285" spans="1:33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</row>
    <row r="286" spans="1:33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</row>
    <row r="287" spans="1:33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</row>
    <row r="288" spans="1:33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</row>
    <row r="289" spans="1:33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</row>
    <row r="290" spans="1:33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</row>
    <row r="291" spans="1:33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</row>
    <row r="292" spans="1:33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</row>
    <row r="293" spans="1:33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</row>
    <row r="294" spans="1:33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</row>
    <row r="295" spans="1:33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</row>
    <row r="296" spans="1:33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</row>
    <row r="297" spans="1:33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</row>
    <row r="298" spans="1:33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</row>
    <row r="299" spans="1:33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</row>
    <row r="300" spans="1:33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</row>
    <row r="301" spans="1:33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</row>
    <row r="302" spans="1:33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</row>
    <row r="303" spans="1:33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</row>
    <row r="304" spans="1:33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</row>
    <row r="305" spans="1:33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</row>
    <row r="306" spans="1:33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</row>
    <row r="307" spans="1:33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</row>
    <row r="308" spans="1:33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</row>
    <row r="309" spans="1:33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</row>
    <row r="310" spans="1:33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</row>
    <row r="311" spans="1:33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</row>
    <row r="312" spans="1:33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</row>
    <row r="313" spans="1:33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</row>
    <row r="314" spans="1:33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</row>
    <row r="315" spans="1:33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</row>
    <row r="316" spans="1:33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</row>
    <row r="317" spans="1:33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</row>
    <row r="318" spans="1:33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</row>
    <row r="319" spans="1:33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</row>
    <row r="320" spans="1:33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</row>
    <row r="321" spans="1:33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</row>
    <row r="322" spans="1:33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</row>
    <row r="323" spans="1:33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</row>
    <row r="324" spans="1:33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</row>
    <row r="325" spans="1:33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</row>
    <row r="326" spans="1:33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</row>
    <row r="327" spans="1:33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</row>
    <row r="328" spans="1:33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</row>
    <row r="329" spans="1:33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</row>
    <row r="330" spans="1:33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</row>
    <row r="331" spans="1:33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</row>
    <row r="332" spans="1:33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</row>
    <row r="333" spans="1:33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</row>
    <row r="334" spans="1:33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</row>
    <row r="335" spans="1:33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</row>
    <row r="336" spans="1:33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</row>
    <row r="337" spans="1:33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</row>
    <row r="338" spans="1:33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</row>
    <row r="339" spans="1:33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</row>
    <row r="340" spans="1:33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</row>
    <row r="341" spans="1:33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</row>
    <row r="342" spans="1:33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</row>
    <row r="343" spans="1:33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</row>
    <row r="344" spans="1:33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</row>
    <row r="345" spans="1:33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</row>
    <row r="346" spans="1:33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</row>
    <row r="347" spans="1:33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</row>
    <row r="348" spans="1:33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</row>
    <row r="349" spans="1:33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</row>
    <row r="350" spans="1:33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</row>
    <row r="351" spans="1:33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</row>
    <row r="352" spans="1:33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</row>
    <row r="353" spans="1:33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</row>
    <row r="354" spans="1:33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</row>
    <row r="355" spans="1:33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</row>
    <row r="356" spans="1:33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</row>
    <row r="357" spans="1:33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</row>
    <row r="358" spans="1:33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</row>
    <row r="359" spans="1:33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</row>
    <row r="360" spans="1:33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</row>
    <row r="361" spans="1:33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</row>
    <row r="362" spans="1:33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</row>
    <row r="363" spans="1:33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</row>
    <row r="364" spans="1:33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</row>
    <row r="365" spans="1:33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</row>
    <row r="366" spans="1:33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</row>
    <row r="367" spans="1:33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</row>
    <row r="368" spans="1:33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</row>
    <row r="369" spans="1:33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</row>
    <row r="370" spans="1:33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</row>
    <row r="371" spans="1:33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</row>
    <row r="372" spans="1:33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</row>
    <row r="373" spans="1:33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</row>
    <row r="374" spans="1:33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</row>
    <row r="375" spans="1:33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</row>
    <row r="376" spans="1:33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</row>
    <row r="377" spans="1:33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</row>
    <row r="378" spans="1:33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</row>
    <row r="379" spans="1:33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</row>
    <row r="380" spans="1:33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</row>
    <row r="381" spans="1:33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</row>
    <row r="382" spans="1:33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</row>
    <row r="383" spans="1:33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</row>
    <row r="384" spans="1:33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</row>
    <row r="385" spans="1:33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</row>
    <row r="386" spans="1:33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</row>
    <row r="387" spans="1:33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</row>
    <row r="388" spans="1:33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</row>
    <row r="389" spans="1:33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</row>
    <row r="390" spans="1:33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</row>
    <row r="391" spans="1:33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</row>
    <row r="392" spans="1:33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</row>
    <row r="393" spans="1:33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</row>
    <row r="394" spans="1:33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</row>
    <row r="395" spans="1:33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</row>
    <row r="396" spans="1:33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</row>
    <row r="397" spans="1:33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</row>
    <row r="398" spans="1:33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</row>
    <row r="399" spans="1:33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</row>
    <row r="400" spans="1:33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</row>
    <row r="401" spans="1:33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</row>
    <row r="402" spans="1:33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</row>
    <row r="403" spans="1:33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</row>
    <row r="404" spans="1:33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</row>
    <row r="405" spans="1:33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</row>
    <row r="406" spans="1:33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</row>
    <row r="407" spans="1:33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</row>
    <row r="408" spans="1:33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</row>
    <row r="409" spans="1:33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</row>
    <row r="410" spans="1:33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</row>
    <row r="411" spans="1:33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</row>
    <row r="412" spans="1:33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</row>
    <row r="413" spans="1:33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</row>
    <row r="414" spans="1:33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</row>
    <row r="415" spans="1:33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</row>
    <row r="416" spans="1:33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</row>
    <row r="417" spans="1:33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</row>
    <row r="418" spans="1:33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</row>
    <row r="419" spans="1:33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</row>
    <row r="420" spans="1:33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</row>
    <row r="421" spans="1:33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</row>
    <row r="422" spans="1:33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</row>
    <row r="423" spans="1:33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</row>
    <row r="424" spans="1:33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</row>
    <row r="425" spans="1:33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</row>
    <row r="426" spans="1:33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</row>
    <row r="427" spans="1:33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</row>
    <row r="428" spans="1:33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</row>
    <row r="429" spans="1:33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</row>
    <row r="430" spans="1:33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</row>
    <row r="431" spans="1:33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</row>
    <row r="432" spans="1:33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</row>
    <row r="433" spans="1:33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</row>
    <row r="434" spans="1:33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</row>
    <row r="435" spans="1:33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</row>
    <row r="436" spans="1:33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</row>
    <row r="437" spans="1:33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</row>
    <row r="438" spans="1:33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</row>
    <row r="439" spans="1:33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</row>
    <row r="440" spans="1:33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</row>
    <row r="441" spans="1:33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</row>
    <row r="442" spans="1:33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</row>
    <row r="443" spans="1:33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</row>
    <row r="444" spans="1:33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</row>
    <row r="445" spans="1:33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</row>
    <row r="446" spans="1:33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47" spans="1:33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</row>
    <row r="448" spans="1:33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</row>
    <row r="449" spans="1:33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</row>
    <row r="450" spans="1:33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</row>
    <row r="451" spans="1:33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</row>
    <row r="452" spans="1:33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</row>
    <row r="453" spans="1:33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</row>
    <row r="454" spans="1:33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</row>
    <row r="455" spans="1:33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</row>
    <row r="456" spans="1:33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</row>
    <row r="457" spans="1:33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</row>
    <row r="458" spans="1:33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</row>
    <row r="459" spans="1:33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</row>
    <row r="460" spans="1:33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</row>
    <row r="461" spans="1:33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</row>
    <row r="462" spans="1:33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</row>
    <row r="463" spans="1:33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</row>
    <row r="464" spans="1:33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</row>
    <row r="465" spans="1:33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</row>
    <row r="466" spans="1:33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</row>
    <row r="467" spans="1:33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</row>
    <row r="468" spans="1:33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</row>
    <row r="469" spans="1:33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</row>
    <row r="470" spans="1:33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</row>
    <row r="471" spans="1:33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</row>
    <row r="472" spans="1:33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</row>
    <row r="473" spans="1:33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</row>
    <row r="474" spans="1:33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</row>
    <row r="475" spans="1:33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</row>
    <row r="476" spans="1:33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</row>
    <row r="477" spans="1:33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</row>
    <row r="478" spans="1:33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</row>
    <row r="479" spans="1:33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</row>
    <row r="480" spans="1:33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</row>
    <row r="481" spans="1:33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</row>
    <row r="482" spans="1:33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</row>
    <row r="483" spans="1:33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</row>
    <row r="484" spans="1:33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</row>
    <row r="485" spans="1:33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</row>
    <row r="486" spans="1:33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</row>
    <row r="487" spans="1:33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</row>
    <row r="488" spans="1:33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</row>
    <row r="489" spans="1:33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</row>
    <row r="490" spans="1:33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</row>
    <row r="491" spans="1:33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</row>
    <row r="492" spans="1:33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</row>
    <row r="493" spans="1:33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</row>
    <row r="494" spans="1:33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</row>
    <row r="495" spans="1:33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</row>
    <row r="496" spans="1:33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1:33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1:33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1:33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1:33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1:33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1:33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1:33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1:33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1:33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1:33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1:33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1:33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1:33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1:33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1:33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1:33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3" spans="1:33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</row>
    <row r="514" spans="1:33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</row>
    <row r="515" spans="1:33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</row>
    <row r="516" spans="1:33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</row>
    <row r="517" spans="1:33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</row>
    <row r="518" spans="1:33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</row>
    <row r="519" spans="1:33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</row>
    <row r="520" spans="1:33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</row>
    <row r="521" spans="1:33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</row>
    <row r="522" spans="1:33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</row>
    <row r="523" spans="1:33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</row>
    <row r="524" spans="1:33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</row>
    <row r="525" spans="1:33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</row>
    <row r="526" spans="1:33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</row>
    <row r="527" spans="1:33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</row>
    <row r="528" spans="1:33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</row>
    <row r="529" spans="1:33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</row>
    <row r="530" spans="1:33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</row>
    <row r="531" spans="1:33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</row>
    <row r="532" spans="1:33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</row>
    <row r="533" spans="1:33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</row>
    <row r="534" spans="1:33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</row>
    <row r="535" spans="1:33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</row>
    <row r="536" spans="1:33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</row>
    <row r="537" spans="1:33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</row>
    <row r="538" spans="1:33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</row>
    <row r="539" spans="1:33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</row>
    <row r="540" spans="1:33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</row>
    <row r="541" spans="1:33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</row>
    <row r="542" spans="1:33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</row>
    <row r="543" spans="1:33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</row>
    <row r="544" spans="1:33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</row>
    <row r="545" spans="1:33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</row>
    <row r="546" spans="1:33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</row>
    <row r="547" spans="1:33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</row>
    <row r="548" spans="1:33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</row>
    <row r="549" spans="1:33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</row>
    <row r="550" spans="1:33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</row>
    <row r="551" spans="1:33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</row>
    <row r="552" spans="1:33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</row>
    <row r="553" spans="1:33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</row>
    <row r="554" spans="1:33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</row>
    <row r="555" spans="1:33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</row>
    <row r="556" spans="1:33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</row>
    <row r="557" spans="1:33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</row>
    <row r="558" spans="1:33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</row>
    <row r="559" spans="1:33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</row>
    <row r="560" spans="1:33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</row>
    <row r="561" spans="1:33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</row>
    <row r="562" spans="1:33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</row>
    <row r="563" spans="1:33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</row>
    <row r="564" spans="1:33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</row>
    <row r="565" spans="1:33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</row>
    <row r="566" spans="1:33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</row>
    <row r="567" spans="1:33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</row>
    <row r="568" spans="1:33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</row>
    <row r="569" spans="1:33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</row>
    <row r="570" spans="1:33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</row>
    <row r="571" spans="1:33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</row>
    <row r="572" spans="1:33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</row>
    <row r="573" spans="1:33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</row>
    <row r="574" spans="1:33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</row>
    <row r="575" spans="1:33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</row>
    <row r="576" spans="1:33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</row>
    <row r="577" spans="1:33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</row>
    <row r="578" spans="1:33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</row>
    <row r="579" spans="1:33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</row>
    <row r="580" spans="1:33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</row>
    <row r="581" spans="1:33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</row>
    <row r="582" spans="1:33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</row>
    <row r="583" spans="1:33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</row>
    <row r="584" spans="1:33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</row>
    <row r="585" spans="1:33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</row>
    <row r="586" spans="1:33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</row>
    <row r="587" spans="1:33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</row>
    <row r="588" spans="1:33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</row>
    <row r="589" spans="1:33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</row>
    <row r="590" spans="1:33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</row>
    <row r="591" spans="1:33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</row>
    <row r="592" spans="1:33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</row>
    <row r="593" spans="1:33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</row>
    <row r="594" spans="1:33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</row>
    <row r="595" spans="1:33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</row>
    <row r="596" spans="1:33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</row>
    <row r="597" spans="1:33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</row>
    <row r="598" spans="1:33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</row>
    <row r="599" spans="1:33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</row>
    <row r="600" spans="1:33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</row>
    <row r="601" spans="1:33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</row>
    <row r="602" spans="1:33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</row>
    <row r="603" spans="1:33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</row>
    <row r="604" spans="1:33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</row>
    <row r="605" spans="1:33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</row>
    <row r="606" spans="1:33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</row>
    <row r="607" spans="1:33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</row>
    <row r="608" spans="1:33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</row>
    <row r="609" spans="1:33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</row>
    <row r="610" spans="1:33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</row>
    <row r="611" spans="1:33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</row>
    <row r="612" spans="1:33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</row>
    <row r="613" spans="1:33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</row>
    <row r="614" spans="1:33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</row>
    <row r="615" spans="1:33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</row>
    <row r="616" spans="1:33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</row>
    <row r="617" spans="1:33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</row>
    <row r="618" spans="1:33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</row>
    <row r="619" spans="1:33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</row>
    <row r="620" spans="1:33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</row>
    <row r="621" spans="1:33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</row>
    <row r="622" spans="1:33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</row>
    <row r="623" spans="1:33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</row>
    <row r="624" spans="1:33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</row>
    <row r="625" spans="1:33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</row>
    <row r="626" spans="1:33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</row>
    <row r="627" spans="1:33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</row>
    <row r="628" spans="1:33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</row>
    <row r="629" spans="1:33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</row>
    <row r="630" spans="1:33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</row>
    <row r="631" spans="1:33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</row>
    <row r="632" spans="1:33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</row>
    <row r="633" spans="1:33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</row>
    <row r="634" spans="1:33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</row>
    <row r="635" spans="1:33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</row>
    <row r="636" spans="1:33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</row>
    <row r="637" spans="1:33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</row>
    <row r="638" spans="1:33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</row>
    <row r="639" spans="1:33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</row>
    <row r="640" spans="1:33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</row>
    <row r="641" spans="1:33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</row>
    <row r="642" spans="1:33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</row>
    <row r="643" spans="1:33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</row>
    <row r="644" spans="1:33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</row>
    <row r="645" spans="1:33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</row>
    <row r="646" spans="1:33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</row>
    <row r="647" spans="1:33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</row>
    <row r="648" spans="1:33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</row>
    <row r="649" spans="1:33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</row>
    <row r="650" spans="1:33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</row>
    <row r="651" spans="1:33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</row>
    <row r="652" spans="1:33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</row>
    <row r="653" spans="1:33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</row>
    <row r="654" spans="1:33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</row>
    <row r="655" spans="1:33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</row>
    <row r="656" spans="1:33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</row>
    <row r="657" spans="1:33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</row>
    <row r="658" spans="1:33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</row>
    <row r="659" spans="1:33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</row>
    <row r="660" spans="1:33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</row>
    <row r="661" spans="1:33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</row>
    <row r="662" spans="1:33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</row>
    <row r="663" spans="1:33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</row>
    <row r="664" spans="1:33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</row>
    <row r="665" spans="1:33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</row>
    <row r="666" spans="1:33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</row>
    <row r="667" spans="1:33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</row>
    <row r="668" spans="1:33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</row>
    <row r="669" spans="1:33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</row>
    <row r="670" spans="1:33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</row>
    <row r="671" spans="1:33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</row>
    <row r="672" spans="1:33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</row>
    <row r="673" spans="1:33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</row>
    <row r="674" spans="1:33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</row>
    <row r="675" spans="1:33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</row>
    <row r="676" spans="1:33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</row>
    <row r="677" spans="1:33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</row>
    <row r="678" spans="1:33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</row>
    <row r="679" spans="1:33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</row>
    <row r="680" spans="1:33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</row>
    <row r="681" spans="1:33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</row>
    <row r="682" spans="1:33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</row>
    <row r="683" spans="1:33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</row>
    <row r="684" spans="1:33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</row>
    <row r="685" spans="1:33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</row>
    <row r="686" spans="1:33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</row>
    <row r="687" spans="1:33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</row>
    <row r="688" spans="1:33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</row>
    <row r="689" spans="1:33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</row>
    <row r="690" spans="1:33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</row>
    <row r="691" spans="1:33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</row>
    <row r="692" spans="1:33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</row>
    <row r="693" spans="1:33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</row>
    <row r="694" spans="1:33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</row>
    <row r="695" spans="1:33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</row>
    <row r="696" spans="1:33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</row>
    <row r="697" spans="1:33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</row>
    <row r="698" spans="1:33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</row>
    <row r="699" spans="1:33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</row>
    <row r="700" spans="1:33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</row>
    <row r="701" spans="1:33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</row>
    <row r="702" spans="1:33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</row>
    <row r="703" spans="1:33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</row>
    <row r="704" spans="1:33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</row>
    <row r="705" spans="1:33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</row>
    <row r="706" spans="1:33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</row>
    <row r="707" spans="1:33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</row>
    <row r="708" spans="1:33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</row>
    <row r="709" spans="1:33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</row>
    <row r="710" spans="1:33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</row>
    <row r="711" spans="1:33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</row>
    <row r="712" spans="1:33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</row>
    <row r="713" spans="1:33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</row>
    <row r="714" spans="1:33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</row>
    <row r="715" spans="1:33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</row>
    <row r="716" spans="1:33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</row>
    <row r="717" spans="1:33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</row>
    <row r="718" spans="1:33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</row>
    <row r="719" spans="1:33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</row>
    <row r="720" spans="1:33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</row>
    <row r="721" spans="1:33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</row>
    <row r="722" spans="1:33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</row>
    <row r="723" spans="1:33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</row>
    <row r="724" spans="1:33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</row>
    <row r="725" spans="1:33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</row>
    <row r="726" spans="1:33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</row>
    <row r="727" spans="1:33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</row>
    <row r="728" spans="1:33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</row>
    <row r="729" spans="1:33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</row>
    <row r="730" spans="1:33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</row>
    <row r="731" spans="1:33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</row>
    <row r="732" spans="1:33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</row>
    <row r="733" spans="1:33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</row>
    <row r="734" spans="1:33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</row>
    <row r="735" spans="1:33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</row>
    <row r="736" spans="1:33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</row>
    <row r="737" spans="1:33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</row>
    <row r="738" spans="1:33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</row>
    <row r="739" spans="1:33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</row>
    <row r="740" spans="1:33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</row>
    <row r="741" spans="1:33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</row>
    <row r="742" spans="1:33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</row>
    <row r="743" spans="1:33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</row>
    <row r="744" spans="1:33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</row>
    <row r="745" spans="1:33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</row>
    <row r="746" spans="1:33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</row>
    <row r="747" spans="1:33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</row>
    <row r="748" spans="1:33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</row>
    <row r="749" spans="1:33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</row>
    <row r="750" spans="1:33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</row>
    <row r="751" spans="1:33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</row>
    <row r="752" spans="1:33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</row>
    <row r="753" spans="1:33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</row>
    <row r="754" spans="1:33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</row>
    <row r="755" spans="1:33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</row>
    <row r="756" spans="1:33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</row>
    <row r="757" spans="1:33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</row>
    <row r="758" spans="1:33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</row>
    <row r="759" spans="1:33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</row>
    <row r="760" spans="1:33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</row>
    <row r="761" spans="1:33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</row>
    <row r="762" spans="1:33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</row>
    <row r="763" spans="1:33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</row>
    <row r="764" spans="1:33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</row>
    <row r="765" spans="1:33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</row>
    <row r="766" spans="1:33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</row>
    <row r="767" spans="1:33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</row>
    <row r="768" spans="1:33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</row>
    <row r="769" spans="1:33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</row>
    <row r="770" spans="1:33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</row>
    <row r="771" spans="1:33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</row>
    <row r="772" spans="1:33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</row>
    <row r="773" spans="1:33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</row>
    <row r="774" spans="1:33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</row>
    <row r="775" spans="1:33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</row>
    <row r="776" spans="1:33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</row>
    <row r="777" spans="1:33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</row>
    <row r="778" spans="1:33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</row>
    <row r="779" spans="1:33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</row>
    <row r="780" spans="1:33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</row>
    <row r="781" spans="1:33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</row>
    <row r="782" spans="1:33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</row>
    <row r="783" spans="1:33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</row>
    <row r="784" spans="1:33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</row>
    <row r="785" spans="1:33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</row>
    <row r="786" spans="1:33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</row>
    <row r="787" spans="1:33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</row>
    <row r="788" spans="1:33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</row>
    <row r="789" spans="1:33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</row>
    <row r="790" spans="1:33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</row>
    <row r="791" spans="1:33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</row>
    <row r="792" spans="1:33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</row>
    <row r="793" spans="1:33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</row>
    <row r="794" spans="1:33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</row>
    <row r="795" spans="1:33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</row>
    <row r="796" spans="1:33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</row>
    <row r="797" spans="1:33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</row>
    <row r="798" spans="1:33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</row>
    <row r="799" spans="1:33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</row>
    <row r="800" spans="1:33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</row>
    <row r="801" spans="1:33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</row>
    <row r="802" spans="1:33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</row>
    <row r="803" spans="1:33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</row>
    <row r="804" spans="1:33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</row>
    <row r="805" spans="1:33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</row>
    <row r="806" spans="1:33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</row>
    <row r="807" spans="1:33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</row>
    <row r="808" spans="1:33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</row>
    <row r="809" spans="1:33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</row>
    <row r="810" spans="1:33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</row>
    <row r="811" spans="1:33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</row>
    <row r="812" spans="1:33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</row>
    <row r="813" spans="1:33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</row>
    <row r="814" spans="1:33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</row>
    <row r="815" spans="1:33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</row>
    <row r="816" spans="1:33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</row>
    <row r="817" spans="1:33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</row>
    <row r="818" spans="1:33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</row>
    <row r="819" spans="1:33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</row>
    <row r="820" spans="1:33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</row>
    <row r="821" spans="1:33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</row>
    <row r="822" spans="1:33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</row>
    <row r="823" spans="1:33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</row>
    <row r="824" spans="1:33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</row>
    <row r="825" spans="1:33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</row>
    <row r="826" spans="1:33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</row>
    <row r="827" spans="1:33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</row>
    <row r="828" spans="1:33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</row>
    <row r="829" spans="1:33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</row>
    <row r="830" spans="1:33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</row>
    <row r="831" spans="1:33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</row>
    <row r="832" spans="1:33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</row>
    <row r="833" spans="1:33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</row>
    <row r="834" spans="1:33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</row>
    <row r="835" spans="1:33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</row>
    <row r="836" spans="1:33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</row>
    <row r="837" spans="1:33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</row>
    <row r="838" spans="1:33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</row>
    <row r="839" spans="1:33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</row>
    <row r="840" spans="1:33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</row>
    <row r="841" spans="1:33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</row>
    <row r="842" spans="1:33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</row>
    <row r="843" spans="1:33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</row>
    <row r="844" spans="1:33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</row>
    <row r="845" spans="1:33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</row>
    <row r="846" spans="1:33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</row>
    <row r="847" spans="1:33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</row>
    <row r="848" spans="1:33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</row>
    <row r="849" spans="1:33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</row>
    <row r="850" spans="1:33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</row>
    <row r="851" spans="1:33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</row>
    <row r="852" spans="1:33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</row>
    <row r="853" spans="1:33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</row>
    <row r="854" spans="1:33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</row>
    <row r="855" spans="1:33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</row>
    <row r="856" spans="1:33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</row>
    <row r="857" spans="1:33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</row>
    <row r="858" spans="1:33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</row>
    <row r="859" spans="1:33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</row>
    <row r="860" spans="1:33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</row>
    <row r="861" spans="1:33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</row>
    <row r="862" spans="1:33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</row>
    <row r="863" spans="1:33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</row>
    <row r="864" spans="1:33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</row>
    <row r="865" spans="1:33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</row>
    <row r="866" spans="1:33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</row>
    <row r="867" spans="1:33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</row>
    <row r="868" spans="1:33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</row>
    <row r="869" spans="1:33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</row>
    <row r="870" spans="1:33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</row>
    <row r="871" spans="1:33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</row>
    <row r="872" spans="1:33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</row>
    <row r="873" spans="1:33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</row>
    <row r="874" spans="1:33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</row>
    <row r="875" spans="1:33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</row>
    <row r="876" spans="1:33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</row>
    <row r="877" spans="1:33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</row>
    <row r="878" spans="1:33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</row>
    <row r="879" spans="1:33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</row>
    <row r="880" spans="1:33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</row>
    <row r="881" spans="1:33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</row>
    <row r="882" spans="1:33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</row>
    <row r="883" spans="1:33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</row>
    <row r="884" spans="1:33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</row>
    <row r="885" spans="1:33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</row>
    <row r="886" spans="1:33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</row>
    <row r="887" spans="1:33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</row>
    <row r="888" spans="1:33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</row>
    <row r="889" spans="1:33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</row>
    <row r="890" spans="1:33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</row>
    <row r="891" spans="1:33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</row>
    <row r="892" spans="1:33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</row>
    <row r="893" spans="1:33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</row>
    <row r="894" spans="1:33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</row>
    <row r="895" spans="1:33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</row>
    <row r="896" spans="1:33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</row>
    <row r="897" spans="1:33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</row>
    <row r="898" spans="1:33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</row>
    <row r="899" spans="1:33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</row>
    <row r="900" spans="1:33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</row>
    <row r="901" spans="1:33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</row>
    <row r="902" spans="1:33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</row>
    <row r="903" spans="1:33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</row>
    <row r="904" spans="1:33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</row>
    <row r="905" spans="1:33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</row>
    <row r="906" spans="1:33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</row>
    <row r="907" spans="1:33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</row>
    <row r="908" spans="1:33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</row>
    <row r="909" spans="1:33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</row>
    <row r="910" spans="1:33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</row>
    <row r="911" spans="1:33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</row>
    <row r="912" spans="1:33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</row>
    <row r="913" spans="1:33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</row>
    <row r="914" spans="1:33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</row>
    <row r="915" spans="1:33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</row>
    <row r="916" spans="1:33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</row>
    <row r="917" spans="1:33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</row>
    <row r="918" spans="1:33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</row>
    <row r="919" spans="1:33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</row>
    <row r="920" spans="1:33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</row>
    <row r="921" spans="1:33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</row>
    <row r="922" spans="1:33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</row>
    <row r="923" spans="1:33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</row>
    <row r="924" spans="1:33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</row>
    <row r="925" spans="1:33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</row>
    <row r="926" spans="1:33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</row>
    <row r="927" spans="1:33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</row>
    <row r="928" spans="1:33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</row>
    <row r="929" spans="1:33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</row>
    <row r="930" spans="1:33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</row>
    <row r="931" spans="1:33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</row>
    <row r="932" spans="1:33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</row>
    <row r="933" spans="1:33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</row>
    <row r="934" spans="1:33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</row>
    <row r="935" spans="1:33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</row>
    <row r="936" spans="1:33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</row>
    <row r="937" spans="1:33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</row>
    <row r="938" spans="1:33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</row>
    <row r="939" spans="1:33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</row>
    <row r="940" spans="1:33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</row>
    <row r="941" spans="1:33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</row>
    <row r="942" spans="1:33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</row>
    <row r="943" spans="1:33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</row>
    <row r="944" spans="1:33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</row>
    <row r="945" spans="1:33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</row>
    <row r="946" spans="1:33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</row>
    <row r="947" spans="1:33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</row>
    <row r="948" spans="1:33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</row>
    <row r="949" spans="1:33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</row>
    <row r="950" spans="1:33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</row>
    <row r="951" spans="1:33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</row>
    <row r="952" spans="1:33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</row>
    <row r="953" spans="1:33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</row>
    <row r="954" spans="1:33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</row>
    <row r="955" spans="1:33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</row>
    <row r="956" spans="1:33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</row>
    <row r="957" spans="1:33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</row>
    <row r="958" spans="1:33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</row>
    <row r="959" spans="1:33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</row>
    <row r="960" spans="1:33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</row>
    <row r="961" spans="1:33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</row>
    <row r="962" spans="1:33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</row>
    <row r="963" spans="1:33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</row>
    <row r="964" spans="1:33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</row>
    <row r="965" spans="1:33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</row>
    <row r="966" spans="1:33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</row>
    <row r="967" spans="1:33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</row>
    <row r="968" spans="1:33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</row>
    <row r="969" spans="1:33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</row>
    <row r="970" spans="1:33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</row>
    <row r="971" spans="1:33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</row>
    <row r="972" spans="1:33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</row>
    <row r="973" spans="1:33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</row>
    <row r="974" spans="1:33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</row>
    <row r="975" spans="1:33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</row>
    <row r="976" spans="1:33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</row>
    <row r="977" spans="1:33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</row>
    <row r="978" spans="1:33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</row>
    <row r="979" spans="1:33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</row>
    <row r="980" spans="1:33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</row>
    <row r="981" spans="1:33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</row>
    <row r="982" spans="1:33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</row>
    <row r="983" spans="1:33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</row>
    <row r="984" spans="1:33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</row>
    <row r="985" spans="1:33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</row>
    <row r="986" spans="1:33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</row>
    <row r="987" spans="1:33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</row>
    <row r="988" spans="1:33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</row>
    <row r="989" spans="1:33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</row>
    <row r="990" spans="1:33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</row>
    <row r="991" spans="1:33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</row>
    <row r="992" spans="1:33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</row>
    <row r="993" spans="1:33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</row>
    <row r="994" spans="1:33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</row>
    <row r="995" spans="1:33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</row>
    <row r="996" spans="1:33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</row>
    <row r="997" spans="1:33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</row>
    <row r="998" spans="1:33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</row>
    <row r="999" spans="1:33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</row>
    <row r="1000" spans="1:33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Light Blue &amp; Gray")</f>
        <v>Corn Filled Cornhole Bags - Set of 8 Bean Bags for Corn Hole Game - Regulation Size &amp; Weight - Light Blue &amp; Gray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Info!B1:BJ7000""),2,FALSE),"""")"),"B07ZTPXRD4")</f>
        <v>B07ZTPXRD4</v>
      </c>
      <c r="B2" s="47" t="s">
        <v>235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15.311607357352942</v>
      </c>
      <c r="D3" s="5">
        <f>SUM(D4:D99765)</f>
        <v>28</v>
      </c>
      <c r="E3" s="5"/>
      <c r="F3" s="6">
        <f t="shared" ref="F3:G3" si="0">SUM(F4:F99765)</f>
        <v>559.72</v>
      </c>
      <c r="G3" s="6">
        <f t="shared" si="0"/>
        <v>-37.47</v>
      </c>
      <c r="H3" s="7">
        <f t="shared" ref="H3:H32" si="1">G3/F3*-1</f>
        <v>6.6944186378903731E-2</v>
      </c>
      <c r="I3" s="8">
        <f t="shared" ref="I3:I32" si="2">J3/F3</f>
        <v>9.3856756840473704E-2</v>
      </c>
      <c r="J3" s="6">
        <f>SUM(J4:J99765)</f>
        <v>52.533503938749945</v>
      </c>
      <c r="K3" s="6">
        <f t="shared" ref="K3:K32" si="3">J3/D3</f>
        <v>1.8761965692410694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1.5 - April
2 - May
3 - June
2.5 - July
2 - Aug
1.5 - Sept
1 - Oct
0 - Nov
0 - Dec
0.1 - Jan
0.1 - Feb")</f>
        <v>1 - March
1.5 - April
2 - May
3 - June
2.5 - July
2 - Aug
1.5 - Sept
1 -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</v>
      </c>
      <c r="X3" s="7">
        <f>W3/D3</f>
        <v>3.5714285714285712E-2</v>
      </c>
      <c r="Y3" s="6"/>
      <c r="Z3" s="5"/>
      <c r="AA3" s="5"/>
      <c r="AB3" s="5"/>
      <c r="AC3" s="5"/>
      <c r="AD3" s="6">
        <f>SUM(AD4:AD99765)</f>
        <v>-10.202209762500001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48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-5.5571024358974359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148</v>
      </c>
      <c r="U5" s="37">
        <v>100</v>
      </c>
      <c r="V5" s="38" t="s">
        <v>81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148</v>
      </c>
      <c r="U6" s="37">
        <v>100</v>
      </c>
      <c r="V6" s="38" t="s">
        <v>82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148</v>
      </c>
      <c r="U7" s="37">
        <v>100</v>
      </c>
      <c r="V7" s="38" t="s">
        <v>83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48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48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48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196</v>
      </c>
      <c r="U11" s="37">
        <v>100</v>
      </c>
      <c r="V11" s="38" t="s">
        <v>85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100</v>
      </c>
      <c r="U12" s="37">
        <v>100</v>
      </c>
      <c r="V12" s="38" t="s">
        <v>86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100</v>
      </c>
      <c r="U13" s="37">
        <v>100</v>
      </c>
      <c r="V13" s="38" t="s">
        <v>87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100</v>
      </c>
      <c r="U14" s="37">
        <v>100</v>
      </c>
      <c r="V14" s="38" t="s">
        <v>88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100</v>
      </c>
      <c r="U15" s="37">
        <v>100</v>
      </c>
      <c r="V15" s="38" t="s">
        <v>89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100</v>
      </c>
      <c r="U16" s="37">
        <v>100</v>
      </c>
      <c r="V16" s="38" t="s">
        <v>89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-6.5775350000000001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100</v>
      </c>
      <c r="U17" s="37">
        <v>100</v>
      </c>
      <c r="V17" s="38" t="s">
        <v>89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-6.5775350000000001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328</v>
      </c>
      <c r="U18" s="37">
        <v>80</v>
      </c>
      <c r="V18" s="38" t="s">
        <v>226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-6.5775350000000001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328</v>
      </c>
      <c r="U19" s="37">
        <v>80</v>
      </c>
      <c r="V19" s="38" t="s">
        <v>226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328</v>
      </c>
      <c r="U20" s="37">
        <v>80</v>
      </c>
      <c r="V20" s="38" t="s">
        <v>226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328</v>
      </c>
      <c r="U21" s="37">
        <v>80</v>
      </c>
      <c r="V21" s="38" t="s">
        <v>226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328</v>
      </c>
      <c r="U22" s="37">
        <v>80</v>
      </c>
      <c r="V22" s="38" t="s">
        <v>227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328</v>
      </c>
      <c r="U23" s="37">
        <v>80</v>
      </c>
      <c r="V23" s="38" t="s">
        <v>227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328</v>
      </c>
      <c r="U24" s="37">
        <v>80</v>
      </c>
      <c r="V24" s="38" t="s">
        <v>228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58</v>
      </c>
      <c r="AB24" s="41">
        <f t="shared" si="11"/>
        <v>-0.69</v>
      </c>
      <c r="AC24" s="28">
        <v>0.26403234375000001</v>
      </c>
      <c r="AD24" s="40">
        <f t="shared" si="12"/>
        <v>0</v>
      </c>
      <c r="AE24" s="26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0.26403234375000001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 t="s">
        <v>236</v>
      </c>
      <c r="C26" s="16">
        <f t="shared" si="4"/>
        <v>19.989999999999998</v>
      </c>
      <c r="D26" s="17">
        <v>1</v>
      </c>
      <c r="E26" s="17">
        <v>0</v>
      </c>
      <c r="F26" s="18">
        <v>19.989999999999998</v>
      </c>
      <c r="G26" s="18">
        <v>0</v>
      </c>
      <c r="H26" s="32">
        <f t="shared" si="1"/>
        <v>0</v>
      </c>
      <c r="I26" s="32">
        <f t="shared" si="2"/>
        <v>0.14355179417833908</v>
      </c>
      <c r="J26" s="33">
        <f t="shared" si="5"/>
        <v>2.869600365624998</v>
      </c>
      <c r="K26" s="33">
        <f t="shared" si="3"/>
        <v>2.869600365624998</v>
      </c>
      <c r="L26" s="17">
        <v>0</v>
      </c>
      <c r="M26" s="34" t="str">
        <f t="shared" si="6"/>
        <v>-</v>
      </c>
      <c r="N26" s="17">
        <v>79</v>
      </c>
      <c r="O26" s="35">
        <f t="shared" ref="O26:P26" si="34">D26/7</f>
        <v>0.14285714285714285</v>
      </c>
      <c r="P26" s="35">
        <f t="shared" si="34"/>
        <v>0</v>
      </c>
      <c r="Q26" s="30">
        <f t="shared" si="8"/>
        <v>553</v>
      </c>
      <c r="R26" s="30"/>
      <c r="S26" s="22">
        <v>0</v>
      </c>
      <c r="T26" s="15">
        <v>528</v>
      </c>
      <c r="U26" s="23">
        <v>280</v>
      </c>
      <c r="V26" s="1" t="s">
        <v>237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0.26403234375000001</v>
      </c>
      <c r="AD26" s="40">
        <f t="shared" si="12"/>
        <v>-0.364364634375</v>
      </c>
      <c r="AE26" s="26">
        <v>-7.18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15" t="s">
        <v>122</v>
      </c>
      <c r="C27" s="16">
        <f t="shared" si="4"/>
        <v>19.989999999999998</v>
      </c>
      <c r="D27" s="17">
        <v>5</v>
      </c>
      <c r="E27" s="17">
        <v>0</v>
      </c>
      <c r="F27" s="18">
        <v>99.949999999999989</v>
      </c>
      <c r="G27" s="18">
        <v>-1.1399999999999999</v>
      </c>
      <c r="H27" s="32">
        <f t="shared" si="1"/>
        <v>1.1405702851425713E-2</v>
      </c>
      <c r="I27" s="32">
        <f t="shared" si="2"/>
        <v>0.1321460913269133</v>
      </c>
      <c r="J27" s="33">
        <f t="shared" si="5"/>
        <v>13.208001828124981</v>
      </c>
      <c r="K27" s="33">
        <f t="shared" si="3"/>
        <v>2.6416003656249964</v>
      </c>
      <c r="L27" s="17">
        <v>17</v>
      </c>
      <c r="M27" s="34">
        <f t="shared" si="6"/>
        <v>0.29411764705882354</v>
      </c>
      <c r="N27" s="17">
        <v>74</v>
      </c>
      <c r="O27" s="35">
        <f t="shared" ref="O27:P27" si="35">D27/7</f>
        <v>0.7142857142857143</v>
      </c>
      <c r="P27" s="35">
        <f t="shared" si="35"/>
        <v>0</v>
      </c>
      <c r="Q27" s="30">
        <f t="shared" si="8"/>
        <v>103</v>
      </c>
      <c r="R27" s="30"/>
      <c r="S27" s="22">
        <v>0.2105263157894737</v>
      </c>
      <c r="T27" s="15">
        <v>528</v>
      </c>
      <c r="U27" s="23">
        <v>280</v>
      </c>
      <c r="V27" s="1" t="s">
        <v>237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0.26403234375000001</v>
      </c>
      <c r="AD27" s="40">
        <f t="shared" si="12"/>
        <v>-1.821823171875</v>
      </c>
      <c r="AE27" s="26">
        <v>-7.18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 t="s">
        <v>238</v>
      </c>
      <c r="C28" s="16">
        <f t="shared" si="4"/>
        <v>19.989999999999998</v>
      </c>
      <c r="D28" s="17">
        <v>4</v>
      </c>
      <c r="E28" s="17">
        <v>0</v>
      </c>
      <c r="F28" s="18">
        <v>79.959999999999994</v>
      </c>
      <c r="G28" s="18">
        <v>-25.47</v>
      </c>
      <c r="H28" s="32">
        <f t="shared" si="1"/>
        <v>0.31853426713356681</v>
      </c>
      <c r="I28" s="32">
        <f t="shared" si="2"/>
        <v>-0.17498247295522767</v>
      </c>
      <c r="J28" s="33">
        <f t="shared" si="5"/>
        <v>-13.991598537500003</v>
      </c>
      <c r="K28" s="33">
        <f t="shared" si="3"/>
        <v>-3.4978996343750008</v>
      </c>
      <c r="L28" s="17">
        <v>14</v>
      </c>
      <c r="M28" s="34">
        <f t="shared" si="6"/>
        <v>0.2857142857142857</v>
      </c>
      <c r="N28" s="17">
        <v>62</v>
      </c>
      <c r="O28" s="35">
        <f t="shared" ref="O28:P28" si="36">D28/7</f>
        <v>0.5714285714285714</v>
      </c>
      <c r="P28" s="35">
        <f t="shared" si="36"/>
        <v>0</v>
      </c>
      <c r="Q28" s="30">
        <f t="shared" si="8"/>
        <v>108</v>
      </c>
      <c r="R28" s="30"/>
      <c r="S28" s="22">
        <v>0.63157894736842102</v>
      </c>
      <c r="T28" s="15">
        <v>528</v>
      </c>
      <c r="U28" s="23">
        <v>280</v>
      </c>
      <c r="V28" s="1" t="s">
        <v>237</v>
      </c>
      <c r="W28" s="15">
        <v>1</v>
      </c>
      <c r="X28" s="39">
        <f t="shared" si="9"/>
        <v>0.25</v>
      </c>
      <c r="Y28" s="40">
        <f t="shared" si="10"/>
        <v>5.0939999999999994</v>
      </c>
      <c r="Z28" s="15">
        <v>4</v>
      </c>
      <c r="AA28" s="29" t="s">
        <v>58</v>
      </c>
      <c r="AB28" s="41">
        <f t="shared" si="11"/>
        <v>-0.69</v>
      </c>
      <c r="AC28" s="42">
        <v>0.26403234375000001</v>
      </c>
      <c r="AD28" s="40">
        <f t="shared" si="12"/>
        <v>-1.4574585375</v>
      </c>
      <c r="AE28" s="26">
        <v>-7.18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 t="s">
        <v>96</v>
      </c>
      <c r="C29" s="16">
        <f t="shared" si="4"/>
        <v>19.989999999999998</v>
      </c>
      <c r="D29" s="17">
        <v>5</v>
      </c>
      <c r="E29" s="17">
        <v>0</v>
      </c>
      <c r="F29" s="18">
        <v>99.949999999999989</v>
      </c>
      <c r="G29" s="18">
        <v>-10.86</v>
      </c>
      <c r="H29" s="32">
        <f t="shared" si="1"/>
        <v>0.1086543271635818</v>
      </c>
      <c r="I29" s="32">
        <f t="shared" si="2"/>
        <v>3.4897467014757211E-2</v>
      </c>
      <c r="J29" s="33">
        <f t="shared" si="5"/>
        <v>3.4880018281249825</v>
      </c>
      <c r="K29" s="33">
        <f t="shared" si="3"/>
        <v>0.6976003656249965</v>
      </c>
      <c r="L29" s="17">
        <v>14</v>
      </c>
      <c r="M29" s="34">
        <f t="shared" si="6"/>
        <v>0.35714285714285715</v>
      </c>
      <c r="N29" s="17">
        <v>63</v>
      </c>
      <c r="O29" s="35">
        <f t="shared" ref="O29:P29" si="37">D29/7</f>
        <v>0.7142857142857143</v>
      </c>
      <c r="P29" s="35">
        <f t="shared" si="37"/>
        <v>0</v>
      </c>
      <c r="Q29" s="30">
        <f t="shared" si="8"/>
        <v>88</v>
      </c>
      <c r="R29" s="30"/>
      <c r="S29" s="22">
        <v>0.88888888888888884</v>
      </c>
      <c r="T29" s="15">
        <v>528</v>
      </c>
      <c r="U29" s="23">
        <v>280</v>
      </c>
      <c r="V29" s="1" t="s">
        <v>239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0.26403234375000001</v>
      </c>
      <c r="AD29" s="40">
        <f t="shared" si="12"/>
        <v>-1.821823171875</v>
      </c>
      <c r="AE29" s="26">
        <v>-7.18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15" t="s">
        <v>96</v>
      </c>
      <c r="C30" s="16">
        <f t="shared" si="4"/>
        <v>19.989999999999998</v>
      </c>
      <c r="D30" s="17">
        <v>4</v>
      </c>
      <c r="E30" s="17">
        <v>0</v>
      </c>
      <c r="F30" s="18">
        <v>79.959999999999994</v>
      </c>
      <c r="G30" s="18">
        <v>0</v>
      </c>
      <c r="H30" s="32">
        <f t="shared" si="1"/>
        <v>0</v>
      </c>
      <c r="I30" s="32">
        <f t="shared" si="2"/>
        <v>0.1807038074974987</v>
      </c>
      <c r="J30" s="33">
        <f t="shared" si="5"/>
        <v>14.449076447499994</v>
      </c>
      <c r="K30" s="33">
        <f t="shared" si="3"/>
        <v>3.6122691118749986</v>
      </c>
      <c r="L30" s="17">
        <v>4</v>
      </c>
      <c r="M30" s="34">
        <f t="shared" si="6"/>
        <v>1</v>
      </c>
      <c r="N30" s="17">
        <v>59</v>
      </c>
      <c r="O30" s="35">
        <f t="shared" ref="O30:P30" si="38">D30/7</f>
        <v>0.5714285714285714</v>
      </c>
      <c r="P30" s="35">
        <f t="shared" si="38"/>
        <v>0</v>
      </c>
      <c r="Q30" s="30">
        <f t="shared" si="8"/>
        <v>103</v>
      </c>
      <c r="R30" s="30"/>
      <c r="S30" s="22">
        <v>1.1333333333333331</v>
      </c>
      <c r="T30" s="29">
        <v>528</v>
      </c>
      <c r="U30" s="37">
        <v>280</v>
      </c>
      <c r="V30" s="38" t="s">
        <v>239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0.26403234375000001</v>
      </c>
      <c r="AD30" s="40">
        <f t="shared" si="12"/>
        <v>-1.4574585375</v>
      </c>
      <c r="AE30" s="26">
        <v>-7.18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4"/>
        <v>19.989999999999998</v>
      </c>
      <c r="D31" s="17">
        <v>3</v>
      </c>
      <c r="E31" s="17">
        <v>0</v>
      </c>
      <c r="F31" s="18">
        <v>59.97</v>
      </c>
      <c r="G31" s="43">
        <v>0</v>
      </c>
      <c r="H31" s="32">
        <f t="shared" si="1"/>
        <v>0</v>
      </c>
      <c r="I31" s="32">
        <f t="shared" si="2"/>
        <v>0.18070380749749873</v>
      </c>
      <c r="J31" s="33">
        <f t="shared" si="5"/>
        <v>10.836807335624998</v>
      </c>
      <c r="K31" s="33">
        <f t="shared" si="3"/>
        <v>3.6122691118749994</v>
      </c>
      <c r="L31" s="17">
        <v>17</v>
      </c>
      <c r="M31" s="34">
        <f t="shared" si="6"/>
        <v>0.17647058823529413</v>
      </c>
      <c r="N31" s="17">
        <v>53</v>
      </c>
      <c r="O31" s="35">
        <f t="shared" ref="O31:P31" si="39">D31/7</f>
        <v>0.42857142857142855</v>
      </c>
      <c r="P31" s="35">
        <f t="shared" si="39"/>
        <v>0</v>
      </c>
      <c r="Q31" s="30">
        <f t="shared" si="8"/>
        <v>123</v>
      </c>
      <c r="R31" s="30"/>
      <c r="S31" s="22">
        <v>0.66165413533834505</v>
      </c>
      <c r="T31" s="15">
        <v>248</v>
      </c>
      <c r="U31" s="23" t="s">
        <v>56</v>
      </c>
      <c r="V31" s="1" t="s">
        <v>240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0.26403234375000001</v>
      </c>
      <c r="AD31" s="40">
        <f t="shared" si="12"/>
        <v>-1.093093903125</v>
      </c>
      <c r="AE31" s="44">
        <v>-7.18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19.989999999999998</v>
      </c>
      <c r="D32" s="17">
        <v>6</v>
      </c>
      <c r="E32" s="17">
        <v>0</v>
      </c>
      <c r="F32" s="18">
        <v>119.94</v>
      </c>
      <c r="G32" s="18">
        <v>0</v>
      </c>
      <c r="H32" s="32">
        <f t="shared" si="1"/>
        <v>0</v>
      </c>
      <c r="I32" s="32">
        <f t="shared" si="2"/>
        <v>0.18070380749749873</v>
      </c>
      <c r="J32" s="33">
        <f t="shared" si="5"/>
        <v>21.673614671249997</v>
      </c>
      <c r="K32" s="33">
        <f t="shared" si="3"/>
        <v>3.6122691118749994</v>
      </c>
      <c r="L32" s="17">
        <v>8</v>
      </c>
      <c r="M32" s="34">
        <f t="shared" si="6"/>
        <v>0.75</v>
      </c>
      <c r="N32" s="17">
        <v>51</v>
      </c>
      <c r="O32" s="35">
        <f t="shared" ref="O32:P32" si="40">D32/7</f>
        <v>0.8571428571428571</v>
      </c>
      <c r="P32" s="35">
        <f t="shared" si="40"/>
        <v>0</v>
      </c>
      <c r="Q32" s="30">
        <f t="shared" si="8"/>
        <v>59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0.5524861878453039</v>
      </c>
      <c r="T32" s="15">
        <f ca="1">IFERROR(__xludf.DUMMYFUNCTION("IFERROR(VLOOKUP($B$2,IMPORTRANGE(""https://docs.google.com/spreadsheets/d/1KiWZV1ko8G7lnRucBRBd29jj3Be6ltMfljMDqzOkQmI/edit#gid=1381463014"",""Lookup!A:D""),4,FALSE),"""")"),248)</f>
        <v>248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248 At Factory 50-75 days from Earliest Arrival")</f>
        <v>No Transit, But 248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0.26403234375000001</v>
      </c>
      <c r="AD32" s="40">
        <f t="shared" si="12"/>
        <v>-2.18618780625</v>
      </c>
      <c r="AE32" s="26">
        <v>-7.18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17.66406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Orange and Black")</f>
        <v>Corn Filled Cornhole Bags - Set of 8 Bean Bags for Corn Hole Game - Orange and Black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Info!B1:BJ7000""),2,FALSE),"""")"),"B07H5QFH21")</f>
        <v>B07H5QFH21</v>
      </c>
      <c r="B2" s="47" t="s">
        <v>241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15.311607357352942</v>
      </c>
      <c r="D3" s="5">
        <f>SUM(D4:D99765)</f>
        <v>54</v>
      </c>
      <c r="E3" s="5"/>
      <c r="F3" s="6">
        <f t="shared" ref="F3:G3" si="0">SUM(F4:F99765)</f>
        <v>1041.46</v>
      </c>
      <c r="G3" s="6">
        <f t="shared" si="0"/>
        <v>-14.1</v>
      </c>
      <c r="H3" s="7">
        <f t="shared" ref="H3:H32" si="1">G3/F3*-1</f>
        <v>1.3538686075317342E-2</v>
      </c>
      <c r="I3" s="8">
        <f t="shared" ref="I3:I32" si="2">J3/F3</f>
        <v>0.12650341458025269</v>
      </c>
      <c r="J3" s="6">
        <f>SUM(J4:J99765)</f>
        <v>131.74824614874996</v>
      </c>
      <c r="K3" s="6">
        <f t="shared" ref="K3:K32" si="3">J3/D3</f>
        <v>2.439782336087962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2 - April
4.5 - May
5 - June
4 - July
3.5 - Aug
2.5 - Sept
1 - Oct
0 - Nov
0 - Dec
0.1 - Jan
0.1 - Feb")</f>
        <v>0.5 - March
2 - April
4.5 - May
5 - June
4 - July
3.5 - Aug
2.5 - Sept
1 -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-16.53792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450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-5.5571024358974359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650</v>
      </c>
      <c r="U5" s="37">
        <v>200</v>
      </c>
      <c r="V5" s="38" t="s">
        <v>150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650</v>
      </c>
      <c r="U6" s="37">
        <v>200</v>
      </c>
      <c r="V6" s="38" t="s">
        <v>151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650</v>
      </c>
      <c r="U7" s="37">
        <v>200</v>
      </c>
      <c r="V7" s="38" t="s">
        <v>152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450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450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450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930</v>
      </c>
      <c r="U11" s="37">
        <v>200</v>
      </c>
      <c r="V11" s="38" t="s">
        <v>242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200</v>
      </c>
      <c r="U12" s="37">
        <v>200</v>
      </c>
      <c r="V12" s="38" t="s">
        <v>154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200</v>
      </c>
      <c r="U13" s="37">
        <v>200</v>
      </c>
      <c r="V13" s="38" t="s">
        <v>155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200</v>
      </c>
      <c r="U14" s="37">
        <v>200</v>
      </c>
      <c r="V14" s="38" t="s">
        <v>156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200</v>
      </c>
      <c r="U15" s="37">
        <v>200</v>
      </c>
      <c r="V15" s="38" t="s">
        <v>157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200</v>
      </c>
      <c r="U16" s="37">
        <v>200</v>
      </c>
      <c r="V16" s="38" t="s">
        <v>157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-6.5775350000000001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200</v>
      </c>
      <c r="U17" s="37">
        <v>200</v>
      </c>
      <c r="V17" s="38" t="s">
        <v>157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-6.5775350000000001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442</v>
      </c>
      <c r="U18" s="37">
        <v>180</v>
      </c>
      <c r="V18" s="38" t="s">
        <v>158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-6.5775350000000001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442</v>
      </c>
      <c r="U19" s="37">
        <v>180</v>
      </c>
      <c r="V19" s="38" t="s">
        <v>158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442</v>
      </c>
      <c r="U20" s="37">
        <v>180</v>
      </c>
      <c r="V20" s="38" t="s">
        <v>158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442</v>
      </c>
      <c r="U21" s="37">
        <v>180</v>
      </c>
      <c r="V21" s="38" t="s">
        <v>158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442</v>
      </c>
      <c r="U22" s="37">
        <v>180</v>
      </c>
      <c r="V22" s="38" t="s">
        <v>159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442</v>
      </c>
      <c r="U23" s="37">
        <v>180</v>
      </c>
      <c r="V23" s="38" t="s">
        <v>159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442</v>
      </c>
      <c r="U24" s="37">
        <v>180</v>
      </c>
      <c r="V24" s="38" t="s">
        <v>160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58</v>
      </c>
      <c r="AB24" s="41">
        <f t="shared" si="11"/>
        <v>-0.69</v>
      </c>
      <c r="AC24" s="28">
        <v>0.22192592592592592</v>
      </c>
      <c r="AD24" s="40">
        <f t="shared" si="12"/>
        <v>0</v>
      </c>
      <c r="AE24" s="26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0.22192592592592592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 t="s">
        <v>243</v>
      </c>
      <c r="C26" s="16">
        <f t="shared" si="4"/>
        <v>19.989999999999998</v>
      </c>
      <c r="D26" s="17">
        <v>1</v>
      </c>
      <c r="E26" s="17">
        <v>0</v>
      </c>
      <c r="F26" s="18">
        <v>19.989999999999998</v>
      </c>
      <c r="G26" s="18">
        <v>0</v>
      </c>
      <c r="H26" s="32">
        <f t="shared" si="1"/>
        <v>0</v>
      </c>
      <c r="I26" s="32">
        <f t="shared" si="2"/>
        <v>0.14645859040631418</v>
      </c>
      <c r="J26" s="33">
        <f t="shared" si="5"/>
        <v>2.92770722222222</v>
      </c>
      <c r="K26" s="33">
        <f t="shared" si="3"/>
        <v>2.92770722222222</v>
      </c>
      <c r="L26" s="17">
        <v>0</v>
      </c>
      <c r="M26" s="34" t="str">
        <f t="shared" si="6"/>
        <v>-</v>
      </c>
      <c r="N26" s="17">
        <v>179</v>
      </c>
      <c r="O26" s="35">
        <f t="shared" ref="O26:P26" si="34">D26/7</f>
        <v>0.14285714285714285</v>
      </c>
      <c r="P26" s="35">
        <f t="shared" si="34"/>
        <v>0</v>
      </c>
      <c r="Q26" s="30">
        <f t="shared" si="8"/>
        <v>1253</v>
      </c>
      <c r="R26" s="30"/>
      <c r="S26" s="22">
        <v>0</v>
      </c>
      <c r="T26" s="15">
        <v>262</v>
      </c>
      <c r="U26" s="23" t="s">
        <v>56</v>
      </c>
      <c r="V26" s="1" t="s">
        <v>56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0.22192592592592592</v>
      </c>
      <c r="AD26" s="40">
        <f t="shared" si="12"/>
        <v>-0.30625777777777774</v>
      </c>
      <c r="AE26" s="26">
        <v>-7.18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15" t="s">
        <v>96</v>
      </c>
      <c r="C27" s="16">
        <f t="shared" si="4"/>
        <v>19.989999999999998</v>
      </c>
      <c r="D27" s="17">
        <v>5</v>
      </c>
      <c r="E27" s="17">
        <v>0</v>
      </c>
      <c r="F27" s="18">
        <v>99.949999999999989</v>
      </c>
      <c r="G27" s="18">
        <v>-14</v>
      </c>
      <c r="H27" s="32">
        <f t="shared" si="1"/>
        <v>0.14007003501750878</v>
      </c>
      <c r="I27" s="32">
        <f t="shared" si="2"/>
        <v>6.3885553888053332E-3</v>
      </c>
      <c r="J27" s="33">
        <f t="shared" si="5"/>
        <v>0.63853611111109299</v>
      </c>
      <c r="K27" s="33">
        <f t="shared" si="3"/>
        <v>0.12770722222221859</v>
      </c>
      <c r="L27" s="17">
        <v>21</v>
      </c>
      <c r="M27" s="34">
        <f t="shared" si="6"/>
        <v>0.23809523809523808</v>
      </c>
      <c r="N27" s="17">
        <v>176</v>
      </c>
      <c r="O27" s="35">
        <f t="shared" ref="O27:P27" si="35">D27/7</f>
        <v>0.7142857142857143</v>
      </c>
      <c r="P27" s="35">
        <f t="shared" si="35"/>
        <v>0</v>
      </c>
      <c r="Q27" s="30">
        <f t="shared" si="8"/>
        <v>246</v>
      </c>
      <c r="R27" s="30"/>
      <c r="S27" s="22">
        <v>9.0909090909090912E-2</v>
      </c>
      <c r="T27" s="15">
        <v>262</v>
      </c>
      <c r="U27" s="23" t="s">
        <v>56</v>
      </c>
      <c r="V27" s="1" t="s">
        <v>56</v>
      </c>
      <c r="W27" s="15">
        <v>0</v>
      </c>
      <c r="X27" s="39">
        <f t="shared" si="9"/>
        <v>0</v>
      </c>
      <c r="Y27" s="40">
        <f t="shared" si="10"/>
        <v>14</v>
      </c>
      <c r="Z27" s="15">
        <v>1</v>
      </c>
      <c r="AA27" s="29" t="s">
        <v>58</v>
      </c>
      <c r="AB27" s="41">
        <f t="shared" si="11"/>
        <v>-0.69</v>
      </c>
      <c r="AC27" s="42">
        <v>0.22192592592592592</v>
      </c>
      <c r="AD27" s="40">
        <f t="shared" si="12"/>
        <v>-1.5312888888888887</v>
      </c>
      <c r="AE27" s="26">
        <v>-7.18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 t="s">
        <v>96</v>
      </c>
      <c r="C28" s="16">
        <f t="shared" si="4"/>
        <v>19.989999999999998</v>
      </c>
      <c r="D28" s="17">
        <v>9</v>
      </c>
      <c r="E28" s="17">
        <v>2</v>
      </c>
      <c r="F28" s="18">
        <v>179.91</v>
      </c>
      <c r="G28" s="18">
        <v>-0.1</v>
      </c>
      <c r="H28" s="32">
        <f t="shared" si="1"/>
        <v>5.5583347229170145E-4</v>
      </c>
      <c r="I28" s="32">
        <f t="shared" si="2"/>
        <v>0.14590275693402258</v>
      </c>
      <c r="J28" s="33">
        <f t="shared" si="5"/>
        <v>26.249365000000001</v>
      </c>
      <c r="K28" s="33">
        <f t="shared" si="3"/>
        <v>2.9165961111111112</v>
      </c>
      <c r="L28" s="17">
        <v>19</v>
      </c>
      <c r="M28" s="34">
        <f t="shared" si="6"/>
        <v>0.47368421052631576</v>
      </c>
      <c r="N28" s="17">
        <v>128</v>
      </c>
      <c r="O28" s="35">
        <f t="shared" ref="O28:P28" si="36">D28/7</f>
        <v>1.2857142857142858</v>
      </c>
      <c r="P28" s="35">
        <f t="shared" si="36"/>
        <v>0.2857142857142857</v>
      </c>
      <c r="Q28" s="30">
        <f t="shared" si="8"/>
        <v>81</v>
      </c>
      <c r="R28" s="30"/>
      <c r="S28" s="22">
        <v>0.44827586206896552</v>
      </c>
      <c r="T28" s="15">
        <v>262</v>
      </c>
      <c r="U28" s="23" t="s">
        <v>56</v>
      </c>
      <c r="V28" s="1" t="s">
        <v>56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0.22192592592592592</v>
      </c>
      <c r="AD28" s="40">
        <f t="shared" si="12"/>
        <v>-2.7563199999999997</v>
      </c>
      <c r="AE28" s="26">
        <v>-7.18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 t="s">
        <v>96</v>
      </c>
      <c r="C29" s="16">
        <f t="shared" si="4"/>
        <v>19.989999999999998</v>
      </c>
      <c r="D29" s="17">
        <v>12</v>
      </c>
      <c r="E29" s="17">
        <v>0</v>
      </c>
      <c r="F29" s="18">
        <v>239.88</v>
      </c>
      <c r="G29" s="18">
        <v>0</v>
      </c>
      <c r="H29" s="32">
        <f t="shared" si="1"/>
        <v>0</v>
      </c>
      <c r="I29" s="32">
        <f t="shared" si="2"/>
        <v>0.14645859040631426</v>
      </c>
      <c r="J29" s="33">
        <f t="shared" si="5"/>
        <v>35.132486666666665</v>
      </c>
      <c r="K29" s="33">
        <f t="shared" si="3"/>
        <v>2.9277072222222222</v>
      </c>
      <c r="L29" s="17">
        <v>19</v>
      </c>
      <c r="M29" s="34">
        <f t="shared" si="6"/>
        <v>0.63157894736842102</v>
      </c>
      <c r="N29" s="17">
        <v>147</v>
      </c>
      <c r="O29" s="35">
        <f t="shared" ref="O29:P29" si="37">D29/7</f>
        <v>1.7142857142857142</v>
      </c>
      <c r="P29" s="35">
        <f t="shared" si="37"/>
        <v>0</v>
      </c>
      <c r="Q29" s="30">
        <f t="shared" si="8"/>
        <v>85</v>
      </c>
      <c r="R29" s="30"/>
      <c r="S29" s="22">
        <v>0.69565217391304346</v>
      </c>
      <c r="T29" s="15">
        <v>262</v>
      </c>
      <c r="U29" s="23" t="s">
        <v>56</v>
      </c>
      <c r="V29" s="1" t="s">
        <v>56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0.22192592592592592</v>
      </c>
      <c r="AD29" s="40">
        <f t="shared" si="12"/>
        <v>-3.6750933333333329</v>
      </c>
      <c r="AE29" s="26">
        <v>-7.18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48">
        <v>17.989999999999998</v>
      </c>
      <c r="C30" s="16">
        <f t="shared" si="4"/>
        <v>19.989999999999998</v>
      </c>
      <c r="D30" s="17">
        <v>6</v>
      </c>
      <c r="E30" s="17">
        <v>1</v>
      </c>
      <c r="F30" s="18">
        <v>119.93999999999998</v>
      </c>
      <c r="G30" s="18">
        <v>0</v>
      </c>
      <c r="H30" s="32">
        <f t="shared" si="1"/>
        <v>0</v>
      </c>
      <c r="I30" s="32">
        <f t="shared" si="2"/>
        <v>0.18361060372547383</v>
      </c>
      <c r="J30" s="33">
        <f t="shared" si="5"/>
        <v>22.022255810833329</v>
      </c>
      <c r="K30" s="33">
        <f t="shared" si="3"/>
        <v>3.6703759684722215</v>
      </c>
      <c r="L30" s="17">
        <v>15</v>
      </c>
      <c r="M30" s="34">
        <f t="shared" si="6"/>
        <v>0.4</v>
      </c>
      <c r="N30" s="17">
        <v>139</v>
      </c>
      <c r="O30" s="35">
        <f t="shared" ref="O30:P30" si="38">D30/7</f>
        <v>0.8571428571428571</v>
      </c>
      <c r="P30" s="35">
        <f t="shared" si="38"/>
        <v>0.14285714285714285</v>
      </c>
      <c r="Q30" s="30">
        <f t="shared" si="8"/>
        <v>139</v>
      </c>
      <c r="R30" s="30"/>
      <c r="S30" s="22">
        <v>0.93617021276595747</v>
      </c>
      <c r="T30" s="29">
        <v>262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0.22192592592592592</v>
      </c>
      <c r="AD30" s="40">
        <f t="shared" si="12"/>
        <v>-1.8375466666666664</v>
      </c>
      <c r="AE30" s="26">
        <v>-7.18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4"/>
        <v>18.434444444444445</v>
      </c>
      <c r="D31" s="17">
        <v>9</v>
      </c>
      <c r="E31" s="17">
        <v>3</v>
      </c>
      <c r="F31" s="18">
        <v>165.91</v>
      </c>
      <c r="G31" s="43">
        <v>0</v>
      </c>
      <c r="H31" s="32">
        <f t="shared" si="1"/>
        <v>0</v>
      </c>
      <c r="I31" s="32">
        <f t="shared" si="2"/>
        <v>0.12737860114670596</v>
      </c>
      <c r="J31" s="33">
        <f t="shared" si="5"/>
        <v>21.133383716249984</v>
      </c>
      <c r="K31" s="33">
        <f t="shared" si="3"/>
        <v>2.3481537462499982</v>
      </c>
      <c r="L31" s="17">
        <v>24</v>
      </c>
      <c r="M31" s="34">
        <f t="shared" si="6"/>
        <v>0.375</v>
      </c>
      <c r="N31" s="17">
        <v>127</v>
      </c>
      <c r="O31" s="35">
        <f t="shared" ref="O31:P31" si="39">D31/7</f>
        <v>1.2857142857142858</v>
      </c>
      <c r="P31" s="35">
        <f t="shared" si="39"/>
        <v>0.42857142857142855</v>
      </c>
      <c r="Q31" s="30">
        <f t="shared" si="8"/>
        <v>74</v>
      </c>
      <c r="R31" s="30"/>
      <c r="S31" s="22">
        <v>0.51446945337620498</v>
      </c>
      <c r="T31" s="15">
        <v>262</v>
      </c>
      <c r="U31" s="23" t="s">
        <v>56</v>
      </c>
      <c r="V31" s="1" t="s">
        <v>244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0.22192592592592592</v>
      </c>
      <c r="AD31" s="40">
        <f t="shared" si="12"/>
        <v>-2.7563199999999997</v>
      </c>
      <c r="AE31" s="44">
        <v>-7.18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17.989999999999998</v>
      </c>
      <c r="D32" s="17">
        <v>12</v>
      </c>
      <c r="E32" s="17">
        <v>6</v>
      </c>
      <c r="F32" s="18">
        <v>215.88</v>
      </c>
      <c r="G32" s="18">
        <v>0</v>
      </c>
      <c r="H32" s="32">
        <f t="shared" si="1"/>
        <v>0</v>
      </c>
      <c r="I32" s="32">
        <f t="shared" si="2"/>
        <v>0.10952617945926751</v>
      </c>
      <c r="J32" s="33">
        <f t="shared" si="5"/>
        <v>23.64451162166667</v>
      </c>
      <c r="K32" s="33">
        <f t="shared" si="3"/>
        <v>1.9703759684722224</v>
      </c>
      <c r="L32" s="17">
        <v>21</v>
      </c>
      <c r="M32" s="34">
        <f t="shared" si="6"/>
        <v>0.5714285714285714</v>
      </c>
      <c r="N32" s="17">
        <v>322</v>
      </c>
      <c r="O32" s="35">
        <f t="shared" ref="O32:P32" si="40">D32/7</f>
        <v>1.7142857142857142</v>
      </c>
      <c r="P32" s="35">
        <f t="shared" si="40"/>
        <v>0.8571428571428571</v>
      </c>
      <c r="Q32" s="30">
        <f t="shared" si="8"/>
        <v>125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0.4524236983842011</v>
      </c>
      <c r="T32" s="15">
        <f ca="1">IFERROR(__xludf.DUMMYFUNCTION("IFERROR(VLOOKUP($B$2,IMPORTRANGE(""https://docs.google.com/spreadsheets/d/1KiWZV1ko8G7lnRucBRBd29jj3Be6ltMfljMDqzOkQmI/edit#gid=1381463014"",""Lookup!A:D""),4,FALSE),"""")"),262)</f>
        <v>262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262 At Factory 50-75 days from Earliest Arrival")</f>
        <v>No Transit, But 262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0.22192592592592592</v>
      </c>
      <c r="AD32" s="40">
        <f t="shared" si="12"/>
        <v>-3.6750933333333329</v>
      </c>
      <c r="AE32" s="26">
        <v>-7.18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EA9999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Orange &amp; Blue")</f>
        <v>Corn Filled Cornhole Bags - Set of 8 Bean Bags for Corn Hole Game - Orange &amp; Blue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Info!B1:BJ7000""),2,FALSE),"""")"),"B07MWKL1N9")</f>
        <v>B07MWKL1N9</v>
      </c>
      <c r="B2" s="47" t="s">
        <v>245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15.311607357352942</v>
      </c>
      <c r="D3" s="5">
        <f>SUM(D4:D99765)</f>
        <v>40</v>
      </c>
      <c r="E3" s="5"/>
      <c r="F3" s="6">
        <f t="shared" ref="F3:G3" si="0">SUM(F4:F99765)</f>
        <v>779.59999999999991</v>
      </c>
      <c r="G3" s="6">
        <f t="shared" si="0"/>
        <v>-13.690000000000001</v>
      </c>
      <c r="H3" s="7">
        <f t="shared" ref="H3:H32" si="1">G3/F3*-1</f>
        <v>1.7560287326834279E-2</v>
      </c>
      <c r="I3" s="8">
        <f t="shared" ref="I3:I32" si="2">J3/F3</f>
        <v>0.14037308946895835</v>
      </c>
      <c r="J3" s="6">
        <f>SUM(J4:J99765)</f>
        <v>109.43486054999993</v>
      </c>
      <c r="K3" s="6">
        <f t="shared" ref="K3:K32" si="3">J3/D3</f>
        <v>2.735871513749998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1.5 - April
3 - May
3.5 - June
3 - July
2.5 - Aug
2 - Sept
1 - Oct
0 - Nov
0 - Dec
0.1 - Jan
0.1 - Feb")</f>
        <v>0.5 - March
1.5 - April
3 - May
3.5 - June
3 - July
2.5 - Aug
2 - Sept
1 -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-4.0871143750000005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200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-5.5571024358974359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400</v>
      </c>
      <c r="U5" s="37">
        <v>200</v>
      </c>
      <c r="V5" s="38" t="s">
        <v>150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400</v>
      </c>
      <c r="U6" s="37">
        <v>200</v>
      </c>
      <c r="V6" s="38" t="s">
        <v>151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400</v>
      </c>
      <c r="U7" s="37">
        <v>200</v>
      </c>
      <c r="V7" s="38" t="s">
        <v>152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200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200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200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480</v>
      </c>
      <c r="U11" s="37">
        <v>200</v>
      </c>
      <c r="V11" s="38" t="s">
        <v>246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200</v>
      </c>
      <c r="U12" s="37">
        <v>200</v>
      </c>
      <c r="V12" s="38" t="s">
        <v>154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200</v>
      </c>
      <c r="U13" s="37">
        <v>200</v>
      </c>
      <c r="V13" s="38" t="s">
        <v>155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200</v>
      </c>
      <c r="U14" s="37">
        <v>200</v>
      </c>
      <c r="V14" s="38" t="s">
        <v>156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200</v>
      </c>
      <c r="U15" s="37">
        <v>200</v>
      </c>
      <c r="V15" s="38" t="s">
        <v>157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200</v>
      </c>
      <c r="U16" s="37">
        <v>200</v>
      </c>
      <c r="V16" s="38" t="s">
        <v>157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-6.5775350000000001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200</v>
      </c>
      <c r="U17" s="37">
        <v>200</v>
      </c>
      <c r="V17" s="38" t="s">
        <v>157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-6.5775350000000001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488</v>
      </c>
      <c r="U18" s="37">
        <v>180</v>
      </c>
      <c r="V18" s="38" t="s">
        <v>158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-6.5775350000000001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488</v>
      </c>
      <c r="U19" s="37">
        <v>180</v>
      </c>
      <c r="V19" s="38" t="s">
        <v>158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488</v>
      </c>
      <c r="U20" s="37">
        <v>180</v>
      </c>
      <c r="V20" s="38" t="s">
        <v>158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488</v>
      </c>
      <c r="U21" s="37">
        <v>180</v>
      </c>
      <c r="V21" s="38" t="s">
        <v>158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488</v>
      </c>
      <c r="U22" s="37">
        <v>180</v>
      </c>
      <c r="V22" s="38" t="s">
        <v>159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488</v>
      </c>
      <c r="U23" s="37">
        <v>180</v>
      </c>
      <c r="V23" s="38" t="s">
        <v>159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488</v>
      </c>
      <c r="U24" s="37">
        <v>180</v>
      </c>
      <c r="V24" s="38" t="s">
        <v>160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58</v>
      </c>
      <c r="AB24" s="41">
        <f t="shared" si="11"/>
        <v>-0.69</v>
      </c>
      <c r="AC24" s="28">
        <v>7.4041927083333348E-2</v>
      </c>
      <c r="AD24" s="40">
        <f t="shared" si="12"/>
        <v>0</v>
      </c>
      <c r="AE24" s="26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7.4041927083333348E-2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 t="s">
        <v>247</v>
      </c>
      <c r="C26" s="16">
        <f t="shared" si="4"/>
        <v>19.989999999999998</v>
      </c>
      <c r="D26" s="17">
        <v>1</v>
      </c>
      <c r="E26" s="17">
        <v>0</v>
      </c>
      <c r="F26" s="18">
        <v>19.989999999999998</v>
      </c>
      <c r="G26" s="18">
        <v>0</v>
      </c>
      <c r="H26" s="32">
        <f t="shared" si="1"/>
        <v>0</v>
      </c>
      <c r="I26" s="32">
        <f t="shared" si="2"/>
        <v>0.15666769087668825</v>
      </c>
      <c r="J26" s="33">
        <f t="shared" si="5"/>
        <v>3.131787140624998</v>
      </c>
      <c r="K26" s="33">
        <f t="shared" si="3"/>
        <v>3.131787140624998</v>
      </c>
      <c r="L26" s="17">
        <v>0</v>
      </c>
      <c r="M26" s="34" t="str">
        <f t="shared" si="6"/>
        <v>-</v>
      </c>
      <c r="N26" s="17">
        <v>181</v>
      </c>
      <c r="O26" s="35">
        <f t="shared" ref="O26:P26" si="34">D26/7</f>
        <v>0.14285714285714285</v>
      </c>
      <c r="P26" s="35">
        <f t="shared" si="34"/>
        <v>0</v>
      </c>
      <c r="Q26" s="30">
        <f t="shared" si="8"/>
        <v>1267</v>
      </c>
      <c r="R26" s="30"/>
      <c r="S26" s="22">
        <v>0</v>
      </c>
      <c r="T26" s="15">
        <v>388</v>
      </c>
      <c r="U26" s="23">
        <v>80</v>
      </c>
      <c r="V26" s="1" t="s">
        <v>248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7.4041927083333348E-2</v>
      </c>
      <c r="AD26" s="40">
        <f t="shared" si="12"/>
        <v>-0.10217785937500001</v>
      </c>
      <c r="AE26" s="26">
        <v>-7.18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15" t="s">
        <v>96</v>
      </c>
      <c r="C27" s="16">
        <f t="shared" si="4"/>
        <v>19.989999999999998</v>
      </c>
      <c r="D27" s="17">
        <v>4</v>
      </c>
      <c r="E27" s="17">
        <v>0</v>
      </c>
      <c r="F27" s="18">
        <v>79.959999999999994</v>
      </c>
      <c r="G27" s="18">
        <v>-13.55</v>
      </c>
      <c r="H27" s="32">
        <f t="shared" si="1"/>
        <v>0.16945972986493249</v>
      </c>
      <c r="I27" s="32">
        <f t="shared" si="2"/>
        <v>-1.2792038988244155E-2</v>
      </c>
      <c r="J27" s="33">
        <f t="shared" si="5"/>
        <v>-1.0228514375000026</v>
      </c>
      <c r="K27" s="33">
        <f t="shared" si="3"/>
        <v>-0.25571285937500066</v>
      </c>
      <c r="L27" s="17">
        <v>22</v>
      </c>
      <c r="M27" s="34">
        <f t="shared" si="6"/>
        <v>0.18181818181818182</v>
      </c>
      <c r="N27" s="17">
        <v>178</v>
      </c>
      <c r="O27" s="35">
        <f t="shared" ref="O27:P27" si="35">D27/7</f>
        <v>0.5714285714285714</v>
      </c>
      <c r="P27" s="35">
        <f t="shared" si="35"/>
        <v>0</v>
      </c>
      <c r="Q27" s="30">
        <f t="shared" si="8"/>
        <v>311</v>
      </c>
      <c r="R27" s="30"/>
      <c r="S27" s="22">
        <v>6.7039106145251395E-2</v>
      </c>
      <c r="T27" s="15">
        <v>388</v>
      </c>
      <c r="U27" s="23">
        <v>80</v>
      </c>
      <c r="V27" s="1" t="s">
        <v>248</v>
      </c>
      <c r="W27" s="15">
        <v>0</v>
      </c>
      <c r="X27" s="39">
        <f t="shared" si="9"/>
        <v>0</v>
      </c>
      <c r="Y27" s="40">
        <f t="shared" si="10"/>
        <v>13.55</v>
      </c>
      <c r="Z27" s="15">
        <v>1</v>
      </c>
      <c r="AA27" s="29" t="s">
        <v>58</v>
      </c>
      <c r="AB27" s="41">
        <f t="shared" si="11"/>
        <v>-0.69</v>
      </c>
      <c r="AC27" s="42">
        <v>7.4041927083333348E-2</v>
      </c>
      <c r="AD27" s="40">
        <f t="shared" si="12"/>
        <v>-0.40871143750000005</v>
      </c>
      <c r="AE27" s="26">
        <v>-7.18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 t="s">
        <v>122</v>
      </c>
      <c r="C28" s="16">
        <f t="shared" si="4"/>
        <v>19.989999999999998</v>
      </c>
      <c r="D28" s="17">
        <v>5</v>
      </c>
      <c r="E28" s="17">
        <v>0</v>
      </c>
      <c r="F28" s="18">
        <v>99.949999999999989</v>
      </c>
      <c r="G28" s="18">
        <v>-0.14000000000000001</v>
      </c>
      <c r="H28" s="32">
        <f t="shared" si="1"/>
        <v>1.4007003501750879E-3</v>
      </c>
      <c r="I28" s="32">
        <f t="shared" si="2"/>
        <v>0.15526699052651308</v>
      </c>
      <c r="J28" s="33">
        <f t="shared" si="5"/>
        <v>15.518935703124981</v>
      </c>
      <c r="K28" s="33">
        <f t="shared" si="3"/>
        <v>3.1037871406249962</v>
      </c>
      <c r="L28" s="17">
        <v>20</v>
      </c>
      <c r="M28" s="34">
        <f t="shared" si="6"/>
        <v>0.25</v>
      </c>
      <c r="N28" s="17">
        <v>134</v>
      </c>
      <c r="O28" s="35">
        <f t="shared" ref="O28:P28" si="36">D28/7</f>
        <v>0.7142857142857143</v>
      </c>
      <c r="P28" s="35">
        <f t="shared" si="36"/>
        <v>0</v>
      </c>
      <c r="Q28" s="30">
        <f t="shared" si="8"/>
        <v>187</v>
      </c>
      <c r="R28" s="30"/>
      <c r="S28" s="22">
        <v>0.20809248554913301</v>
      </c>
      <c r="T28" s="15">
        <v>388</v>
      </c>
      <c r="U28" s="23">
        <v>80</v>
      </c>
      <c r="V28" s="1" t="s">
        <v>248</v>
      </c>
      <c r="W28" s="15">
        <v>0</v>
      </c>
      <c r="X28" s="39">
        <f t="shared" si="9"/>
        <v>0</v>
      </c>
      <c r="Y28" s="40">
        <f t="shared" si="10"/>
        <v>0.14000000000000001</v>
      </c>
      <c r="Z28" s="15">
        <v>1</v>
      </c>
      <c r="AA28" s="29" t="s">
        <v>58</v>
      </c>
      <c r="AB28" s="41">
        <f t="shared" si="11"/>
        <v>-0.69</v>
      </c>
      <c r="AC28" s="42">
        <v>7.4041927083333348E-2</v>
      </c>
      <c r="AD28" s="40">
        <f t="shared" si="12"/>
        <v>-0.51088929687500007</v>
      </c>
      <c r="AE28" s="26">
        <v>-7.18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 t="s">
        <v>96</v>
      </c>
      <c r="C29" s="16">
        <f t="shared" si="4"/>
        <v>19.990000000000002</v>
      </c>
      <c r="D29" s="17">
        <v>10</v>
      </c>
      <c r="E29" s="17">
        <v>0</v>
      </c>
      <c r="F29" s="18">
        <v>199.9</v>
      </c>
      <c r="G29" s="18">
        <v>0</v>
      </c>
      <c r="H29" s="32">
        <f t="shared" si="1"/>
        <v>0</v>
      </c>
      <c r="I29" s="32">
        <f t="shared" si="2"/>
        <v>0.1566676908766883</v>
      </c>
      <c r="J29" s="33">
        <f t="shared" si="5"/>
        <v>31.317871406249992</v>
      </c>
      <c r="K29" s="33">
        <f t="shared" si="3"/>
        <v>3.1317871406249993</v>
      </c>
      <c r="L29" s="17">
        <v>21</v>
      </c>
      <c r="M29" s="34">
        <f t="shared" si="6"/>
        <v>0.47619047619047616</v>
      </c>
      <c r="N29" s="17">
        <v>154</v>
      </c>
      <c r="O29" s="35">
        <f t="shared" ref="O29:P29" si="37">D29/7</f>
        <v>1.4285714285714286</v>
      </c>
      <c r="P29" s="35">
        <f t="shared" si="37"/>
        <v>0</v>
      </c>
      <c r="Q29" s="30">
        <f t="shared" si="8"/>
        <v>107</v>
      </c>
      <c r="R29" s="30"/>
      <c r="S29" s="22">
        <v>0.42953020134228193</v>
      </c>
      <c r="T29" s="15">
        <v>388</v>
      </c>
      <c r="U29" s="23">
        <v>80</v>
      </c>
      <c r="V29" s="1" t="s">
        <v>249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7.4041927083333348E-2</v>
      </c>
      <c r="AD29" s="40">
        <f t="shared" si="12"/>
        <v>-1.0217785937500001</v>
      </c>
      <c r="AE29" s="26">
        <v>-7.18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48">
        <v>17.989999999999998</v>
      </c>
      <c r="C30" s="16">
        <f t="shared" si="4"/>
        <v>19.989999999999998</v>
      </c>
      <c r="D30" s="17">
        <v>7</v>
      </c>
      <c r="E30" s="17">
        <v>1</v>
      </c>
      <c r="F30" s="18">
        <v>139.92999999999998</v>
      </c>
      <c r="G30" s="18">
        <v>0</v>
      </c>
      <c r="H30" s="32">
        <f t="shared" si="1"/>
        <v>0</v>
      </c>
      <c r="I30" s="32">
        <f t="shared" si="2"/>
        <v>0.19381970419584779</v>
      </c>
      <c r="J30" s="33">
        <f t="shared" si="5"/>
        <v>27.121191208124976</v>
      </c>
      <c r="K30" s="33">
        <f t="shared" si="3"/>
        <v>3.8744558868749968</v>
      </c>
      <c r="L30" s="17">
        <v>16</v>
      </c>
      <c r="M30" s="34">
        <f t="shared" si="6"/>
        <v>0.4375</v>
      </c>
      <c r="N30" s="17">
        <v>147</v>
      </c>
      <c r="O30" s="35">
        <f t="shared" ref="O30:P30" si="38">D30/7</f>
        <v>1</v>
      </c>
      <c r="P30" s="35">
        <f t="shared" si="38"/>
        <v>0.14285714285714285</v>
      </c>
      <c r="Q30" s="30">
        <f t="shared" si="8"/>
        <v>128</v>
      </c>
      <c r="R30" s="30"/>
      <c r="S30" s="22">
        <v>0.67567567567567566</v>
      </c>
      <c r="T30" s="29">
        <v>388</v>
      </c>
      <c r="U30" s="37">
        <v>80</v>
      </c>
      <c r="V30" s="38" t="s">
        <v>249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7.4041927083333348E-2</v>
      </c>
      <c r="AD30" s="40">
        <f t="shared" si="12"/>
        <v>-0.71524501562500009</v>
      </c>
      <c r="AE30" s="26">
        <v>-7.18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4"/>
        <v>18.656666666666663</v>
      </c>
      <c r="D31" s="17">
        <v>9</v>
      </c>
      <c r="E31" s="17">
        <v>0</v>
      </c>
      <c r="F31" s="18">
        <v>167.90999999999997</v>
      </c>
      <c r="G31" s="43">
        <v>0</v>
      </c>
      <c r="H31" s="32">
        <f t="shared" si="1"/>
        <v>0</v>
      </c>
      <c r="I31" s="32">
        <f t="shared" si="2"/>
        <v>0.14692456066866164</v>
      </c>
      <c r="J31" s="33">
        <f t="shared" si="5"/>
        <v>24.670102981874972</v>
      </c>
      <c r="K31" s="33">
        <f t="shared" si="3"/>
        <v>2.7411225535416635</v>
      </c>
      <c r="L31" s="17">
        <v>29</v>
      </c>
      <c r="M31" s="34">
        <f t="shared" si="6"/>
        <v>0.31034482758620691</v>
      </c>
      <c r="N31" s="17">
        <v>140</v>
      </c>
      <c r="O31" s="35">
        <f t="shared" ref="O31:P31" si="39">D31/7</f>
        <v>1.2857142857142858</v>
      </c>
      <c r="P31" s="35">
        <f t="shared" si="39"/>
        <v>0</v>
      </c>
      <c r="Q31" s="30">
        <f t="shared" si="8"/>
        <v>108</v>
      </c>
      <c r="R31" s="30"/>
      <c r="S31" s="22">
        <v>0.38509316770186303</v>
      </c>
      <c r="T31" s="15">
        <v>308</v>
      </c>
      <c r="U31" s="23" t="s">
        <v>56</v>
      </c>
      <c r="V31" s="1" t="s">
        <v>250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7.4041927083333348E-2</v>
      </c>
      <c r="AD31" s="40">
        <f t="shared" si="12"/>
        <v>-0.91960073437500012</v>
      </c>
      <c r="AE31" s="44">
        <v>-7.18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17.989999999999998</v>
      </c>
      <c r="D32" s="17">
        <v>4</v>
      </c>
      <c r="E32" s="17">
        <v>0</v>
      </c>
      <c r="F32" s="18">
        <v>71.959999999999994</v>
      </c>
      <c r="G32" s="18">
        <v>0</v>
      </c>
      <c r="H32" s="32">
        <f t="shared" si="1"/>
        <v>0</v>
      </c>
      <c r="I32" s="32">
        <f t="shared" si="2"/>
        <v>0.12087025496803777</v>
      </c>
      <c r="J32" s="33">
        <f t="shared" si="5"/>
        <v>8.697823547499997</v>
      </c>
      <c r="K32" s="33">
        <f t="shared" si="3"/>
        <v>2.1744558868749992</v>
      </c>
      <c r="L32" s="17">
        <v>20</v>
      </c>
      <c r="M32" s="34">
        <f t="shared" si="6"/>
        <v>0.2</v>
      </c>
      <c r="N32" s="17">
        <v>132</v>
      </c>
      <c r="O32" s="35">
        <f t="shared" ref="O32:P32" si="40">D32/7</f>
        <v>0.5714285714285714</v>
      </c>
      <c r="P32" s="35">
        <f t="shared" si="40"/>
        <v>0</v>
      </c>
      <c r="Q32" s="30">
        <f t="shared" si="8"/>
        <v>231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0.39074550128534702</v>
      </c>
      <c r="T32" s="15">
        <f ca="1">IFERROR(__xludf.DUMMYFUNCTION("IFERROR(VLOOKUP($B$2,IMPORTRANGE(""https://docs.google.com/spreadsheets/d/1KiWZV1ko8G7lnRucBRBd29jj3Be6ltMfljMDqzOkQmI/edit#gid=1381463014"",""Lookup!A:D""),4,FALSE),"""")"),308)</f>
        <v>308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308 At Factory 50-75 days from Earliest Arrival")</f>
        <v>No Transit, But 308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7.4041927083333348E-2</v>
      </c>
      <c r="AD32" s="40">
        <f t="shared" si="12"/>
        <v>-0.40871143750000005</v>
      </c>
      <c r="AE32" s="26">
        <v>-7.18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EA9999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Orange &amp; Navy Blue")</f>
        <v>Corn Filled Cornhole Bags - Set of 8 Bean Bags for Corn Hole Game - Regulation Size &amp; Weight - Orange &amp; Navy Blue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Info!B1:BJ7000""),2,FALSE),"""")"),"B07ZTQKWNV")</f>
        <v>B07ZTQKWNV</v>
      </c>
      <c r="B2" s="47" t="s">
        <v>251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15.311607357352942</v>
      </c>
      <c r="D3" s="5">
        <f>SUM(D4:D99765)</f>
        <v>24</v>
      </c>
      <c r="E3" s="5"/>
      <c r="F3" s="6">
        <f t="shared" ref="F3:G3" si="0">SUM(F4:F99765)</f>
        <v>522.67999999999995</v>
      </c>
      <c r="G3" s="6">
        <f t="shared" si="0"/>
        <v>-384.7</v>
      </c>
      <c r="H3" s="7">
        <f t="shared" ref="H3:H32" si="1">G3/F3*-1</f>
        <v>0.7360143873880769</v>
      </c>
      <c r="I3" s="8">
        <f t="shared" ref="I3:I32" si="2">J3/F3</f>
        <v>-0.51263225548614844</v>
      </c>
      <c r="J3" s="6">
        <f>SUM(J4:J99765)</f>
        <v>-267.94262729750005</v>
      </c>
      <c r="K3" s="6">
        <f t="shared" ref="K3:K32" si="3">J3/D3</f>
        <v>-11.164276137395836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1.5 - April
2.5 - May
3 - June
2 - July
1.5 - Aug
1 - Sept
0.5 - Oct
0 - Nov
0 - Dec
0.1 - Jan
0.1 - Feb")</f>
        <v>1 - March
1.5 - April
2.5 - May
3 - June
2 - July
1.5 - Aug
1 - Sept
0.5 -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16</v>
      </c>
      <c r="X3" s="7">
        <f>W3/D3</f>
        <v>0.66666666666666663</v>
      </c>
      <c r="Y3" s="6"/>
      <c r="Z3" s="5"/>
      <c r="AA3" s="5"/>
      <c r="AB3" s="5"/>
      <c r="AC3" s="5"/>
      <c r="AD3" s="6">
        <f>SUM(AD4:AD99765)</f>
        <v>-7.7371497449999982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-5.5571024358974359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200</v>
      </c>
      <c r="U5" s="37">
        <v>200</v>
      </c>
      <c r="V5" s="38" t="s">
        <v>150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200</v>
      </c>
      <c r="U6" s="37">
        <v>200</v>
      </c>
      <c r="V6" s="38" t="s">
        <v>151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200</v>
      </c>
      <c r="U7" s="37">
        <v>200</v>
      </c>
      <c r="V7" s="38" t="s">
        <v>152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200</v>
      </c>
      <c r="U11" s="37">
        <v>200</v>
      </c>
      <c r="V11" s="38" t="s">
        <v>153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200</v>
      </c>
      <c r="U12" s="37">
        <v>200</v>
      </c>
      <c r="V12" s="38" t="s">
        <v>154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200</v>
      </c>
      <c r="U13" s="37">
        <v>200</v>
      </c>
      <c r="V13" s="38" t="s">
        <v>155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200</v>
      </c>
      <c r="U14" s="37">
        <v>200</v>
      </c>
      <c r="V14" s="38" t="s">
        <v>156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200</v>
      </c>
      <c r="U15" s="37">
        <v>200</v>
      </c>
      <c r="V15" s="38" t="s">
        <v>157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200</v>
      </c>
      <c r="U16" s="37">
        <v>200</v>
      </c>
      <c r="V16" s="38" t="s">
        <v>157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-6.5775350000000001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200</v>
      </c>
      <c r="U17" s="37">
        <v>200</v>
      </c>
      <c r="V17" s="38" t="s">
        <v>157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-6.5775350000000001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396</v>
      </c>
      <c r="U18" s="37">
        <v>180</v>
      </c>
      <c r="V18" s="38" t="s">
        <v>158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-6.5775350000000001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396</v>
      </c>
      <c r="U19" s="37">
        <v>180</v>
      </c>
      <c r="V19" s="38" t="s">
        <v>158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396</v>
      </c>
      <c r="U20" s="37">
        <v>180</v>
      </c>
      <c r="V20" s="38" t="s">
        <v>158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396</v>
      </c>
      <c r="U21" s="37">
        <v>180</v>
      </c>
      <c r="V21" s="38" t="s">
        <v>158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396</v>
      </c>
      <c r="U22" s="37">
        <v>180</v>
      </c>
      <c r="V22" s="38" t="s">
        <v>159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396</v>
      </c>
      <c r="U23" s="37">
        <v>180</v>
      </c>
      <c r="V23" s="38" t="s">
        <v>159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396</v>
      </c>
      <c r="U24" s="37">
        <v>180</v>
      </c>
      <c r="V24" s="38" t="s">
        <v>160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58</v>
      </c>
      <c r="AB24" s="41">
        <f t="shared" si="11"/>
        <v>-0.69</v>
      </c>
      <c r="AC24" s="28">
        <v>0.23360959374999996</v>
      </c>
      <c r="AD24" s="40">
        <f t="shared" si="12"/>
        <v>0</v>
      </c>
      <c r="AE24" s="26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0.23360959374999996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 t="s">
        <v>252</v>
      </c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180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216</v>
      </c>
      <c r="U26" s="23" t="s">
        <v>56</v>
      </c>
      <c r="V26" s="1" t="s">
        <v>56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0.23360959374999996</v>
      </c>
      <c r="AD26" s="40">
        <f t="shared" si="12"/>
        <v>0</v>
      </c>
      <c r="AE26" s="26">
        <v>-7.18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15" t="s">
        <v>253</v>
      </c>
      <c r="C27" s="16">
        <f t="shared" si="4"/>
        <v>29.97</v>
      </c>
      <c r="D27" s="17">
        <v>2</v>
      </c>
      <c r="E27" s="17">
        <v>0</v>
      </c>
      <c r="F27" s="18">
        <v>59.94</v>
      </c>
      <c r="G27" s="18">
        <v>-50.52</v>
      </c>
      <c r="H27" s="32">
        <f t="shared" si="1"/>
        <v>0.84284284284284294</v>
      </c>
      <c r="I27" s="32">
        <f t="shared" si="2"/>
        <v>-0.4626431844969971</v>
      </c>
      <c r="J27" s="33">
        <f t="shared" si="5"/>
        <v>-27.730832478750006</v>
      </c>
      <c r="K27" s="33">
        <f t="shared" si="3"/>
        <v>-13.865416239375003</v>
      </c>
      <c r="L27" s="17">
        <v>25</v>
      </c>
      <c r="M27" s="34">
        <f t="shared" si="6"/>
        <v>0.08</v>
      </c>
      <c r="N27" s="17">
        <v>178</v>
      </c>
      <c r="O27" s="35">
        <f t="shared" ref="O27:P27" si="35">D27/7</f>
        <v>0.2857142857142857</v>
      </c>
      <c r="P27" s="35">
        <f t="shared" si="35"/>
        <v>0</v>
      </c>
      <c r="Q27" s="30">
        <f t="shared" si="8"/>
        <v>623</v>
      </c>
      <c r="R27" s="30"/>
      <c r="S27" s="22">
        <v>2.23463687150838E-2</v>
      </c>
      <c r="T27" s="15">
        <v>216</v>
      </c>
      <c r="U27" s="23" t="s">
        <v>56</v>
      </c>
      <c r="V27" s="1" t="s">
        <v>56</v>
      </c>
      <c r="W27" s="15">
        <v>2</v>
      </c>
      <c r="X27" s="39">
        <f t="shared" si="9"/>
        <v>1</v>
      </c>
      <c r="Y27" s="40">
        <f t="shared" si="10"/>
        <v>3.1575000000000002</v>
      </c>
      <c r="Z27" s="15">
        <v>14</v>
      </c>
      <c r="AA27" s="29" t="s">
        <v>58</v>
      </c>
      <c r="AB27" s="41">
        <f t="shared" si="11"/>
        <v>-0.69</v>
      </c>
      <c r="AC27" s="42">
        <v>0.23360959374999996</v>
      </c>
      <c r="AD27" s="40">
        <f t="shared" si="12"/>
        <v>-0.64476247874999981</v>
      </c>
      <c r="AE27" s="26">
        <v>-7.18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48">
        <v>20.99</v>
      </c>
      <c r="C28" s="16">
        <f t="shared" si="4"/>
        <v>25.97</v>
      </c>
      <c r="D28" s="17">
        <v>2</v>
      </c>
      <c r="E28" s="17">
        <v>0</v>
      </c>
      <c r="F28" s="18">
        <v>51.94</v>
      </c>
      <c r="G28" s="18">
        <v>-69.509999999999991</v>
      </c>
      <c r="H28" s="32">
        <f t="shared" si="1"/>
        <v>1.3382749326145551</v>
      </c>
      <c r="I28" s="32">
        <f t="shared" si="2"/>
        <v>-1.0304357427560649</v>
      </c>
      <c r="J28" s="33">
        <f t="shared" si="5"/>
        <v>-53.520832478750002</v>
      </c>
      <c r="K28" s="33">
        <f t="shared" si="3"/>
        <v>-26.760416239375001</v>
      </c>
      <c r="L28" s="17">
        <v>30</v>
      </c>
      <c r="M28" s="34">
        <f t="shared" si="6"/>
        <v>6.6666666666666666E-2</v>
      </c>
      <c r="N28" s="17">
        <v>146</v>
      </c>
      <c r="O28" s="35">
        <f t="shared" ref="O28:P28" si="36">D28/7</f>
        <v>0.2857142857142857</v>
      </c>
      <c r="P28" s="35">
        <f t="shared" si="36"/>
        <v>0</v>
      </c>
      <c r="Q28" s="30">
        <f t="shared" si="8"/>
        <v>511</v>
      </c>
      <c r="R28" s="30"/>
      <c r="S28" s="22">
        <v>9.0909090909090912E-2</v>
      </c>
      <c r="T28" s="15">
        <v>216</v>
      </c>
      <c r="U28" s="23" t="s">
        <v>56</v>
      </c>
      <c r="V28" s="1" t="s">
        <v>56</v>
      </c>
      <c r="W28" s="15">
        <v>1</v>
      </c>
      <c r="X28" s="39">
        <f t="shared" si="9"/>
        <v>0.5</v>
      </c>
      <c r="Y28" s="40">
        <f t="shared" si="10"/>
        <v>5.3469230769230762</v>
      </c>
      <c r="Z28" s="15">
        <v>12</v>
      </c>
      <c r="AA28" s="29" t="s">
        <v>58</v>
      </c>
      <c r="AB28" s="41">
        <f t="shared" si="11"/>
        <v>-0.69</v>
      </c>
      <c r="AC28" s="42">
        <v>0.23360959374999996</v>
      </c>
      <c r="AD28" s="40">
        <f t="shared" si="12"/>
        <v>-0.64476247874999981</v>
      </c>
      <c r="AE28" s="26">
        <v>-7.18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 t="s">
        <v>254</v>
      </c>
      <c r="C29" s="16">
        <f t="shared" si="4"/>
        <v>20.99</v>
      </c>
      <c r="D29" s="17">
        <v>6</v>
      </c>
      <c r="E29" s="17">
        <v>0</v>
      </c>
      <c r="F29" s="18">
        <v>125.94</v>
      </c>
      <c r="G29" s="18">
        <v>-67.16</v>
      </c>
      <c r="H29" s="32">
        <f t="shared" si="1"/>
        <v>0.53326981102112114</v>
      </c>
      <c r="I29" s="32">
        <f t="shared" si="2"/>
        <v>-0.35406143748014934</v>
      </c>
      <c r="J29" s="33">
        <f t="shared" si="5"/>
        <v>-44.590497436250004</v>
      </c>
      <c r="K29" s="33">
        <f t="shared" si="3"/>
        <v>-7.431749572708334</v>
      </c>
      <c r="L29" s="17">
        <v>29</v>
      </c>
      <c r="M29" s="34">
        <f t="shared" si="6"/>
        <v>0.20689655172413793</v>
      </c>
      <c r="N29" s="17">
        <v>158</v>
      </c>
      <c r="O29" s="35">
        <f t="shared" ref="O29:P29" si="37">D29/7</f>
        <v>0.8571428571428571</v>
      </c>
      <c r="P29" s="35">
        <f t="shared" si="37"/>
        <v>0</v>
      </c>
      <c r="Q29" s="30">
        <f t="shared" si="8"/>
        <v>184</v>
      </c>
      <c r="R29" s="30"/>
      <c r="S29" s="22">
        <v>0.23841059602649009</v>
      </c>
      <c r="T29" s="15">
        <v>216</v>
      </c>
      <c r="U29" s="23" t="s">
        <v>56</v>
      </c>
      <c r="V29" s="1" t="s">
        <v>56</v>
      </c>
      <c r="W29" s="15">
        <v>4</v>
      </c>
      <c r="X29" s="39">
        <f t="shared" si="9"/>
        <v>0.66666666666666663</v>
      </c>
      <c r="Y29" s="40">
        <f t="shared" si="10"/>
        <v>5.1661538461538461</v>
      </c>
      <c r="Z29" s="15">
        <v>9</v>
      </c>
      <c r="AA29" s="29" t="s">
        <v>58</v>
      </c>
      <c r="AB29" s="41">
        <f t="shared" si="11"/>
        <v>-0.69</v>
      </c>
      <c r="AC29" s="42">
        <v>0.23360959374999996</v>
      </c>
      <c r="AD29" s="40">
        <f t="shared" si="12"/>
        <v>-1.9342874362499995</v>
      </c>
      <c r="AE29" s="26">
        <v>-7.18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48">
        <v>17.989999999999998</v>
      </c>
      <c r="C30" s="16">
        <f t="shared" si="4"/>
        <v>20.99</v>
      </c>
      <c r="D30" s="17">
        <v>6</v>
      </c>
      <c r="E30" s="17">
        <v>0</v>
      </c>
      <c r="F30" s="18">
        <v>125.93999999999998</v>
      </c>
      <c r="G30" s="18">
        <v>-59.12</v>
      </c>
      <c r="H30" s="32">
        <f t="shared" si="1"/>
        <v>0.46942988724789586</v>
      </c>
      <c r="I30" s="32">
        <f t="shared" si="2"/>
        <v>-0.25483948672979212</v>
      </c>
      <c r="J30" s="33">
        <f t="shared" si="5"/>
        <v>-32.094484958750016</v>
      </c>
      <c r="K30" s="33">
        <f t="shared" si="3"/>
        <v>-5.3490808264583363</v>
      </c>
      <c r="L30" s="17">
        <v>32</v>
      </c>
      <c r="M30" s="34">
        <f t="shared" si="6"/>
        <v>0.1875</v>
      </c>
      <c r="N30" s="17">
        <v>152</v>
      </c>
      <c r="O30" s="35">
        <f t="shared" ref="O30:P30" si="38">D30/7</f>
        <v>0.8571428571428571</v>
      </c>
      <c r="P30" s="35">
        <f t="shared" si="38"/>
        <v>0</v>
      </c>
      <c r="Q30" s="30">
        <f t="shared" si="8"/>
        <v>177</v>
      </c>
      <c r="R30" s="30"/>
      <c r="S30" s="22">
        <v>0.33548387096774201</v>
      </c>
      <c r="T30" s="29">
        <v>216</v>
      </c>
      <c r="U30" s="37" t="s">
        <v>56</v>
      </c>
      <c r="V30" s="38" t="s">
        <v>56</v>
      </c>
      <c r="W30" s="15">
        <v>2</v>
      </c>
      <c r="X30" s="39">
        <f t="shared" si="9"/>
        <v>0.33333333333333331</v>
      </c>
      <c r="Y30" s="40">
        <f t="shared" si="10"/>
        <v>3.9413333333333331</v>
      </c>
      <c r="Z30" s="15">
        <v>13</v>
      </c>
      <c r="AA30" s="29" t="s">
        <v>58</v>
      </c>
      <c r="AB30" s="41">
        <f t="shared" si="11"/>
        <v>-0.69</v>
      </c>
      <c r="AC30" s="42">
        <v>0.23360959374999996</v>
      </c>
      <c r="AD30" s="40">
        <f t="shared" si="12"/>
        <v>-1.9342874362499995</v>
      </c>
      <c r="AE30" s="26">
        <v>-7.18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4"/>
        <v>20.49</v>
      </c>
      <c r="D31" s="17">
        <v>6</v>
      </c>
      <c r="E31" s="17">
        <v>3</v>
      </c>
      <c r="F31" s="18">
        <v>122.93999999999998</v>
      </c>
      <c r="G31" s="43">
        <v>-81.360000000000014</v>
      </c>
      <c r="H31" s="32">
        <f t="shared" si="1"/>
        <v>0.66178623718887286</v>
      </c>
      <c r="I31" s="32">
        <f t="shared" si="2"/>
        <v>-0.46270119536969284</v>
      </c>
      <c r="J31" s="33">
        <f t="shared" si="5"/>
        <v>-56.884484958750029</v>
      </c>
      <c r="K31" s="33">
        <f t="shared" si="3"/>
        <v>-9.4807474931250049</v>
      </c>
      <c r="L31" s="17">
        <v>55</v>
      </c>
      <c r="M31" s="34">
        <f t="shared" si="6"/>
        <v>0.10909090909090909</v>
      </c>
      <c r="N31" s="17">
        <v>143</v>
      </c>
      <c r="O31" s="35">
        <f t="shared" ref="O31:P31" si="39">D31/7</f>
        <v>0.8571428571428571</v>
      </c>
      <c r="P31" s="35">
        <f t="shared" si="39"/>
        <v>0.42857142857142855</v>
      </c>
      <c r="Q31" s="30">
        <f t="shared" si="8"/>
        <v>111</v>
      </c>
      <c r="R31" s="30"/>
      <c r="S31" s="22">
        <v>0.25688073394495398</v>
      </c>
      <c r="T31" s="15">
        <v>216</v>
      </c>
      <c r="U31" s="23" t="s">
        <v>56</v>
      </c>
      <c r="V31" s="1" t="s">
        <v>255</v>
      </c>
      <c r="W31" s="15">
        <v>6</v>
      </c>
      <c r="X31" s="39">
        <f t="shared" si="9"/>
        <v>1</v>
      </c>
      <c r="Y31" s="40">
        <f t="shared" si="10"/>
        <v>4.7858823529411776</v>
      </c>
      <c r="Z31" s="15">
        <v>11</v>
      </c>
      <c r="AA31" s="15" t="s">
        <v>58</v>
      </c>
      <c r="AB31" s="41">
        <f t="shared" si="11"/>
        <v>-0.69</v>
      </c>
      <c r="AC31" s="28">
        <v>0.23360959374999996</v>
      </c>
      <c r="AD31" s="40">
        <f t="shared" si="12"/>
        <v>-1.9342874362499995</v>
      </c>
      <c r="AE31" s="44">
        <v>-7.18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17.989999999999998</v>
      </c>
      <c r="D32" s="17">
        <v>2</v>
      </c>
      <c r="E32" s="17">
        <v>7</v>
      </c>
      <c r="F32" s="18">
        <v>35.979999999999997</v>
      </c>
      <c r="G32" s="18">
        <v>-57.029999999999987</v>
      </c>
      <c r="H32" s="32">
        <f t="shared" si="1"/>
        <v>1.5850472484713727</v>
      </c>
      <c r="I32" s="32">
        <f t="shared" si="2"/>
        <v>-1.4764173147929405</v>
      </c>
      <c r="J32" s="33">
        <f t="shared" si="5"/>
        <v>-53.121494986249992</v>
      </c>
      <c r="K32" s="33">
        <f t="shared" si="3"/>
        <v>-26.560747493124996</v>
      </c>
      <c r="L32" s="17">
        <v>37</v>
      </c>
      <c r="M32" s="34">
        <f t="shared" si="6"/>
        <v>5.4054054054054057E-2</v>
      </c>
      <c r="N32" s="17">
        <v>136</v>
      </c>
      <c r="O32" s="35">
        <f t="shared" ref="O32:P32" si="40">D32/7</f>
        <v>0.2857142857142857</v>
      </c>
      <c r="P32" s="35">
        <f t="shared" si="40"/>
        <v>1</v>
      </c>
      <c r="Q32" s="30">
        <f t="shared" si="8"/>
        <v>105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0.36825396825396828</v>
      </c>
      <c r="T32" s="15">
        <f ca="1">IFERROR(__xludf.DUMMYFUNCTION("IFERROR(VLOOKUP($B$2,IMPORTRANGE(""https://docs.google.com/spreadsheets/d/1KiWZV1ko8G7lnRucBRBd29jj3Be6ltMfljMDqzOkQmI/edit#gid=1381463014"",""Lookup!A:D""),4,FALSE),"""")"),216)</f>
        <v>216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216 At Factory 50-75 days from Earliest Arrival")</f>
        <v>No Transit, But 216 At Factory 50-75 days from Earliest Arrival</v>
      </c>
      <c r="W32" s="15">
        <v>1</v>
      </c>
      <c r="X32" s="39">
        <f t="shared" si="9"/>
        <v>0.5</v>
      </c>
      <c r="Y32" s="40">
        <f t="shared" si="10"/>
        <v>4.7524999999999986</v>
      </c>
      <c r="Z32" s="15">
        <v>11</v>
      </c>
      <c r="AA32" s="15" t="s">
        <v>58</v>
      </c>
      <c r="AB32" s="41">
        <f t="shared" si="11"/>
        <v>-0.69</v>
      </c>
      <c r="AC32" s="28">
        <v>0.23360959374999996</v>
      </c>
      <c r="AD32" s="40">
        <f t="shared" si="12"/>
        <v>-0.64476247874999981</v>
      </c>
      <c r="AE32" s="26">
        <v>-7.18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Purple &amp; Black")</f>
        <v>Corn Filled Cornhole Bags - Set of 8 Bean Bags for Corn Hole Game - Purple &amp; Black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Info!B1:BJ7000""),2,FALSE),"""")"),"B07MWJ62KQ")</f>
        <v>B07MWJ62KQ</v>
      </c>
      <c r="B2" s="47" t="s">
        <v>256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15.476313239705883</v>
      </c>
      <c r="D3" s="5">
        <f>SUM(D4:D99765)</f>
        <v>0</v>
      </c>
      <c r="E3" s="5"/>
      <c r="F3" s="6">
        <f t="shared" ref="F3:G3" si="0">SUM(F4:F99765)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SUM(J4:J99765)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SUM(AD4:AD99765)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-5.5571024358974359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56</v>
      </c>
      <c r="V5" s="38" t="s">
        <v>56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 t="s">
        <v>257</v>
      </c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56</v>
      </c>
      <c r="V6" s="38" t="s">
        <v>63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56</v>
      </c>
      <c r="V7" s="38" t="s">
        <v>63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56</v>
      </c>
      <c r="V11" s="38" t="s">
        <v>56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>
        <v>0</v>
      </c>
      <c r="V12" s="38" t="s">
        <v>56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>
        <v>0</v>
      </c>
      <c r="V13" s="38" t="s">
        <v>56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>
        <v>0</v>
      </c>
      <c r="V14" s="38" t="s">
        <v>56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>
        <v>0</v>
      </c>
      <c r="V15" s="38" t="s">
        <v>56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>
        <v>0</v>
      </c>
      <c r="V16" s="38" t="s">
        <v>56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-6.196205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>
        <v>0</v>
      </c>
      <c r="V17" s="38" t="s">
        <v>56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-6.196205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>
        <v>0</v>
      </c>
      <c r="V18" s="38" t="s">
        <v>56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-6.196205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>
        <v>0</v>
      </c>
      <c r="V19" s="38" t="s">
        <v>56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>
        <v>0</v>
      </c>
      <c r="V20" s="38" t="s">
        <v>56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>
        <v>0</v>
      </c>
      <c r="V21" s="38" t="s">
        <v>56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>
        <v>0</v>
      </c>
      <c r="V22" s="38" t="s">
        <v>56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>
        <v>0</v>
      </c>
      <c r="V23" s="38" t="s">
        <v>56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>
        <v>0</v>
      </c>
      <c r="V24" s="38" t="s">
        <v>56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58</v>
      </c>
      <c r="AB24" s="41">
        <f t="shared" si="11"/>
        <v>-0.69</v>
      </c>
      <c r="AC24" s="28">
        <v>7.5525462962962975E-2</v>
      </c>
      <c r="AD24" s="40">
        <f t="shared" si="12"/>
        <v>0</v>
      </c>
      <c r="AE24" s="26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7.5525462962962975E-2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0</v>
      </c>
      <c r="U26" s="23">
        <v>0</v>
      </c>
      <c r="V26" s="1" t="s">
        <v>56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7.5525462962962975E-2</v>
      </c>
      <c r="AD26" s="40">
        <f t="shared" si="12"/>
        <v>0</v>
      </c>
      <c r="AE26" s="26">
        <v>-7.32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15">
        <v>0</v>
      </c>
      <c r="U27" s="23">
        <v>0</v>
      </c>
      <c r="V27" s="1" t="s">
        <v>56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7.5525462962962975E-2</v>
      </c>
      <c r="AD27" s="40">
        <f t="shared" si="12"/>
        <v>0</v>
      </c>
      <c r="AE27" s="26">
        <v>-7.32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>
        <v>0</v>
      </c>
      <c r="U28" s="23" t="s">
        <v>56</v>
      </c>
      <c r="V28" s="1" t="s">
        <v>56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7.5525462962962975E-2</v>
      </c>
      <c r="AD28" s="40">
        <f t="shared" si="12"/>
        <v>0</v>
      </c>
      <c r="AE28" s="26">
        <v>-7.32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0</v>
      </c>
      <c r="U29" s="23" t="s">
        <v>56</v>
      </c>
      <c r="V29" s="1" t="s">
        <v>56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7.5525462962962975E-2</v>
      </c>
      <c r="AD29" s="40">
        <f t="shared" si="12"/>
        <v>0</v>
      </c>
      <c r="AE29" s="26">
        <v>-7.32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7.5525462962962975E-2</v>
      </c>
      <c r="AD30" s="40">
        <f t="shared" si="12"/>
        <v>0</v>
      </c>
      <c r="AE30" s="26">
        <v>-7.32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56</v>
      </c>
      <c r="U31" s="23" t="s">
        <v>56</v>
      </c>
      <c r="V31" s="1" t="s">
        <v>57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7.5525462962962975E-2</v>
      </c>
      <c r="AD31" s="40">
        <f t="shared" si="12"/>
        <v>0</v>
      </c>
      <c r="AE31" s="44">
        <v>-7.32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7.5525462962962975E-2</v>
      </c>
      <c r="AD32" s="40">
        <f t="shared" si="12"/>
        <v>0</v>
      </c>
      <c r="AE32" s="26">
        <v>-7.32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52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/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Info!B1:BJ7000""),2,FALSE),"""")"),"B089H15G67")</f>
        <v>B089H15G67</v>
      </c>
      <c r="B2" s="47" t="s">
        <v>258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15.311607357352942</v>
      </c>
      <c r="D3" s="5">
        <f>SUM(D4:D99765)</f>
        <v>26</v>
      </c>
      <c r="E3" s="5"/>
      <c r="F3" s="6">
        <f t="shared" ref="F3:G3" si="0">SUM(F4:F99765)</f>
        <v>493.74</v>
      </c>
      <c r="G3" s="6">
        <f t="shared" si="0"/>
        <v>-0.1</v>
      </c>
      <c r="H3" s="7">
        <f>G3/F3*-1</f>
        <v>2.0253574755944425E-4</v>
      </c>
      <c r="I3" s="8">
        <f>J3/F3</f>
        <v>0.14011059530572775</v>
      </c>
      <c r="J3" s="6">
        <f>SUM(J4:J99765)</f>
        <v>69.178205326250023</v>
      </c>
      <c r="K3" s="6">
        <f>J3/D3</f>
        <v>2.66070020485577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1.5 - April
1.5 - May
2 - June
2 - July
1.5 - Aug
1 - Sept
0.5 - Oct
0 - Nov
0 - Dec
0.1 - Jan
0.1 - Feb")</f>
        <v>0.5 - March
1.5 - April
1.5 - May
2 - June
2 - July
1.5 - Aug
1 - Sept
0.5 -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-11.27160333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hidden="1" customHeight="1" x14ac:dyDescent="0.2">
      <c r="A4" s="15" t="s">
        <v>32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35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36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37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38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39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40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41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42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43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44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45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46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47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48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49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50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51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52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29" t="s">
        <v>53</v>
      </c>
      <c r="B25" s="15"/>
      <c r="C25" s="16"/>
      <c r="D25" s="30"/>
      <c r="E25" s="30"/>
      <c r="F25" s="33"/>
      <c r="G25" s="33"/>
      <c r="H25" s="32"/>
      <c r="I25" s="32"/>
      <c r="J25" s="33"/>
      <c r="K25" s="33"/>
      <c r="L25" s="30"/>
      <c r="M25" s="34"/>
      <c r="N25" s="30"/>
      <c r="O25" s="35"/>
      <c r="P25" s="35"/>
      <c r="Q25" s="30"/>
      <c r="R25" s="30"/>
      <c r="S25" s="36"/>
      <c r="T25" s="15"/>
      <c r="U25" s="23"/>
      <c r="V25" s="1"/>
      <c r="W25" s="15"/>
      <c r="X25" s="39"/>
      <c r="Y25" s="40"/>
      <c r="Z25" s="15"/>
      <c r="AA25" s="29"/>
      <c r="AB25" s="41"/>
      <c r="AC25" s="42"/>
      <c r="AD25" s="40"/>
      <c r="AE25" s="40"/>
      <c r="AF25" s="40"/>
      <c r="AG25" s="40"/>
    </row>
    <row r="26" spans="1:33" ht="15.75" hidden="1" customHeight="1" x14ac:dyDescent="0.2">
      <c r="A26" s="15" t="s">
        <v>54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15"/>
      <c r="U26" s="23"/>
      <c r="V26" s="1"/>
      <c r="W26" s="15"/>
      <c r="X26" s="39"/>
      <c r="Y26" s="40"/>
      <c r="Z26" s="15"/>
      <c r="AA26" s="29"/>
      <c r="AB26" s="41"/>
      <c r="AC26" s="42"/>
      <c r="AD26" s="40"/>
      <c r="AE26" s="26"/>
      <c r="AF26" s="26"/>
      <c r="AG26" s="26"/>
    </row>
    <row r="27" spans="1:33" ht="15.75" hidden="1" customHeight="1" x14ac:dyDescent="0.2">
      <c r="A27" s="15" t="s">
        <v>74</v>
      </c>
      <c r="B27" s="15"/>
      <c r="C27" s="16"/>
      <c r="D27" s="17"/>
      <c r="E27" s="17"/>
      <c r="F27" s="18"/>
      <c r="G27" s="18"/>
      <c r="H27" s="32"/>
      <c r="I27" s="32"/>
      <c r="J27" s="33"/>
      <c r="K27" s="33"/>
      <c r="L27" s="17"/>
      <c r="M27" s="34"/>
      <c r="N27" s="17"/>
      <c r="O27" s="35"/>
      <c r="P27" s="35"/>
      <c r="Q27" s="30"/>
      <c r="R27" s="30"/>
      <c r="S27" s="22"/>
      <c r="T27" s="15"/>
      <c r="U27" s="23"/>
      <c r="V27" s="1"/>
      <c r="W27" s="15"/>
      <c r="X27" s="39"/>
      <c r="Y27" s="40"/>
      <c r="Z27" s="15"/>
      <c r="AA27" s="29"/>
      <c r="AB27" s="41"/>
      <c r="AC27" s="42"/>
      <c r="AD27" s="40"/>
      <c r="AE27" s="26"/>
      <c r="AF27" s="26"/>
      <c r="AG27" s="26"/>
    </row>
    <row r="28" spans="1:33" ht="15.75" customHeight="1" x14ac:dyDescent="0.2">
      <c r="A28" s="15" t="s">
        <v>75</v>
      </c>
      <c r="B28" s="15"/>
      <c r="C28" s="16"/>
      <c r="D28" s="17"/>
      <c r="E28" s="17"/>
      <c r="F28" s="18"/>
      <c r="G28" s="18"/>
      <c r="H28" s="32"/>
      <c r="I28" s="32"/>
      <c r="J28" s="33"/>
      <c r="K28" s="33"/>
      <c r="L28" s="17"/>
      <c r="M28" s="34"/>
      <c r="N28" s="17"/>
      <c r="O28" s="35"/>
      <c r="P28" s="35"/>
      <c r="Q28" s="30"/>
      <c r="R28" s="30"/>
      <c r="S28" s="22"/>
      <c r="T28" s="15"/>
      <c r="U28" s="23"/>
      <c r="V28" s="1"/>
      <c r="W28" s="15"/>
      <c r="X28" s="39"/>
      <c r="Y28" s="40"/>
      <c r="Z28" s="15"/>
      <c r="AA28" s="29"/>
      <c r="AB28" s="41"/>
      <c r="AC28" s="42"/>
      <c r="AD28" s="40"/>
      <c r="AE28" s="26"/>
      <c r="AF28" s="26"/>
      <c r="AG28" s="26"/>
    </row>
    <row r="29" spans="1:33" ht="15.75" customHeight="1" x14ac:dyDescent="0.2">
      <c r="A29" s="15" t="s">
        <v>77</v>
      </c>
      <c r="B29" s="15" t="s">
        <v>259</v>
      </c>
      <c r="C29" s="16">
        <f t="shared" ref="C29:C32" si="1">IFERROR(F29/D29," - ")</f>
        <v>18.989999999999998</v>
      </c>
      <c r="D29" s="17">
        <v>1</v>
      </c>
      <c r="E29" s="17">
        <v>0</v>
      </c>
      <c r="F29" s="18">
        <v>18.989999999999998</v>
      </c>
      <c r="G29" s="18">
        <v>0</v>
      </c>
      <c r="H29" s="32">
        <f t="shared" ref="H29:H32" si="2">G29/F29*-1</f>
        <v>0</v>
      </c>
      <c r="I29" s="32">
        <f t="shared" ref="I29:I32" si="3">J29/F29</f>
        <v>0.10270888862559223</v>
      </c>
      <c r="J29" s="33">
        <f t="shared" ref="J29:J32" si="4">F29*0.85+G29+AF29*D29+D29*AE29+AG29+AD29</f>
        <v>1.9504417949999964</v>
      </c>
      <c r="K29" s="33">
        <f t="shared" ref="K29:K32" si="5">J29/D29</f>
        <v>1.9504417949999964</v>
      </c>
      <c r="L29" s="17">
        <v>7</v>
      </c>
      <c r="M29" s="34">
        <f t="shared" ref="M29:M32" si="6">IFERROR(D29/L29,"-")</f>
        <v>0.14285714285714285</v>
      </c>
      <c r="N29" s="17">
        <v>96</v>
      </c>
      <c r="O29" s="35">
        <f t="shared" ref="O29:P29" si="7">D29/7</f>
        <v>0.14285714285714285</v>
      </c>
      <c r="P29" s="35">
        <f t="shared" si="7"/>
        <v>0</v>
      </c>
      <c r="Q29" s="30">
        <f t="shared" ref="Q29:Q32" si="8">ROUNDDOWN(N29/(O29+P29),0)</f>
        <v>672</v>
      </c>
      <c r="R29" s="30"/>
      <c r="S29" s="22">
        <v>0</v>
      </c>
      <c r="T29" s="15">
        <v>216</v>
      </c>
      <c r="U29" s="23">
        <v>76</v>
      </c>
      <c r="V29" s="1" t="s">
        <v>260</v>
      </c>
      <c r="W29" s="15">
        <v>0</v>
      </c>
      <c r="X29" s="39">
        <f t="shared" ref="X29:X32" si="9">IFERROR(W29/D29,0)</f>
        <v>0</v>
      </c>
      <c r="Y29" s="40">
        <f t="shared" ref="Y29:Y32" si="10">IFERROR(G29/(W29+Z29)*-1,0)</f>
        <v>0</v>
      </c>
      <c r="Z29" s="15">
        <v>0</v>
      </c>
      <c r="AA29" s="29" t="s">
        <v>58</v>
      </c>
      <c r="AB29" s="41">
        <f t="shared" ref="AB29:AB32" si="11">IF(OR(AA29="UsLargeStandardSize",AA29="UsSmallStandardSize"),-0.69,-0.48)</f>
        <v>-0.69</v>
      </c>
      <c r="AC29" s="42">
        <v>0.31414724999999999</v>
      </c>
      <c r="AD29" s="40">
        <f t="shared" ref="AD29:AD32" si="12">IFERROR(AB29*AC29*D29*2,0)</f>
        <v>-0.43352320499999997</v>
      </c>
      <c r="AE29" s="26">
        <v>-7.18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15" t="s">
        <v>261</v>
      </c>
      <c r="C30" s="16">
        <f t="shared" si="1"/>
        <v>18.989999999999998</v>
      </c>
      <c r="D30" s="17">
        <v>3</v>
      </c>
      <c r="E30" s="17">
        <v>0</v>
      </c>
      <c r="F30" s="18">
        <v>56.97</v>
      </c>
      <c r="G30" s="18">
        <v>0</v>
      </c>
      <c r="H30" s="32">
        <f t="shared" si="2"/>
        <v>0</v>
      </c>
      <c r="I30" s="32">
        <f t="shared" si="3"/>
        <v>0.14181730075039489</v>
      </c>
      <c r="J30" s="33">
        <f t="shared" si="4"/>
        <v>8.0793316237499972</v>
      </c>
      <c r="K30" s="33">
        <f t="shared" si="5"/>
        <v>2.6931105412499989</v>
      </c>
      <c r="L30" s="17">
        <v>13</v>
      </c>
      <c r="M30" s="34">
        <f t="shared" si="6"/>
        <v>0.23076923076923078</v>
      </c>
      <c r="N30" s="17">
        <v>90</v>
      </c>
      <c r="O30" s="35">
        <f t="shared" ref="O30:P30" si="13">D30/7</f>
        <v>0.42857142857142855</v>
      </c>
      <c r="P30" s="35">
        <f t="shared" si="13"/>
        <v>0</v>
      </c>
      <c r="Q30" s="30">
        <f t="shared" si="8"/>
        <v>210</v>
      </c>
      <c r="R30" s="30"/>
      <c r="S30" s="22">
        <v>8.6956521739130432E-2</v>
      </c>
      <c r="T30" s="29">
        <v>216</v>
      </c>
      <c r="U30" s="37">
        <v>76</v>
      </c>
      <c r="V30" s="38" t="s">
        <v>260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0.31414724999999999</v>
      </c>
      <c r="AD30" s="40">
        <f t="shared" si="12"/>
        <v>-1.3005696149999999</v>
      </c>
      <c r="AE30" s="26">
        <v>-7.18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1"/>
        <v>18.990000000000002</v>
      </c>
      <c r="D31" s="17">
        <v>12</v>
      </c>
      <c r="E31" s="17">
        <v>0</v>
      </c>
      <c r="F31" s="18">
        <v>227.88000000000002</v>
      </c>
      <c r="G31" s="43">
        <v>0</v>
      </c>
      <c r="H31" s="32">
        <f t="shared" si="2"/>
        <v>0</v>
      </c>
      <c r="I31" s="32">
        <f t="shared" si="3"/>
        <v>0.141817300750395</v>
      </c>
      <c r="J31" s="33">
        <f t="shared" si="4"/>
        <v>32.317326495000017</v>
      </c>
      <c r="K31" s="33">
        <f t="shared" si="5"/>
        <v>2.6931105412500016</v>
      </c>
      <c r="L31" s="17">
        <v>26</v>
      </c>
      <c r="M31" s="34">
        <f t="shared" si="6"/>
        <v>0.46153846153846156</v>
      </c>
      <c r="N31" s="17">
        <v>79</v>
      </c>
      <c r="O31" s="35">
        <f t="shared" ref="O31:P31" si="14">D31/7</f>
        <v>1.7142857142857142</v>
      </c>
      <c r="P31" s="35">
        <f t="shared" si="14"/>
        <v>0</v>
      </c>
      <c r="Q31" s="30">
        <f t="shared" si="8"/>
        <v>46</v>
      </c>
      <c r="R31" s="30"/>
      <c r="S31" s="22">
        <v>0.28571428571428498</v>
      </c>
      <c r="T31" s="15">
        <v>140</v>
      </c>
      <c r="U31" s="23" t="s">
        <v>56</v>
      </c>
      <c r="V31" s="1" t="s">
        <v>262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0.31414724999999999</v>
      </c>
      <c r="AD31" s="40">
        <f t="shared" si="12"/>
        <v>-5.2022784599999996</v>
      </c>
      <c r="AE31" s="44">
        <v>-7.18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1"/>
        <v>18.990000000000002</v>
      </c>
      <c r="D32" s="17">
        <v>10</v>
      </c>
      <c r="E32" s="17">
        <v>0</v>
      </c>
      <c r="F32" s="18">
        <v>189.9</v>
      </c>
      <c r="G32" s="18">
        <v>-0.1</v>
      </c>
      <c r="H32" s="32">
        <f t="shared" si="2"/>
        <v>5.2659294365455509E-4</v>
      </c>
      <c r="I32" s="32">
        <f t="shared" si="3"/>
        <v>0.14129070780674044</v>
      </c>
      <c r="J32" s="33">
        <f t="shared" si="4"/>
        <v>26.831105412500008</v>
      </c>
      <c r="K32" s="33">
        <f t="shared" si="5"/>
        <v>2.6831105412500009</v>
      </c>
      <c r="L32" s="17">
        <v>12</v>
      </c>
      <c r="M32" s="34">
        <f t="shared" si="6"/>
        <v>0.83333333333333337</v>
      </c>
      <c r="N32" s="17">
        <v>66</v>
      </c>
      <c r="O32" s="35">
        <f t="shared" ref="O32:P32" si="15">D32/7</f>
        <v>1.4285714285714286</v>
      </c>
      <c r="P32" s="35">
        <f t="shared" si="15"/>
        <v>0</v>
      </c>
      <c r="Q32" s="30">
        <f t="shared" si="8"/>
        <v>46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0.35797665369649811</v>
      </c>
      <c r="T32" s="15">
        <f ca="1">IFERROR(__xludf.DUMMYFUNCTION("IFERROR(VLOOKUP($B$2,IMPORTRANGE(""https://docs.google.com/spreadsheets/d/1KiWZV1ko8G7lnRucBRBd29jj3Be6ltMfljMDqzOkQmI/edit#gid=1381463014"",""Lookup!A:D""),4,FALSE),"""")"),140)</f>
        <v>140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140 At Factory 50-75 days from Earliest Arrival")</f>
        <v>No Transit, But 140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0.31414724999999999</v>
      </c>
      <c r="AD32" s="40">
        <f t="shared" si="12"/>
        <v>-4.3352320500000001</v>
      </c>
      <c r="AE32" s="26">
        <v>-7.18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Purple &amp; Gray")</f>
        <v>Corn Filled Cornhole Bags - Set of 8 Bean Bags for Corn Hole Game - Regulation Size &amp; Weight - Purple &amp; Gray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Info!B1:BJ7000""),2,FALSE),"""")"),"B07ZTPBN8H")</f>
        <v>B07ZTPBN8H</v>
      </c>
      <c r="B2" s="47" t="s">
        <v>263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16.729411764705883</v>
      </c>
      <c r="D3" s="5">
        <f>SUM(D4:D99765)</f>
        <v>3</v>
      </c>
      <c r="E3" s="5"/>
      <c r="F3" s="6">
        <f t="shared" ref="F3:G3" si="0">SUM(F4:F99765)</f>
        <v>59.97</v>
      </c>
      <c r="G3" s="6">
        <f t="shared" si="0"/>
        <v>0</v>
      </c>
      <c r="H3" s="7">
        <f>G3/F3*-1</f>
        <v>0</v>
      </c>
      <c r="I3" s="8">
        <f>J3/F3</f>
        <v>0.11659721742815851</v>
      </c>
      <c r="J3" s="6">
        <f>SUM(J4:J99765)</f>
        <v>6.9923351291666656</v>
      </c>
      <c r="K3" s="6">
        <f>J3/D3</f>
        <v>2.3307783763888885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-1.3221648708333333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hidden="1" customHeight="1" x14ac:dyDescent="0.2">
      <c r="A4" s="15" t="s">
        <v>32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35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36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37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38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39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40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41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42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43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44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45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46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47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48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49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50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51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52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"/>
      <c r="AB24" s="41"/>
      <c r="AC24" s="28"/>
      <c r="AD24" s="40"/>
      <c r="AE24" s="26"/>
      <c r="AF24" s="40"/>
      <c r="AG24" s="40"/>
    </row>
    <row r="25" spans="1:33" ht="15.75" hidden="1" customHeight="1" x14ac:dyDescent="0.2">
      <c r="A25" s="29" t="s">
        <v>53</v>
      </c>
      <c r="B25" s="15"/>
      <c r="C25" s="16"/>
      <c r="D25" s="30"/>
      <c r="E25" s="30"/>
      <c r="F25" s="33"/>
      <c r="G25" s="33"/>
      <c r="H25" s="32"/>
      <c r="I25" s="32"/>
      <c r="J25" s="33"/>
      <c r="K25" s="33"/>
      <c r="L25" s="30"/>
      <c r="M25" s="34"/>
      <c r="N25" s="30"/>
      <c r="O25" s="35"/>
      <c r="P25" s="35"/>
      <c r="Q25" s="30"/>
      <c r="R25" s="30"/>
      <c r="S25" s="36"/>
      <c r="T25" s="15"/>
      <c r="U25" s="23"/>
      <c r="V25" s="1"/>
      <c r="W25" s="15"/>
      <c r="X25" s="39"/>
      <c r="Y25" s="40"/>
      <c r="Z25" s="15"/>
      <c r="AA25" s="29"/>
      <c r="AB25" s="41"/>
      <c r="AC25" s="42"/>
      <c r="AD25" s="40"/>
      <c r="AE25" s="40"/>
      <c r="AF25" s="40"/>
      <c r="AG25" s="40"/>
    </row>
    <row r="26" spans="1:33" ht="15.75" hidden="1" customHeight="1" x14ac:dyDescent="0.2">
      <c r="A26" s="15" t="s">
        <v>54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15"/>
      <c r="U26" s="23"/>
      <c r="V26" s="1"/>
      <c r="W26" s="15"/>
      <c r="X26" s="39"/>
      <c r="Y26" s="40"/>
      <c r="Z26" s="15"/>
      <c r="AA26" s="29"/>
      <c r="AB26" s="41"/>
      <c r="AC26" s="42"/>
      <c r="AD26" s="40"/>
      <c r="AE26" s="26"/>
      <c r="AF26" s="26"/>
      <c r="AG26" s="26"/>
    </row>
    <row r="27" spans="1:33" ht="15.75" hidden="1" customHeight="1" x14ac:dyDescent="0.2">
      <c r="A27" s="15" t="s">
        <v>74</v>
      </c>
      <c r="B27" s="15"/>
      <c r="C27" s="16"/>
      <c r="D27" s="17"/>
      <c r="E27" s="17"/>
      <c r="F27" s="18"/>
      <c r="G27" s="18"/>
      <c r="H27" s="32"/>
      <c r="I27" s="32"/>
      <c r="J27" s="33"/>
      <c r="K27" s="33"/>
      <c r="L27" s="17"/>
      <c r="M27" s="34"/>
      <c r="N27" s="17"/>
      <c r="O27" s="35"/>
      <c r="P27" s="35"/>
      <c r="Q27" s="30"/>
      <c r="R27" s="30"/>
      <c r="S27" s="22"/>
      <c r="T27" s="15"/>
      <c r="U27" s="23"/>
      <c r="V27" s="1"/>
      <c r="W27" s="15"/>
      <c r="X27" s="39"/>
      <c r="Y27" s="40"/>
      <c r="Z27" s="15"/>
      <c r="AA27" s="29"/>
      <c r="AB27" s="41"/>
      <c r="AC27" s="42"/>
      <c r="AD27" s="40"/>
      <c r="AE27" s="26"/>
      <c r="AF27" s="26"/>
      <c r="AG27" s="26"/>
    </row>
    <row r="28" spans="1:33" ht="15.75" hidden="1" customHeight="1" x14ac:dyDescent="0.2">
      <c r="A28" s="15" t="s">
        <v>75</v>
      </c>
      <c r="B28" s="15"/>
      <c r="C28" s="16"/>
      <c r="D28" s="17"/>
      <c r="E28" s="17"/>
      <c r="F28" s="18"/>
      <c r="G28" s="18"/>
      <c r="H28" s="32"/>
      <c r="I28" s="32"/>
      <c r="J28" s="33"/>
      <c r="K28" s="33"/>
      <c r="L28" s="17"/>
      <c r="M28" s="34"/>
      <c r="N28" s="17"/>
      <c r="O28" s="35"/>
      <c r="P28" s="35"/>
      <c r="Q28" s="30"/>
      <c r="R28" s="30"/>
      <c r="S28" s="22"/>
      <c r="T28" s="15"/>
      <c r="U28" s="23"/>
      <c r="V28" s="1"/>
      <c r="W28" s="15"/>
      <c r="X28" s="39"/>
      <c r="Y28" s="40"/>
      <c r="Z28" s="15"/>
      <c r="AA28" s="29"/>
      <c r="AB28" s="41"/>
      <c r="AC28" s="42"/>
      <c r="AD28" s="40"/>
      <c r="AE28" s="26"/>
      <c r="AF28" s="26"/>
      <c r="AG28" s="26"/>
    </row>
    <row r="29" spans="1:33" ht="15.75" hidden="1" customHeight="1" x14ac:dyDescent="0.2">
      <c r="A29" s="15" t="s">
        <v>77</v>
      </c>
      <c r="B29" s="15"/>
      <c r="C29" s="16"/>
      <c r="D29" s="17"/>
      <c r="E29" s="17"/>
      <c r="F29" s="18"/>
      <c r="G29" s="18"/>
      <c r="H29" s="32"/>
      <c r="I29" s="32"/>
      <c r="J29" s="33"/>
      <c r="K29" s="33"/>
      <c r="L29" s="17"/>
      <c r="M29" s="34"/>
      <c r="N29" s="17"/>
      <c r="O29" s="35"/>
      <c r="P29" s="35"/>
      <c r="Q29" s="30"/>
      <c r="R29" s="30"/>
      <c r="S29" s="22"/>
      <c r="T29" s="15"/>
      <c r="U29" s="23"/>
      <c r="V29" s="1"/>
      <c r="W29" s="15"/>
      <c r="X29" s="39"/>
      <c r="Y29" s="40"/>
      <c r="Z29" s="15"/>
      <c r="AA29" s="29"/>
      <c r="AB29" s="41"/>
      <c r="AC29" s="42"/>
      <c r="AD29" s="40"/>
      <c r="AE29" s="26"/>
      <c r="AF29" s="26"/>
      <c r="AG29" s="26"/>
    </row>
    <row r="30" spans="1:33" ht="15.75" hidden="1" customHeight="1" x14ac:dyDescent="0.2">
      <c r="A30" s="15" t="s">
        <v>78</v>
      </c>
      <c r="B30" s="48"/>
      <c r="C30" s="16"/>
      <c r="D30" s="17"/>
      <c r="E30" s="17"/>
      <c r="F30" s="18"/>
      <c r="G30" s="18"/>
      <c r="H30" s="32"/>
      <c r="I30" s="32"/>
      <c r="J30" s="33"/>
      <c r="K30" s="33"/>
      <c r="L30" s="17"/>
      <c r="M30" s="34"/>
      <c r="N30" s="17"/>
      <c r="O30" s="35"/>
      <c r="P30" s="35"/>
      <c r="Q30" s="30"/>
      <c r="R30" s="30"/>
      <c r="S30" s="22"/>
      <c r="T30" s="29"/>
      <c r="U30" s="37"/>
      <c r="V30" s="38"/>
      <c r="W30" s="15"/>
      <c r="X30" s="39"/>
      <c r="Y30" s="40"/>
      <c r="Z30" s="15"/>
      <c r="AA30" s="29"/>
      <c r="AB30" s="41"/>
      <c r="AC30" s="42"/>
      <c r="AD30" s="40"/>
      <c r="AE30" s="26"/>
      <c r="AF30" s="26"/>
      <c r="AG30" s="26"/>
    </row>
    <row r="31" spans="1:33" ht="15.75" customHeight="1" x14ac:dyDescent="0.2">
      <c r="A31" s="15" t="s">
        <v>55</v>
      </c>
      <c r="B31" s="15"/>
      <c r="C31" s="16"/>
      <c r="D31" s="17"/>
      <c r="E31" s="17"/>
      <c r="F31" s="18"/>
      <c r="G31" s="43"/>
      <c r="H31" s="32"/>
      <c r="I31" s="32"/>
      <c r="J31" s="33"/>
      <c r="K31" s="33"/>
      <c r="L31" s="17"/>
      <c r="M31" s="34"/>
      <c r="N31" s="17"/>
      <c r="O31" s="35"/>
      <c r="P31" s="35"/>
      <c r="Q31" s="30"/>
      <c r="R31" s="30"/>
      <c r="S31" s="22"/>
      <c r="T31" s="15"/>
      <c r="U31" s="23"/>
      <c r="V31" s="1"/>
      <c r="W31" s="15"/>
      <c r="X31" s="39"/>
      <c r="Y31" s="40"/>
      <c r="Z31" s="15"/>
      <c r="AA31" s="15"/>
      <c r="AB31" s="41"/>
      <c r="AC31" s="28"/>
      <c r="AD31" s="40"/>
      <c r="AE31" s="44"/>
      <c r="AF31" s="44"/>
      <c r="AG31" s="26"/>
    </row>
    <row r="32" spans="1:33" ht="15.75" customHeight="1" x14ac:dyDescent="0.2">
      <c r="A32" s="15" t="s">
        <v>59</v>
      </c>
      <c r="B32" s="15"/>
      <c r="C32" s="16">
        <f>IFERROR(F32/D32," - ")</f>
        <v>19.989999999999998</v>
      </c>
      <c r="D32" s="17">
        <v>3</v>
      </c>
      <c r="E32" s="17">
        <v>0</v>
      </c>
      <c r="F32" s="18">
        <v>59.97</v>
      </c>
      <c r="G32" s="18">
        <v>0</v>
      </c>
      <c r="H32" s="32">
        <f>G32/F32*-1</f>
        <v>0</v>
      </c>
      <c r="I32" s="32">
        <f>J32/F32</f>
        <v>0.11659721742815851</v>
      </c>
      <c r="J32" s="33">
        <f>F32*0.85+G32+AF32*D32+D32*AE32+AG32+AD32</f>
        <v>6.9923351291666656</v>
      </c>
      <c r="K32" s="33">
        <f>J32/D32</f>
        <v>2.3307783763888885</v>
      </c>
      <c r="L32" s="17">
        <v>6</v>
      </c>
      <c r="M32" s="34">
        <f>IFERROR(D32/L32,"-")</f>
        <v>0.5</v>
      </c>
      <c r="N32" s="17">
        <v>97</v>
      </c>
      <c r="O32" s="35">
        <f t="shared" ref="O32:P32" si="1">D32/7</f>
        <v>0.42857142857142855</v>
      </c>
      <c r="P32" s="35">
        <f t="shared" si="1"/>
        <v>0</v>
      </c>
      <c r="Q32" s="30">
        <f>ROUNDDOWN(N32/(O32+P32),0)</f>
        <v>226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4.0816326530612242E-2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>IFERROR(W32/D32,0)</f>
        <v>0</v>
      </c>
      <c r="Y32" s="40">
        <f>IFERROR(G32/(W32+Z32)*-1,0)</f>
        <v>0</v>
      </c>
      <c r="Z32" s="15">
        <v>0</v>
      </c>
      <c r="AA32" s="15" t="s">
        <v>58</v>
      </c>
      <c r="AB32" s="41">
        <f>IF(OR(AA32="UsLargeStandardSize",AA32="UsSmallStandardSize"),-0.69,-0.48)</f>
        <v>-0.69</v>
      </c>
      <c r="AC32" s="28">
        <v>0.3193634953703704</v>
      </c>
      <c r="AD32" s="40">
        <f>IFERROR(AB32*AC32*D32*2,0)</f>
        <v>-1.3221648708333333</v>
      </c>
      <c r="AE32" s="26">
        <v>-7.48</v>
      </c>
      <c r="AF32" s="49">
        <v>-6.74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2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</row>
    <row r="225" spans="1:33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</row>
    <row r="226" spans="1:33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</row>
    <row r="227" spans="1:33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</row>
    <row r="228" spans="1:33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</row>
    <row r="229" spans="1:33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</row>
    <row r="230" spans="1:33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</row>
    <row r="231" spans="1:33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</row>
    <row r="232" spans="1:33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</row>
    <row r="233" spans="1:33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</row>
    <row r="234" spans="1:33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</row>
    <row r="235" spans="1:33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</row>
    <row r="236" spans="1:33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</row>
    <row r="237" spans="1:33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</row>
    <row r="238" spans="1:33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</row>
    <row r="239" spans="1:33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</row>
    <row r="240" spans="1:33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</row>
    <row r="241" spans="1:33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</row>
    <row r="242" spans="1:33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</row>
    <row r="243" spans="1:33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</row>
    <row r="244" spans="1:33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</row>
    <row r="245" spans="1:33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</row>
    <row r="246" spans="1:33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</row>
    <row r="247" spans="1:33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</row>
    <row r="248" spans="1:33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</row>
    <row r="249" spans="1:33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</row>
    <row r="250" spans="1:33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</row>
    <row r="251" spans="1:33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</row>
    <row r="252" spans="1:33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</row>
    <row r="253" spans="1:33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</row>
    <row r="254" spans="1:33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</row>
    <row r="255" spans="1:33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</row>
    <row r="256" spans="1:33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</row>
    <row r="257" spans="1:33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</row>
    <row r="258" spans="1:33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</row>
    <row r="259" spans="1:33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</row>
    <row r="260" spans="1:33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</row>
    <row r="261" spans="1:33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</row>
    <row r="262" spans="1:33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</row>
    <row r="263" spans="1:33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</row>
    <row r="264" spans="1:33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</row>
    <row r="265" spans="1:33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</row>
    <row r="266" spans="1:33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</row>
    <row r="267" spans="1:33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</row>
    <row r="268" spans="1:33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</row>
    <row r="269" spans="1:33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</row>
    <row r="270" spans="1:33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</row>
    <row r="271" spans="1:33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</row>
    <row r="272" spans="1:33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</row>
    <row r="273" spans="1:33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</row>
    <row r="274" spans="1:33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</row>
    <row r="275" spans="1:33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</row>
    <row r="276" spans="1:33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</row>
    <row r="277" spans="1:33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</row>
    <row r="278" spans="1:33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</row>
    <row r="279" spans="1:33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</row>
    <row r="280" spans="1:33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</row>
    <row r="281" spans="1:33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</row>
    <row r="282" spans="1:33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</row>
    <row r="283" spans="1:33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</row>
    <row r="284" spans="1:33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</row>
    <row r="285" spans="1:33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</row>
    <row r="286" spans="1:33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</row>
    <row r="287" spans="1:33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</row>
    <row r="288" spans="1:33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</row>
    <row r="289" spans="1:33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</row>
    <row r="290" spans="1:33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</row>
    <row r="291" spans="1:33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</row>
    <row r="292" spans="1:33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</row>
    <row r="293" spans="1:33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</row>
    <row r="294" spans="1:33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</row>
    <row r="295" spans="1:33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</row>
    <row r="296" spans="1:33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</row>
    <row r="297" spans="1:33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</row>
    <row r="298" spans="1:33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</row>
    <row r="299" spans="1:33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</row>
    <row r="300" spans="1:33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</row>
    <row r="301" spans="1:33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</row>
    <row r="302" spans="1:33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</row>
    <row r="303" spans="1:33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</row>
    <row r="304" spans="1:33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</row>
    <row r="305" spans="1:33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</row>
    <row r="306" spans="1:33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</row>
    <row r="307" spans="1:33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</row>
    <row r="308" spans="1:33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</row>
    <row r="309" spans="1:33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</row>
    <row r="310" spans="1:33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</row>
    <row r="311" spans="1:33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</row>
    <row r="312" spans="1:33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</row>
    <row r="313" spans="1:33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</row>
    <row r="314" spans="1:33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</row>
    <row r="315" spans="1:33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</row>
    <row r="316" spans="1:33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</row>
    <row r="317" spans="1:33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</row>
    <row r="318" spans="1:33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</row>
    <row r="319" spans="1:33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</row>
    <row r="320" spans="1:33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</row>
    <row r="321" spans="1:33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</row>
    <row r="322" spans="1:33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</row>
    <row r="323" spans="1:33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</row>
    <row r="324" spans="1:33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</row>
    <row r="325" spans="1:33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</row>
    <row r="326" spans="1:33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</row>
    <row r="327" spans="1:33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</row>
    <row r="328" spans="1:33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</row>
    <row r="329" spans="1:33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</row>
    <row r="330" spans="1:33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</row>
    <row r="331" spans="1:33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</row>
    <row r="332" spans="1:33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</row>
    <row r="333" spans="1:33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</row>
    <row r="334" spans="1:33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</row>
    <row r="335" spans="1:33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</row>
    <row r="336" spans="1:33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</row>
    <row r="337" spans="1:33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</row>
    <row r="338" spans="1:33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</row>
    <row r="339" spans="1:33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</row>
    <row r="340" spans="1:33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</row>
    <row r="341" spans="1:33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</row>
    <row r="342" spans="1:33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</row>
    <row r="343" spans="1:33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</row>
    <row r="344" spans="1:33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</row>
    <row r="345" spans="1:33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</row>
    <row r="346" spans="1:33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</row>
    <row r="347" spans="1:33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</row>
    <row r="348" spans="1:33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</row>
    <row r="349" spans="1:33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</row>
    <row r="350" spans="1:33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</row>
    <row r="351" spans="1:33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</row>
    <row r="352" spans="1:33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</row>
    <row r="353" spans="1:33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</row>
    <row r="354" spans="1:33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</row>
    <row r="355" spans="1:33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</row>
    <row r="356" spans="1:33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</row>
    <row r="357" spans="1:33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</row>
    <row r="358" spans="1:33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</row>
    <row r="359" spans="1:33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</row>
    <row r="360" spans="1:33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</row>
    <row r="361" spans="1:33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</row>
    <row r="362" spans="1:33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</row>
    <row r="363" spans="1:33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</row>
    <row r="364" spans="1:33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</row>
    <row r="365" spans="1:33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</row>
    <row r="366" spans="1:33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</row>
    <row r="367" spans="1:33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</row>
    <row r="368" spans="1:33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</row>
    <row r="369" spans="1:33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</row>
    <row r="370" spans="1:33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</row>
    <row r="371" spans="1:33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</row>
    <row r="372" spans="1:33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</row>
    <row r="373" spans="1:33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</row>
    <row r="374" spans="1:33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</row>
    <row r="375" spans="1:33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</row>
    <row r="376" spans="1:33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</row>
    <row r="377" spans="1:33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</row>
    <row r="378" spans="1:33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</row>
    <row r="379" spans="1:33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</row>
    <row r="380" spans="1:33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</row>
    <row r="381" spans="1:33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</row>
    <row r="382" spans="1:33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</row>
    <row r="383" spans="1:33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</row>
    <row r="384" spans="1:33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</row>
    <row r="385" spans="1:33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</row>
    <row r="386" spans="1:33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</row>
    <row r="387" spans="1:33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</row>
    <row r="388" spans="1:33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</row>
    <row r="389" spans="1:33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</row>
    <row r="390" spans="1:33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</row>
    <row r="391" spans="1:33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</row>
    <row r="392" spans="1:33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</row>
    <row r="393" spans="1:33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</row>
    <row r="394" spans="1:33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</row>
    <row r="395" spans="1:33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</row>
    <row r="396" spans="1:33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</row>
    <row r="397" spans="1:33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</row>
    <row r="398" spans="1:33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</row>
    <row r="399" spans="1:33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</row>
    <row r="400" spans="1:33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</row>
    <row r="401" spans="1:33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</row>
    <row r="402" spans="1:33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</row>
    <row r="403" spans="1:33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</row>
    <row r="404" spans="1:33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</row>
    <row r="405" spans="1:33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</row>
    <row r="406" spans="1:33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</row>
    <row r="407" spans="1:33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</row>
    <row r="408" spans="1:33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</row>
    <row r="409" spans="1:33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</row>
    <row r="410" spans="1:33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</row>
    <row r="411" spans="1:33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</row>
    <row r="412" spans="1:33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</row>
    <row r="413" spans="1:33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</row>
    <row r="414" spans="1:33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</row>
    <row r="415" spans="1:33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</row>
    <row r="416" spans="1:33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</row>
    <row r="417" spans="1:33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</row>
    <row r="418" spans="1:33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</row>
    <row r="419" spans="1:33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</row>
    <row r="420" spans="1:33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</row>
    <row r="421" spans="1:33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</row>
    <row r="422" spans="1:33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</row>
    <row r="423" spans="1:33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</row>
    <row r="424" spans="1:33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</row>
    <row r="425" spans="1:33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</row>
    <row r="426" spans="1:33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</row>
    <row r="427" spans="1:33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</row>
    <row r="428" spans="1:33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</row>
    <row r="429" spans="1:33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</row>
    <row r="430" spans="1:33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</row>
    <row r="431" spans="1:33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</row>
    <row r="432" spans="1:33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</row>
    <row r="433" spans="1:33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</row>
    <row r="434" spans="1:33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</row>
    <row r="435" spans="1:33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</row>
    <row r="436" spans="1:33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</row>
    <row r="437" spans="1:33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</row>
    <row r="438" spans="1:33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</row>
    <row r="439" spans="1:33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</row>
    <row r="440" spans="1:33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</row>
    <row r="441" spans="1:33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</row>
    <row r="442" spans="1:33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</row>
    <row r="443" spans="1:33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</row>
    <row r="444" spans="1:33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</row>
    <row r="445" spans="1:33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</row>
    <row r="446" spans="1:33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47" spans="1:33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</row>
    <row r="448" spans="1:33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</row>
    <row r="449" spans="1:33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</row>
    <row r="450" spans="1:33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</row>
    <row r="451" spans="1:33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</row>
    <row r="452" spans="1:33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</row>
    <row r="453" spans="1:33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</row>
    <row r="454" spans="1:33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</row>
    <row r="455" spans="1:33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</row>
    <row r="456" spans="1:33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</row>
    <row r="457" spans="1:33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</row>
    <row r="458" spans="1:33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</row>
    <row r="459" spans="1:33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</row>
    <row r="460" spans="1:33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</row>
    <row r="461" spans="1:33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</row>
    <row r="462" spans="1:33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</row>
    <row r="463" spans="1:33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</row>
    <row r="464" spans="1:33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</row>
    <row r="465" spans="1:33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</row>
    <row r="466" spans="1:33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</row>
    <row r="467" spans="1:33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</row>
    <row r="468" spans="1:33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</row>
    <row r="469" spans="1:33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</row>
    <row r="470" spans="1:33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</row>
    <row r="471" spans="1:33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</row>
    <row r="472" spans="1:33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</row>
    <row r="473" spans="1:33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</row>
    <row r="474" spans="1:33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</row>
    <row r="475" spans="1:33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</row>
    <row r="476" spans="1:33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</row>
    <row r="477" spans="1:33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</row>
    <row r="478" spans="1:33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</row>
    <row r="479" spans="1:33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</row>
    <row r="480" spans="1:33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</row>
    <row r="481" spans="1:33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</row>
    <row r="482" spans="1:33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</row>
    <row r="483" spans="1:33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</row>
    <row r="484" spans="1:33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</row>
    <row r="485" spans="1:33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</row>
    <row r="486" spans="1:33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</row>
    <row r="487" spans="1:33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</row>
    <row r="488" spans="1:33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</row>
    <row r="489" spans="1:33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</row>
    <row r="490" spans="1:33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</row>
    <row r="491" spans="1:33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</row>
    <row r="492" spans="1:33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</row>
    <row r="493" spans="1:33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</row>
    <row r="494" spans="1:33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</row>
    <row r="495" spans="1:33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</row>
    <row r="496" spans="1:33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1:33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1:33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1:33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1:33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1:33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1:33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1:33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1:33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1:33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1:33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1:33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1:33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1:33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1:33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1:33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1:33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3" spans="1:33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</row>
    <row r="514" spans="1:33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</row>
    <row r="515" spans="1:33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</row>
    <row r="516" spans="1:33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</row>
    <row r="517" spans="1:33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</row>
    <row r="518" spans="1:33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</row>
    <row r="519" spans="1:33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</row>
    <row r="520" spans="1:33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</row>
    <row r="521" spans="1:33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</row>
    <row r="522" spans="1:33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</row>
    <row r="523" spans="1:33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</row>
    <row r="524" spans="1:33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</row>
    <row r="525" spans="1:33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</row>
    <row r="526" spans="1:33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</row>
    <row r="527" spans="1:33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</row>
    <row r="528" spans="1:33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</row>
    <row r="529" spans="1:33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</row>
    <row r="530" spans="1:33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</row>
    <row r="531" spans="1:33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</row>
    <row r="532" spans="1:33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</row>
    <row r="533" spans="1:33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</row>
    <row r="534" spans="1:33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</row>
    <row r="535" spans="1:33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</row>
    <row r="536" spans="1:33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</row>
    <row r="537" spans="1:33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</row>
    <row r="538" spans="1:33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</row>
    <row r="539" spans="1:33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</row>
    <row r="540" spans="1:33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</row>
    <row r="541" spans="1:33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</row>
    <row r="542" spans="1:33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</row>
    <row r="543" spans="1:33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</row>
    <row r="544" spans="1:33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</row>
    <row r="545" spans="1:33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</row>
    <row r="546" spans="1:33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</row>
    <row r="547" spans="1:33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</row>
    <row r="548" spans="1:33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</row>
    <row r="549" spans="1:33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</row>
    <row r="550" spans="1:33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</row>
    <row r="551" spans="1:33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</row>
    <row r="552" spans="1:33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</row>
    <row r="553" spans="1:33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</row>
    <row r="554" spans="1:33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</row>
    <row r="555" spans="1:33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</row>
    <row r="556" spans="1:33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</row>
    <row r="557" spans="1:33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</row>
    <row r="558" spans="1:33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</row>
    <row r="559" spans="1:33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</row>
    <row r="560" spans="1:33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</row>
    <row r="561" spans="1:33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</row>
    <row r="562" spans="1:33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</row>
    <row r="563" spans="1:33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</row>
    <row r="564" spans="1:33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</row>
    <row r="565" spans="1:33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</row>
    <row r="566" spans="1:33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</row>
    <row r="567" spans="1:33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</row>
    <row r="568" spans="1:33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</row>
    <row r="569" spans="1:33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</row>
    <row r="570" spans="1:33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</row>
    <row r="571" spans="1:33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</row>
    <row r="572" spans="1:33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</row>
    <row r="573" spans="1:33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</row>
    <row r="574" spans="1:33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</row>
    <row r="575" spans="1:33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</row>
    <row r="576" spans="1:33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</row>
    <row r="577" spans="1:33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</row>
    <row r="578" spans="1:33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</row>
    <row r="579" spans="1:33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</row>
    <row r="580" spans="1:33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</row>
    <row r="581" spans="1:33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</row>
    <row r="582" spans="1:33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</row>
    <row r="583" spans="1:33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</row>
    <row r="584" spans="1:33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</row>
    <row r="585" spans="1:33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</row>
    <row r="586" spans="1:33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</row>
    <row r="587" spans="1:33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</row>
    <row r="588" spans="1:33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</row>
    <row r="589" spans="1:33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</row>
    <row r="590" spans="1:33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</row>
    <row r="591" spans="1:33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</row>
    <row r="592" spans="1:33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</row>
    <row r="593" spans="1:33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</row>
    <row r="594" spans="1:33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</row>
    <row r="595" spans="1:33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</row>
    <row r="596" spans="1:33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</row>
    <row r="597" spans="1:33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</row>
    <row r="598" spans="1:33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</row>
    <row r="599" spans="1:33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</row>
    <row r="600" spans="1:33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</row>
    <row r="601" spans="1:33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</row>
    <row r="602" spans="1:33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</row>
    <row r="603" spans="1:33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</row>
    <row r="604" spans="1:33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</row>
    <row r="605" spans="1:33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</row>
    <row r="606" spans="1:33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</row>
    <row r="607" spans="1:33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</row>
    <row r="608" spans="1:33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</row>
    <row r="609" spans="1:33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</row>
    <row r="610" spans="1:33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</row>
    <row r="611" spans="1:33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</row>
    <row r="612" spans="1:33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</row>
    <row r="613" spans="1:33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</row>
    <row r="614" spans="1:33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</row>
    <row r="615" spans="1:33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</row>
    <row r="616" spans="1:33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</row>
    <row r="617" spans="1:33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</row>
    <row r="618" spans="1:33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</row>
    <row r="619" spans="1:33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</row>
    <row r="620" spans="1:33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</row>
    <row r="621" spans="1:33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</row>
    <row r="622" spans="1:33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</row>
    <row r="623" spans="1:33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</row>
    <row r="624" spans="1:33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</row>
    <row r="625" spans="1:33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</row>
    <row r="626" spans="1:33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</row>
    <row r="627" spans="1:33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</row>
    <row r="628" spans="1:33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</row>
    <row r="629" spans="1:33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</row>
    <row r="630" spans="1:33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</row>
    <row r="631" spans="1:33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</row>
    <row r="632" spans="1:33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</row>
    <row r="633" spans="1:33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</row>
    <row r="634" spans="1:33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</row>
    <row r="635" spans="1:33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</row>
    <row r="636" spans="1:33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</row>
    <row r="637" spans="1:33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</row>
    <row r="638" spans="1:33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</row>
    <row r="639" spans="1:33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</row>
    <row r="640" spans="1:33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</row>
    <row r="641" spans="1:33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</row>
    <row r="642" spans="1:33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</row>
    <row r="643" spans="1:33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</row>
    <row r="644" spans="1:33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</row>
    <row r="645" spans="1:33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</row>
    <row r="646" spans="1:33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</row>
    <row r="647" spans="1:33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</row>
    <row r="648" spans="1:33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</row>
    <row r="649" spans="1:33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</row>
    <row r="650" spans="1:33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</row>
    <row r="651" spans="1:33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</row>
    <row r="652" spans="1:33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</row>
    <row r="653" spans="1:33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</row>
    <row r="654" spans="1:33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</row>
    <row r="655" spans="1:33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</row>
    <row r="656" spans="1:33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</row>
    <row r="657" spans="1:33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</row>
    <row r="658" spans="1:33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</row>
    <row r="659" spans="1:33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</row>
    <row r="660" spans="1:33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</row>
    <row r="661" spans="1:33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</row>
    <row r="662" spans="1:33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</row>
    <row r="663" spans="1:33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</row>
    <row r="664" spans="1:33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</row>
    <row r="665" spans="1:33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</row>
    <row r="666" spans="1:33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</row>
    <row r="667" spans="1:33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</row>
    <row r="668" spans="1:33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</row>
    <row r="669" spans="1:33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</row>
    <row r="670" spans="1:33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</row>
    <row r="671" spans="1:33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</row>
    <row r="672" spans="1:33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</row>
    <row r="673" spans="1:33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</row>
    <row r="674" spans="1:33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</row>
    <row r="675" spans="1:33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</row>
    <row r="676" spans="1:33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</row>
    <row r="677" spans="1:33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</row>
    <row r="678" spans="1:33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</row>
    <row r="679" spans="1:33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</row>
    <row r="680" spans="1:33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</row>
    <row r="681" spans="1:33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</row>
    <row r="682" spans="1:33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</row>
    <row r="683" spans="1:33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</row>
    <row r="684" spans="1:33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</row>
    <row r="685" spans="1:33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</row>
    <row r="686" spans="1:33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</row>
    <row r="687" spans="1:33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</row>
    <row r="688" spans="1:33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</row>
    <row r="689" spans="1:33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</row>
    <row r="690" spans="1:33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</row>
    <row r="691" spans="1:33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</row>
    <row r="692" spans="1:33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</row>
    <row r="693" spans="1:33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</row>
    <row r="694" spans="1:33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</row>
    <row r="695" spans="1:33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</row>
    <row r="696" spans="1:33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</row>
    <row r="697" spans="1:33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</row>
    <row r="698" spans="1:33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</row>
    <row r="699" spans="1:33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</row>
    <row r="700" spans="1:33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</row>
    <row r="701" spans="1:33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</row>
    <row r="702" spans="1:33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</row>
    <row r="703" spans="1:33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</row>
    <row r="704" spans="1:33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</row>
    <row r="705" spans="1:33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</row>
    <row r="706" spans="1:33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</row>
    <row r="707" spans="1:33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</row>
    <row r="708" spans="1:33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</row>
    <row r="709" spans="1:33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</row>
    <row r="710" spans="1:33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</row>
    <row r="711" spans="1:33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</row>
    <row r="712" spans="1:33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</row>
    <row r="713" spans="1:33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</row>
    <row r="714" spans="1:33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</row>
    <row r="715" spans="1:33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</row>
    <row r="716" spans="1:33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</row>
    <row r="717" spans="1:33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</row>
    <row r="718" spans="1:33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</row>
    <row r="719" spans="1:33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</row>
    <row r="720" spans="1:33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</row>
    <row r="721" spans="1:33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</row>
    <row r="722" spans="1:33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</row>
    <row r="723" spans="1:33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</row>
    <row r="724" spans="1:33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</row>
    <row r="725" spans="1:33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</row>
    <row r="726" spans="1:33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</row>
    <row r="727" spans="1:33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</row>
    <row r="728" spans="1:33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</row>
    <row r="729" spans="1:33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</row>
    <row r="730" spans="1:33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</row>
    <row r="731" spans="1:33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</row>
    <row r="732" spans="1:33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</row>
    <row r="733" spans="1:33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</row>
    <row r="734" spans="1:33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</row>
    <row r="735" spans="1:33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</row>
    <row r="736" spans="1:33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</row>
    <row r="737" spans="1:33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</row>
    <row r="738" spans="1:33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</row>
    <row r="739" spans="1:33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</row>
    <row r="740" spans="1:33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</row>
    <row r="741" spans="1:33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</row>
    <row r="742" spans="1:33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</row>
    <row r="743" spans="1:33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</row>
    <row r="744" spans="1:33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</row>
    <row r="745" spans="1:33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</row>
    <row r="746" spans="1:33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</row>
    <row r="747" spans="1:33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</row>
    <row r="748" spans="1:33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</row>
    <row r="749" spans="1:33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</row>
    <row r="750" spans="1:33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</row>
    <row r="751" spans="1:33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</row>
    <row r="752" spans="1:33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</row>
    <row r="753" spans="1:33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</row>
    <row r="754" spans="1:33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</row>
    <row r="755" spans="1:33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</row>
    <row r="756" spans="1:33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</row>
    <row r="757" spans="1:33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</row>
    <row r="758" spans="1:33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</row>
    <row r="759" spans="1:33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</row>
    <row r="760" spans="1:33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</row>
    <row r="761" spans="1:33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</row>
    <row r="762" spans="1:33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</row>
    <row r="763" spans="1:33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</row>
    <row r="764" spans="1:33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</row>
    <row r="765" spans="1:33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</row>
    <row r="766" spans="1:33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</row>
    <row r="767" spans="1:33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</row>
    <row r="768" spans="1:33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</row>
    <row r="769" spans="1:33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</row>
    <row r="770" spans="1:33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</row>
    <row r="771" spans="1:33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</row>
    <row r="772" spans="1:33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</row>
    <row r="773" spans="1:33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</row>
    <row r="774" spans="1:33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</row>
    <row r="775" spans="1:33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</row>
    <row r="776" spans="1:33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</row>
    <row r="777" spans="1:33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</row>
    <row r="778" spans="1:33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</row>
    <row r="779" spans="1:33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</row>
    <row r="780" spans="1:33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</row>
    <row r="781" spans="1:33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</row>
    <row r="782" spans="1:33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</row>
    <row r="783" spans="1:33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</row>
    <row r="784" spans="1:33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</row>
    <row r="785" spans="1:33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</row>
    <row r="786" spans="1:33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</row>
    <row r="787" spans="1:33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</row>
    <row r="788" spans="1:33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</row>
    <row r="789" spans="1:33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</row>
    <row r="790" spans="1:33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</row>
    <row r="791" spans="1:33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</row>
    <row r="792" spans="1:33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</row>
    <row r="793" spans="1:33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</row>
    <row r="794" spans="1:33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</row>
    <row r="795" spans="1:33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</row>
    <row r="796" spans="1:33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</row>
    <row r="797" spans="1:33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</row>
    <row r="798" spans="1:33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</row>
    <row r="799" spans="1:33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</row>
    <row r="800" spans="1:33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</row>
    <row r="801" spans="1:33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</row>
    <row r="802" spans="1:33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</row>
    <row r="803" spans="1:33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</row>
    <row r="804" spans="1:33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</row>
    <row r="805" spans="1:33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</row>
    <row r="806" spans="1:33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</row>
    <row r="807" spans="1:33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</row>
    <row r="808" spans="1:33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</row>
    <row r="809" spans="1:33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</row>
    <row r="810" spans="1:33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</row>
    <row r="811" spans="1:33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</row>
    <row r="812" spans="1:33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</row>
    <row r="813" spans="1:33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</row>
    <row r="814" spans="1:33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</row>
    <row r="815" spans="1:33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</row>
    <row r="816" spans="1:33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</row>
    <row r="817" spans="1:33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</row>
    <row r="818" spans="1:33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</row>
    <row r="819" spans="1:33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</row>
    <row r="820" spans="1:33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</row>
    <row r="821" spans="1:33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</row>
    <row r="822" spans="1:33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</row>
    <row r="823" spans="1:33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</row>
    <row r="824" spans="1:33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</row>
    <row r="825" spans="1:33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</row>
    <row r="826" spans="1:33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</row>
    <row r="827" spans="1:33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</row>
    <row r="828" spans="1:33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</row>
    <row r="829" spans="1:33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</row>
    <row r="830" spans="1:33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</row>
    <row r="831" spans="1:33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</row>
    <row r="832" spans="1:33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</row>
    <row r="833" spans="1:33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</row>
    <row r="834" spans="1:33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</row>
    <row r="835" spans="1:33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</row>
    <row r="836" spans="1:33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</row>
    <row r="837" spans="1:33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</row>
    <row r="838" spans="1:33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</row>
    <row r="839" spans="1:33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</row>
    <row r="840" spans="1:33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</row>
    <row r="841" spans="1:33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</row>
    <row r="842" spans="1:33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</row>
    <row r="843" spans="1:33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</row>
    <row r="844" spans="1:33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</row>
    <row r="845" spans="1:33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</row>
    <row r="846" spans="1:33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</row>
    <row r="847" spans="1:33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</row>
    <row r="848" spans="1:33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</row>
    <row r="849" spans="1:33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</row>
    <row r="850" spans="1:33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</row>
    <row r="851" spans="1:33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</row>
    <row r="852" spans="1:33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</row>
    <row r="853" spans="1:33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</row>
    <row r="854" spans="1:33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</row>
    <row r="855" spans="1:33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</row>
    <row r="856" spans="1:33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</row>
    <row r="857" spans="1:33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</row>
    <row r="858" spans="1:33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</row>
    <row r="859" spans="1:33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</row>
    <row r="860" spans="1:33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</row>
    <row r="861" spans="1:33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</row>
    <row r="862" spans="1:33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</row>
    <row r="863" spans="1:33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</row>
    <row r="864" spans="1:33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</row>
    <row r="865" spans="1:33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</row>
    <row r="866" spans="1:33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</row>
    <row r="867" spans="1:33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</row>
    <row r="868" spans="1:33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</row>
    <row r="869" spans="1:33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</row>
    <row r="870" spans="1:33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</row>
    <row r="871" spans="1:33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</row>
    <row r="872" spans="1:33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</row>
    <row r="873" spans="1:33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</row>
    <row r="874" spans="1:33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</row>
    <row r="875" spans="1:33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</row>
    <row r="876" spans="1:33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</row>
    <row r="877" spans="1:33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</row>
    <row r="878" spans="1:33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</row>
    <row r="879" spans="1:33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</row>
    <row r="880" spans="1:33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</row>
    <row r="881" spans="1:33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</row>
    <row r="882" spans="1:33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</row>
    <row r="883" spans="1:33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</row>
    <row r="884" spans="1:33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</row>
    <row r="885" spans="1:33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</row>
    <row r="886" spans="1:33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</row>
    <row r="887" spans="1:33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</row>
    <row r="888" spans="1:33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</row>
    <row r="889" spans="1:33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</row>
    <row r="890" spans="1:33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</row>
    <row r="891" spans="1:33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</row>
    <row r="892" spans="1:33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</row>
    <row r="893" spans="1:33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</row>
    <row r="894" spans="1:33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</row>
    <row r="895" spans="1:33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</row>
    <row r="896" spans="1:33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</row>
    <row r="897" spans="1:33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</row>
    <row r="898" spans="1:33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</row>
    <row r="899" spans="1:33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</row>
    <row r="900" spans="1:33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</row>
    <row r="901" spans="1:33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</row>
    <row r="902" spans="1:33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</row>
    <row r="903" spans="1:33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</row>
    <row r="904" spans="1:33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</row>
    <row r="905" spans="1:33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</row>
    <row r="906" spans="1:33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</row>
    <row r="907" spans="1:33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</row>
    <row r="908" spans="1:33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</row>
    <row r="909" spans="1:33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</row>
    <row r="910" spans="1:33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</row>
    <row r="911" spans="1:33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</row>
    <row r="912" spans="1:33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</row>
    <row r="913" spans="1:33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</row>
    <row r="914" spans="1:33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</row>
    <row r="915" spans="1:33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</row>
    <row r="916" spans="1:33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</row>
    <row r="917" spans="1:33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</row>
    <row r="918" spans="1:33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</row>
    <row r="919" spans="1:33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</row>
    <row r="920" spans="1:33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</row>
    <row r="921" spans="1:33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</row>
    <row r="922" spans="1:33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</row>
    <row r="923" spans="1:33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</row>
    <row r="924" spans="1:33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</row>
    <row r="925" spans="1:33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</row>
    <row r="926" spans="1:33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</row>
    <row r="927" spans="1:33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</row>
    <row r="928" spans="1:33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</row>
    <row r="929" spans="1:33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</row>
    <row r="930" spans="1:33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</row>
    <row r="931" spans="1:33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</row>
    <row r="932" spans="1:33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</row>
    <row r="933" spans="1:33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</row>
    <row r="934" spans="1:33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</row>
    <row r="935" spans="1:33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</row>
    <row r="936" spans="1:33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</row>
    <row r="937" spans="1:33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</row>
    <row r="938" spans="1:33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</row>
    <row r="939" spans="1:33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</row>
    <row r="940" spans="1:33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</row>
    <row r="941" spans="1:33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</row>
    <row r="942" spans="1:33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</row>
    <row r="943" spans="1:33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</row>
    <row r="944" spans="1:33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</row>
    <row r="945" spans="1:33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</row>
    <row r="946" spans="1:33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</row>
    <row r="947" spans="1:33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</row>
    <row r="948" spans="1:33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</row>
    <row r="949" spans="1:33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</row>
    <row r="950" spans="1:33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</row>
    <row r="951" spans="1:33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</row>
    <row r="952" spans="1:33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</row>
    <row r="953" spans="1:33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</row>
    <row r="954" spans="1:33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</row>
    <row r="955" spans="1:33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</row>
    <row r="956" spans="1:33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</row>
    <row r="957" spans="1:33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</row>
    <row r="958" spans="1:33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</row>
    <row r="959" spans="1:33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</row>
    <row r="960" spans="1:33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</row>
    <row r="961" spans="1:33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</row>
    <row r="962" spans="1:33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</row>
    <row r="963" spans="1:33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</row>
    <row r="964" spans="1:33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</row>
    <row r="965" spans="1:33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</row>
    <row r="966" spans="1:33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</row>
    <row r="967" spans="1:33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</row>
    <row r="968" spans="1:33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</row>
    <row r="969" spans="1:33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</row>
    <row r="970" spans="1:33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</row>
    <row r="971" spans="1:33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</row>
    <row r="972" spans="1:33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</row>
    <row r="973" spans="1:33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</row>
    <row r="974" spans="1:33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</row>
    <row r="975" spans="1:33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</row>
    <row r="976" spans="1:33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</row>
    <row r="977" spans="1:33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</row>
    <row r="978" spans="1:33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</row>
    <row r="979" spans="1:33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</row>
    <row r="980" spans="1:33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</row>
    <row r="981" spans="1:33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</row>
    <row r="982" spans="1:33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</row>
    <row r="983" spans="1:33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</row>
    <row r="984" spans="1:33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</row>
    <row r="985" spans="1:33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</row>
    <row r="986" spans="1:33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</row>
    <row r="987" spans="1:33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</row>
    <row r="988" spans="1:33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</row>
    <row r="989" spans="1:33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</row>
    <row r="990" spans="1:33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</row>
    <row r="991" spans="1:33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</row>
    <row r="992" spans="1:33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</row>
    <row r="993" spans="1:33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</row>
    <row r="994" spans="1:33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</row>
    <row r="995" spans="1:33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</row>
    <row r="996" spans="1:33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</row>
    <row r="997" spans="1:33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</row>
    <row r="998" spans="1:33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</row>
    <row r="999" spans="1:33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</row>
    <row r="1000" spans="1:33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Purple &amp; Yellow")</f>
        <v>Corn Filled Cornhole Bags - Set of 8 Bean Bags for Corn Hole Game - Purple &amp; Yellow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Info!B1:BJ7000""),2,FALSE),"""")"),"B07MWPLY2S")</f>
        <v>B07MWPLY2S</v>
      </c>
      <c r="B2" s="47" t="s">
        <v>264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15.311607357352942</v>
      </c>
      <c r="D3" s="5">
        <f>SUM(D4:D99765)</f>
        <v>35</v>
      </c>
      <c r="E3" s="5"/>
      <c r="F3" s="6">
        <f t="shared" ref="F3:G3" si="0">SUM(F4:F99765)</f>
        <v>656.15000000000009</v>
      </c>
      <c r="G3" s="6">
        <f t="shared" si="0"/>
        <v>-21.959999999999997</v>
      </c>
      <c r="H3" s="7">
        <f t="shared" ref="H3:H32" si="1">G3/F3*-1</f>
        <v>3.3467957022022397E-2</v>
      </c>
      <c r="I3" s="8">
        <f t="shared" ref="I3:I32" si="2">J3/F3</f>
        <v>9.447844731350595E-2</v>
      </c>
      <c r="J3" s="6">
        <f>SUM(J4:J99765)</f>
        <v>61.992033204756936</v>
      </c>
      <c r="K3" s="6">
        <f t="shared" ref="K3:K32" si="3">J3/D3</f>
        <v>1.771200948707341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1.5 - April
3 - May
3 - June
2.5 - July
2 - Aug
1.5 - Sept
1 - Oct
0 - Nov
0 - Dec
0.1 - Jan
0.1 - Feb")</f>
        <v>0.5 - March
1.5 - April
3 - May
3 - June
2.5 - July
2 - Aug
1.5 - Sept
1 -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-4.1444417352430545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180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-5.5571024358974359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300</v>
      </c>
      <c r="U5" s="37" t="s">
        <v>56</v>
      </c>
      <c r="V5" s="38" t="s">
        <v>56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300</v>
      </c>
      <c r="U6" s="37" t="s">
        <v>56</v>
      </c>
      <c r="V6" s="38" t="s">
        <v>265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300</v>
      </c>
      <c r="U7" s="37" t="s">
        <v>56</v>
      </c>
      <c r="V7" s="38" t="s">
        <v>265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180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180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180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440</v>
      </c>
      <c r="U11" s="37">
        <v>120</v>
      </c>
      <c r="V11" s="38" t="s">
        <v>266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120</v>
      </c>
      <c r="U12" s="37">
        <v>120</v>
      </c>
      <c r="V12" s="38" t="s">
        <v>267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120</v>
      </c>
      <c r="U13" s="37">
        <v>120</v>
      </c>
      <c r="V13" s="38" t="s">
        <v>268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120</v>
      </c>
      <c r="U14" s="37">
        <v>120</v>
      </c>
      <c r="V14" s="38" t="s">
        <v>269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120</v>
      </c>
      <c r="U15" s="37">
        <v>120</v>
      </c>
      <c r="V15" s="38" t="s">
        <v>270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120</v>
      </c>
      <c r="U16" s="37">
        <v>120</v>
      </c>
      <c r="V16" s="38" t="s">
        <v>270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-6.5775350000000001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120</v>
      </c>
      <c r="U17" s="37">
        <v>120</v>
      </c>
      <c r="V17" s="38" t="s">
        <v>270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-6.5775350000000001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300</v>
      </c>
      <c r="U18" s="37">
        <v>120</v>
      </c>
      <c r="V18" s="38" t="s">
        <v>271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-6.5775350000000001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300</v>
      </c>
      <c r="U19" s="37">
        <v>120</v>
      </c>
      <c r="V19" s="38" t="s">
        <v>271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300</v>
      </c>
      <c r="U20" s="37">
        <v>120</v>
      </c>
      <c r="V20" s="38" t="s">
        <v>271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300</v>
      </c>
      <c r="U21" s="37">
        <v>120</v>
      </c>
      <c r="V21" s="38" t="s">
        <v>271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300</v>
      </c>
      <c r="U22" s="37">
        <v>120</v>
      </c>
      <c r="V22" s="38" t="s">
        <v>272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300</v>
      </c>
      <c r="U23" s="37">
        <v>120</v>
      </c>
      <c r="V23" s="38" t="s">
        <v>272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300</v>
      </c>
      <c r="U24" s="37">
        <v>120</v>
      </c>
      <c r="V24" s="38" t="s">
        <v>273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58</v>
      </c>
      <c r="AB24" s="41">
        <f t="shared" si="11"/>
        <v>-0.69</v>
      </c>
      <c r="AC24" s="28">
        <v>8.5806247106481479E-2</v>
      </c>
      <c r="AD24" s="40">
        <f t="shared" si="12"/>
        <v>0</v>
      </c>
      <c r="AE24" s="26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8.5806247106481479E-2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 t="s">
        <v>247</v>
      </c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121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320</v>
      </c>
      <c r="U26" s="23">
        <v>140</v>
      </c>
      <c r="V26" s="1" t="s">
        <v>274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8.5806247106481479E-2</v>
      </c>
      <c r="AD26" s="40">
        <f t="shared" si="12"/>
        <v>0</v>
      </c>
      <c r="AE26" s="26">
        <v>-7.18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48">
        <v>18.489999999999998</v>
      </c>
      <c r="C27" s="16">
        <f t="shared" si="4"/>
        <v>19.989999999999998</v>
      </c>
      <c r="D27" s="17">
        <v>3</v>
      </c>
      <c r="E27" s="17">
        <v>0</v>
      </c>
      <c r="F27" s="18">
        <v>59.97</v>
      </c>
      <c r="G27" s="18">
        <v>-21.88</v>
      </c>
      <c r="H27" s="32">
        <f t="shared" si="1"/>
        <v>0.36484909121227277</v>
      </c>
      <c r="I27" s="32">
        <f t="shared" si="2"/>
        <v>-0.20899354448925847</v>
      </c>
      <c r="J27" s="33">
        <f t="shared" si="5"/>
        <v>-12.533342863020831</v>
      </c>
      <c r="K27" s="33">
        <f t="shared" si="3"/>
        <v>-4.1777809543402773</v>
      </c>
      <c r="L27" s="17">
        <v>16</v>
      </c>
      <c r="M27" s="34">
        <f t="shared" si="6"/>
        <v>0.1875</v>
      </c>
      <c r="N27" s="17">
        <v>119</v>
      </c>
      <c r="O27" s="35">
        <f t="shared" ref="O27:P27" si="35">D27/7</f>
        <v>0.42857142857142855</v>
      </c>
      <c r="P27" s="35">
        <f t="shared" si="35"/>
        <v>0</v>
      </c>
      <c r="Q27" s="30">
        <f t="shared" si="8"/>
        <v>277</v>
      </c>
      <c r="R27" s="30"/>
      <c r="S27" s="22">
        <v>3.3613445378151259E-2</v>
      </c>
      <c r="T27" s="15">
        <v>320</v>
      </c>
      <c r="U27" s="23">
        <v>140</v>
      </c>
      <c r="V27" s="1" t="s">
        <v>274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8.5806247106481479E-2</v>
      </c>
      <c r="AD27" s="40">
        <f t="shared" si="12"/>
        <v>-0.35523786302083327</v>
      </c>
      <c r="AE27" s="26">
        <v>-7.18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 t="s">
        <v>96</v>
      </c>
      <c r="C28" s="16">
        <f t="shared" si="4"/>
        <v>18.864999999999998</v>
      </c>
      <c r="D28" s="17">
        <v>12</v>
      </c>
      <c r="E28" s="17">
        <v>0</v>
      </c>
      <c r="F28" s="18">
        <v>226.38</v>
      </c>
      <c r="G28" s="18">
        <v>0</v>
      </c>
      <c r="H28" s="32">
        <f t="shared" si="1"/>
        <v>0</v>
      </c>
      <c r="I28" s="32">
        <f t="shared" si="2"/>
        <v>0.11446076750559535</v>
      </c>
      <c r="J28" s="33">
        <f t="shared" si="5"/>
        <v>25.911628547916674</v>
      </c>
      <c r="K28" s="33">
        <f t="shared" si="3"/>
        <v>2.1593023789930563</v>
      </c>
      <c r="L28" s="17">
        <v>23</v>
      </c>
      <c r="M28" s="34">
        <f t="shared" si="6"/>
        <v>0.52173913043478259</v>
      </c>
      <c r="N28" s="17">
        <v>89</v>
      </c>
      <c r="O28" s="35">
        <f t="shared" ref="O28:P28" si="36">D28/7</f>
        <v>1.7142857142857142</v>
      </c>
      <c r="P28" s="35">
        <f t="shared" si="36"/>
        <v>0</v>
      </c>
      <c r="Q28" s="30">
        <f t="shared" si="8"/>
        <v>51</v>
      </c>
      <c r="R28" s="30"/>
      <c r="S28" s="22">
        <v>0.30107526881720431</v>
      </c>
      <c r="T28" s="15">
        <v>320</v>
      </c>
      <c r="U28" s="23">
        <v>140</v>
      </c>
      <c r="V28" s="1" t="s">
        <v>274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8.5806247106481479E-2</v>
      </c>
      <c r="AD28" s="40">
        <f t="shared" si="12"/>
        <v>-1.4209514520833331</v>
      </c>
      <c r="AE28" s="26">
        <v>-7.18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/>
      <c r="C29" s="16">
        <f t="shared" si="4"/>
        <v>18.489999999999998</v>
      </c>
      <c r="D29" s="17">
        <v>4</v>
      </c>
      <c r="E29" s="17">
        <v>0</v>
      </c>
      <c r="F29" s="18">
        <v>73.959999999999994</v>
      </c>
      <c r="G29" s="18">
        <v>-0.08</v>
      </c>
      <c r="H29" s="32">
        <f t="shared" si="1"/>
        <v>1.081665765278529E-3</v>
      </c>
      <c r="I29" s="32">
        <f t="shared" si="2"/>
        <v>9.8461459112658481E-2</v>
      </c>
      <c r="J29" s="33">
        <f t="shared" si="5"/>
        <v>7.2822095159722204</v>
      </c>
      <c r="K29" s="33">
        <f t="shared" si="3"/>
        <v>1.8205523789930551</v>
      </c>
      <c r="L29" s="17">
        <v>15</v>
      </c>
      <c r="M29" s="34">
        <f t="shared" si="6"/>
        <v>0.26666666666666666</v>
      </c>
      <c r="N29" s="17">
        <v>97</v>
      </c>
      <c r="O29" s="35">
        <f t="shared" ref="O29:P29" si="37">D29/7</f>
        <v>0.5714285714285714</v>
      </c>
      <c r="P29" s="35">
        <f t="shared" si="37"/>
        <v>0</v>
      </c>
      <c r="Q29" s="30">
        <f t="shared" si="8"/>
        <v>169</v>
      </c>
      <c r="R29" s="30"/>
      <c r="S29" s="22">
        <v>0.76595744680851063</v>
      </c>
      <c r="T29" s="15">
        <v>320</v>
      </c>
      <c r="U29" s="23">
        <v>140</v>
      </c>
      <c r="V29" s="1" t="s">
        <v>275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8.5806247106481479E-2</v>
      </c>
      <c r="AD29" s="40">
        <f t="shared" si="12"/>
        <v>-0.47365048402777771</v>
      </c>
      <c r="AE29" s="26">
        <v>-7.18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15"/>
      <c r="C30" s="16">
        <f t="shared" si="4"/>
        <v>18.489999999999998</v>
      </c>
      <c r="D30" s="17">
        <v>9</v>
      </c>
      <c r="E30" s="17">
        <v>0</v>
      </c>
      <c r="F30" s="18">
        <v>166.41</v>
      </c>
      <c r="G30" s="18">
        <v>0</v>
      </c>
      <c r="H30" s="32">
        <f t="shared" si="1"/>
        <v>0</v>
      </c>
      <c r="I30" s="32">
        <f t="shared" si="2"/>
        <v>0.13970909276598459</v>
      </c>
      <c r="J30" s="33">
        <f t="shared" si="5"/>
        <v>23.248990127187493</v>
      </c>
      <c r="K30" s="33">
        <f t="shared" si="3"/>
        <v>2.583221125243055</v>
      </c>
      <c r="L30" s="17">
        <v>19</v>
      </c>
      <c r="M30" s="34">
        <f t="shared" si="6"/>
        <v>0.47368421052631576</v>
      </c>
      <c r="N30" s="17">
        <v>88</v>
      </c>
      <c r="O30" s="35">
        <f t="shared" ref="O30:P30" si="38">D30/7</f>
        <v>1.2857142857142858</v>
      </c>
      <c r="P30" s="35">
        <f t="shared" si="38"/>
        <v>0</v>
      </c>
      <c r="Q30" s="30">
        <f t="shared" si="8"/>
        <v>68</v>
      </c>
      <c r="R30" s="30"/>
      <c r="S30" s="22">
        <v>1.043478260869565</v>
      </c>
      <c r="T30" s="29">
        <v>320</v>
      </c>
      <c r="U30" s="37">
        <v>140</v>
      </c>
      <c r="V30" s="38" t="s">
        <v>275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8.5806247106481479E-2</v>
      </c>
      <c r="AD30" s="40">
        <f t="shared" si="12"/>
        <v>-1.0657135890624998</v>
      </c>
      <c r="AE30" s="26">
        <v>-7.18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4"/>
        <v>18.489999999999998</v>
      </c>
      <c r="D31" s="17">
        <v>3</v>
      </c>
      <c r="E31" s="17">
        <v>0</v>
      </c>
      <c r="F31" s="18">
        <v>55.47</v>
      </c>
      <c r="G31" s="43">
        <v>0</v>
      </c>
      <c r="H31" s="32">
        <f t="shared" si="1"/>
        <v>0</v>
      </c>
      <c r="I31" s="32">
        <f t="shared" si="2"/>
        <v>0.13970909276598462</v>
      </c>
      <c r="J31" s="33">
        <f t="shared" si="5"/>
        <v>7.749663375729166</v>
      </c>
      <c r="K31" s="33">
        <f t="shared" si="3"/>
        <v>2.5832211252430555</v>
      </c>
      <c r="L31" s="17">
        <v>20</v>
      </c>
      <c r="M31" s="34">
        <f t="shared" si="6"/>
        <v>0.15</v>
      </c>
      <c r="N31" s="17">
        <v>85</v>
      </c>
      <c r="O31" s="35">
        <f t="shared" ref="O31:P31" si="39">D31/7</f>
        <v>0.42857142857142855</v>
      </c>
      <c r="P31" s="35">
        <f t="shared" si="39"/>
        <v>0</v>
      </c>
      <c r="Q31" s="30">
        <f t="shared" si="8"/>
        <v>198</v>
      </c>
      <c r="R31" s="30"/>
      <c r="S31" s="22">
        <v>0.57971014492753603</v>
      </c>
      <c r="T31" s="15">
        <v>180</v>
      </c>
      <c r="U31" s="23" t="s">
        <v>56</v>
      </c>
      <c r="V31" s="1" t="s">
        <v>124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8.5806247106481479E-2</v>
      </c>
      <c r="AD31" s="40">
        <f t="shared" si="12"/>
        <v>-0.35523786302083327</v>
      </c>
      <c r="AE31" s="44">
        <v>-7.18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18.489999999999998</v>
      </c>
      <c r="D32" s="17">
        <v>4</v>
      </c>
      <c r="E32" s="17">
        <v>0</v>
      </c>
      <c r="F32" s="18">
        <v>73.959999999999994</v>
      </c>
      <c r="G32" s="18">
        <v>0</v>
      </c>
      <c r="H32" s="32">
        <f t="shared" si="1"/>
        <v>0</v>
      </c>
      <c r="I32" s="32">
        <f t="shared" si="2"/>
        <v>0.13970909276598462</v>
      </c>
      <c r="J32" s="33">
        <f t="shared" si="5"/>
        <v>10.332884500972222</v>
      </c>
      <c r="K32" s="33">
        <f t="shared" si="3"/>
        <v>2.5832211252430555</v>
      </c>
      <c r="L32" s="17">
        <v>16</v>
      </c>
      <c r="M32" s="34">
        <f t="shared" si="6"/>
        <v>0.25</v>
      </c>
      <c r="N32" s="17">
        <v>81</v>
      </c>
      <c r="O32" s="35">
        <f t="shared" ref="O32:P32" si="40">D32/7</f>
        <v>0.5714285714285714</v>
      </c>
      <c r="P32" s="35">
        <f t="shared" si="40"/>
        <v>0</v>
      </c>
      <c r="Q32" s="30">
        <f t="shared" si="8"/>
        <v>141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0.41791044776119401</v>
      </c>
      <c r="T32" s="15">
        <f ca="1">IFERROR(__xludf.DUMMYFUNCTION("IFERROR(VLOOKUP($B$2,IMPORTRANGE(""https://docs.google.com/spreadsheets/d/1KiWZV1ko8G7lnRucBRBd29jj3Be6ltMfljMDqzOkQmI/edit#gid=1381463014"",""Lookup!A:D""),4,FALSE),"""")"),180)</f>
        <v>180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180 At Factory 50-75 days from Earliest Arrival")</f>
        <v>No Transit, But 180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8.5806247106481479E-2</v>
      </c>
      <c r="AD32" s="40">
        <f t="shared" si="12"/>
        <v>-0.47365048402777771</v>
      </c>
      <c r="AE32" s="26">
        <v>-7.18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52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Red and Black")</f>
        <v>Corn Filled Cornhole Bags - Set of 8 Bean Bags for Corn Hole Game - Red and Black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Info!B1:BJ7000""),2,FALSE),"""")"),"B07H5Q3PCF")</f>
        <v>B07H5Q3PCF</v>
      </c>
      <c r="B2" s="47" t="s">
        <v>276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16.374136769117648</v>
      </c>
      <c r="D3" s="5">
        <f>SUM(D4:D99765)</f>
        <v>99</v>
      </c>
      <c r="E3" s="5"/>
      <c r="F3" s="6">
        <f t="shared" ref="F3:G3" si="0">SUM(F4:F99765)</f>
        <v>2146.6400000000003</v>
      </c>
      <c r="G3" s="6">
        <f t="shared" si="0"/>
        <v>-375.15999999999997</v>
      </c>
      <c r="H3" s="7">
        <f t="shared" ref="H3:H32" si="1">G3/F3*-1</f>
        <v>0.17476614616330632</v>
      </c>
      <c r="I3" s="8">
        <f t="shared" ref="I3:I32" si="2">J3/F3</f>
        <v>3.3985198709809379E-2</v>
      </c>
      <c r="J3" s="6">
        <f>SUM(J4:J99765)</f>
        <v>72.953986958425219</v>
      </c>
      <c r="K3" s="6">
        <f t="shared" ref="K3:K32" si="3">J3/D3</f>
        <v>0.73690895917601229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3.5 - April
6 - May
7.5 - June
7 - July
3 - Aug
2 - Sept
1 - Oct
0 - Nov
0 - Dec
1 - Jan
0.5 - Feb")</f>
        <v>1 - March
3.5 - April
6 - May
7.5 - June
7 - July
3 - Aug
2 - Sept
1 - Oct
0 - Nov
0 - Dec
1 -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QTY-28")</f>
        <v>Del QTY-28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18</v>
      </c>
      <c r="X3" s="7">
        <f>W3/D3</f>
        <v>0.18181818181818182</v>
      </c>
      <c r="Y3" s="6"/>
      <c r="Z3" s="5"/>
      <c r="AA3" s="5"/>
      <c r="AB3" s="5"/>
      <c r="AC3" s="5"/>
      <c r="AD3" s="6">
        <f>SUM(AD4:AD99765)</f>
        <v>-29.47116462984421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277</v>
      </c>
      <c r="C4" s="16">
        <f t="shared" ref="C4:C32" si="4">IFERROR(F4/D4," - ")</f>
        <v>19.126363636363639</v>
      </c>
      <c r="D4" s="17">
        <v>11</v>
      </c>
      <c r="E4" s="17">
        <v>0</v>
      </c>
      <c r="F4" s="18">
        <v>210.39000000000001</v>
      </c>
      <c r="G4" s="18">
        <v>0</v>
      </c>
      <c r="H4" s="19">
        <f t="shared" si="1"/>
        <v>0</v>
      </c>
      <c r="I4" s="19">
        <f t="shared" si="2"/>
        <v>0.14685700833169815</v>
      </c>
      <c r="J4" s="18">
        <f t="shared" ref="J4:J32" si="5">F4*0.85+G4+AF4*D4+D4*AE4+AG4+AD4</f>
        <v>30.897245982905979</v>
      </c>
      <c r="K4" s="18">
        <f t="shared" si="3"/>
        <v>2.8088405439005437</v>
      </c>
      <c r="L4" s="17">
        <v>15</v>
      </c>
      <c r="M4" s="20">
        <f t="shared" ref="M4:M32" si="6">IFERROR(D4/L4,"-")</f>
        <v>0.73333333333333328</v>
      </c>
      <c r="N4" s="17">
        <v>20</v>
      </c>
      <c r="O4" s="21">
        <f t="shared" ref="O4:P4" si="7">D4/7</f>
        <v>1.5714285714285714</v>
      </c>
      <c r="P4" s="21">
        <f t="shared" si="7"/>
        <v>0</v>
      </c>
      <c r="Q4" s="17">
        <f t="shared" ref="Q4:Q32" si="8">ROUNDDOWN(N4/(O4+P4),0)</f>
        <v>12</v>
      </c>
      <c r="R4" s="17"/>
      <c r="S4" s="22">
        <v>1.4666666666666599</v>
      </c>
      <c r="T4" s="15">
        <v>456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0.2157037037037037</v>
      </c>
      <c r="AD4" s="26">
        <f t="shared" ref="AD4:AD32" si="12">IFERROR(AB4*AC4*D4*2,0)</f>
        <v>-3.2743822222222221</v>
      </c>
      <c r="AE4" s="26">
        <v>-7.32</v>
      </c>
      <c r="AF4" s="26">
        <v>-5.8308974358974357</v>
      </c>
      <c r="AG4" s="26">
        <v>0</v>
      </c>
    </row>
    <row r="5" spans="1:33" ht="15.75" customHeight="1" x14ac:dyDescent="0.2">
      <c r="A5" s="29" t="s">
        <v>33</v>
      </c>
      <c r="B5" s="29" t="s">
        <v>127</v>
      </c>
      <c r="C5" s="16">
        <f t="shared" si="4"/>
        <v>20.643999999999998</v>
      </c>
      <c r="D5" s="30">
        <v>5</v>
      </c>
      <c r="E5" s="30">
        <v>0</v>
      </c>
      <c r="F5" s="31">
        <v>103.22</v>
      </c>
      <c r="G5" s="31">
        <v>0</v>
      </c>
      <c r="H5" s="32">
        <f t="shared" si="1"/>
        <v>0</v>
      </c>
      <c r="I5" s="32">
        <f t="shared" si="2"/>
        <v>0.19853160855563889</v>
      </c>
      <c r="J5" s="33">
        <f t="shared" si="5"/>
        <v>20.492432635113047</v>
      </c>
      <c r="K5" s="33">
        <f t="shared" si="3"/>
        <v>4.0984865270226098</v>
      </c>
      <c r="L5" s="30">
        <v>25</v>
      </c>
      <c r="M5" s="34">
        <f t="shared" si="6"/>
        <v>0.2</v>
      </c>
      <c r="N5" s="30">
        <v>14</v>
      </c>
      <c r="O5" s="35">
        <f t="shared" ref="O5:P5" si="13">D5/7</f>
        <v>0.7142857142857143</v>
      </c>
      <c r="P5" s="35">
        <f t="shared" si="13"/>
        <v>0</v>
      </c>
      <c r="Q5" s="30">
        <f t="shared" si="8"/>
        <v>19</v>
      </c>
      <c r="R5" s="30"/>
      <c r="S5" s="36">
        <v>2.3661971830985902</v>
      </c>
      <c r="T5" s="29">
        <v>620</v>
      </c>
      <c r="U5" s="37">
        <v>164</v>
      </c>
      <c r="V5" s="38" t="s">
        <v>278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58</v>
      </c>
      <c r="AB5" s="41">
        <f t="shared" si="11"/>
        <v>-0.69</v>
      </c>
      <c r="AC5" s="42">
        <v>0.21595365005793743</v>
      </c>
      <c r="AD5" s="40">
        <f t="shared" si="12"/>
        <v>-1.4900801853997681</v>
      </c>
      <c r="AE5" s="40">
        <v>-7.32</v>
      </c>
      <c r="AF5" s="40">
        <v>-5.8308974358974357</v>
      </c>
      <c r="AG5" s="40">
        <v>0</v>
      </c>
    </row>
    <row r="6" spans="1:33" ht="15.75" customHeight="1" x14ac:dyDescent="0.2">
      <c r="A6" s="29" t="s">
        <v>34</v>
      </c>
      <c r="B6" s="29" t="s">
        <v>175</v>
      </c>
      <c r="C6" s="16">
        <f t="shared" si="4"/>
        <v>19.896250000000002</v>
      </c>
      <c r="D6" s="30">
        <v>8</v>
      </c>
      <c r="E6" s="30">
        <v>2</v>
      </c>
      <c r="F6" s="31">
        <v>159.17000000000002</v>
      </c>
      <c r="G6" s="31">
        <v>-7.0000000000000007E-2</v>
      </c>
      <c r="H6" s="32">
        <f t="shared" si="1"/>
        <v>4.3978136583527048E-4</v>
      </c>
      <c r="I6" s="32">
        <f t="shared" si="2"/>
        <v>0.17362537930471589</v>
      </c>
      <c r="J6" s="33">
        <f t="shared" si="5"/>
        <v>27.635951623931629</v>
      </c>
      <c r="K6" s="33">
        <f t="shared" si="3"/>
        <v>3.4544939529914536</v>
      </c>
      <c r="L6" s="30">
        <v>16</v>
      </c>
      <c r="M6" s="34">
        <f t="shared" si="6"/>
        <v>0.5</v>
      </c>
      <c r="N6" s="30">
        <v>5</v>
      </c>
      <c r="O6" s="35">
        <f t="shared" ref="O6:P6" si="14">D6/7</f>
        <v>1.1428571428571428</v>
      </c>
      <c r="P6" s="35">
        <f t="shared" si="14"/>
        <v>0.2857142857142857</v>
      </c>
      <c r="Q6" s="30">
        <f t="shared" si="8"/>
        <v>3</v>
      </c>
      <c r="R6" s="30"/>
      <c r="S6" s="36">
        <v>3.1612903225806401</v>
      </c>
      <c r="T6" s="29">
        <v>620</v>
      </c>
      <c r="U6" s="37">
        <v>164</v>
      </c>
      <c r="V6" s="38" t="s">
        <v>279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58</v>
      </c>
      <c r="AB6" s="41">
        <f t="shared" si="11"/>
        <v>-0.69</v>
      </c>
      <c r="AC6" s="42">
        <v>0.2157037037037037</v>
      </c>
      <c r="AD6" s="40">
        <f t="shared" si="12"/>
        <v>-2.3813688888888889</v>
      </c>
      <c r="AE6" s="40">
        <v>-7.32</v>
      </c>
      <c r="AF6" s="40">
        <v>-5.8308974358974357</v>
      </c>
      <c r="AG6" s="40">
        <v>0</v>
      </c>
    </row>
    <row r="7" spans="1:33" ht="15.75" customHeight="1" x14ac:dyDescent="0.2">
      <c r="A7" s="29" t="s">
        <v>35</v>
      </c>
      <c r="B7" s="29" t="s">
        <v>127</v>
      </c>
      <c r="C7" s="16">
        <f t="shared" si="4"/>
        <v>20.99</v>
      </c>
      <c r="D7" s="30">
        <v>3</v>
      </c>
      <c r="E7" s="30">
        <v>0</v>
      </c>
      <c r="F7" s="31">
        <v>62.97</v>
      </c>
      <c r="G7" s="31">
        <v>0</v>
      </c>
      <c r="H7" s="32">
        <f t="shared" si="1"/>
        <v>0</v>
      </c>
      <c r="I7" s="32">
        <f t="shared" si="2"/>
        <v>0.20928687246267036</v>
      </c>
      <c r="J7" s="33">
        <f t="shared" si="5"/>
        <v>13.178794358974352</v>
      </c>
      <c r="K7" s="33">
        <f t="shared" si="3"/>
        <v>4.3929314529914505</v>
      </c>
      <c r="L7" s="30">
        <v>7</v>
      </c>
      <c r="M7" s="34">
        <f t="shared" si="6"/>
        <v>0.42857142857142855</v>
      </c>
      <c r="N7" s="30">
        <v>1</v>
      </c>
      <c r="O7" s="35">
        <f t="shared" ref="O7:P7" si="15">D7/7</f>
        <v>0.42857142857142855</v>
      </c>
      <c r="P7" s="35">
        <f t="shared" si="15"/>
        <v>0</v>
      </c>
      <c r="Q7" s="30">
        <f t="shared" si="8"/>
        <v>2</v>
      </c>
      <c r="R7" s="30"/>
      <c r="S7" s="36">
        <v>5.2380952380952301</v>
      </c>
      <c r="T7" s="29">
        <v>620</v>
      </c>
      <c r="U7" s="37">
        <v>164</v>
      </c>
      <c r="V7" s="38" t="s">
        <v>280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58</v>
      </c>
      <c r="AB7" s="41">
        <f t="shared" si="11"/>
        <v>-0.69</v>
      </c>
      <c r="AC7" s="42">
        <v>0.2157037037037037</v>
      </c>
      <c r="AD7" s="40">
        <f t="shared" si="12"/>
        <v>-0.89301333333333333</v>
      </c>
      <c r="AE7" s="40">
        <v>-7.32</v>
      </c>
      <c r="AF7" s="40">
        <v>-5.8308974358974357</v>
      </c>
      <c r="AG7" s="40">
        <v>0</v>
      </c>
    </row>
    <row r="8" spans="1:33" ht="15.75" customHeight="1" x14ac:dyDescent="0.2">
      <c r="A8" s="29" t="s">
        <v>36</v>
      </c>
      <c r="B8" s="29" t="s">
        <v>281</v>
      </c>
      <c r="C8" s="16">
        <f t="shared" si="4"/>
        <v>22.655000000000001</v>
      </c>
      <c r="D8" s="30">
        <v>2</v>
      </c>
      <c r="E8" s="30">
        <v>0</v>
      </c>
      <c r="F8" s="31">
        <v>45.31</v>
      </c>
      <c r="G8" s="31">
        <v>0</v>
      </c>
      <c r="H8" s="32">
        <f t="shared" si="1"/>
        <v>0</v>
      </c>
      <c r="I8" s="32">
        <f t="shared" si="2"/>
        <v>0.25641487039897987</v>
      </c>
      <c r="J8" s="33">
        <f t="shared" si="5"/>
        <v>11.618157777777778</v>
      </c>
      <c r="K8" s="33">
        <f t="shared" si="3"/>
        <v>5.8090788888888891</v>
      </c>
      <c r="L8" s="30">
        <v>10</v>
      </c>
      <c r="M8" s="34">
        <f t="shared" si="6"/>
        <v>0.2</v>
      </c>
      <c r="N8" s="30">
        <v>0</v>
      </c>
      <c r="O8" s="35">
        <f t="shared" ref="O8:P8" si="16">D8/7</f>
        <v>0.2857142857142857</v>
      </c>
      <c r="P8" s="35">
        <f t="shared" si="16"/>
        <v>0</v>
      </c>
      <c r="Q8" s="30">
        <f t="shared" si="8"/>
        <v>0</v>
      </c>
      <c r="R8" s="30"/>
      <c r="S8" s="36">
        <v>2.71264367816091</v>
      </c>
      <c r="T8" s="29">
        <v>456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58</v>
      </c>
      <c r="AB8" s="41">
        <f t="shared" si="11"/>
        <v>-0.69</v>
      </c>
      <c r="AC8" s="42">
        <v>0.2157037037037037</v>
      </c>
      <c r="AD8" s="40">
        <f t="shared" si="12"/>
        <v>-0.59534222222222222</v>
      </c>
      <c r="AE8" s="40">
        <v>-7.32</v>
      </c>
      <c r="AF8" s="40">
        <v>-5.83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456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-6.1841025641025604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536</v>
      </c>
      <c r="U10" s="37">
        <v>80</v>
      </c>
      <c r="V10" s="38" t="s">
        <v>176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-6.1841025641025604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1056</v>
      </c>
      <c r="U11" s="37">
        <v>164</v>
      </c>
      <c r="V11" s="38" t="s">
        <v>282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-6.1841025641025604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600</v>
      </c>
      <c r="U12" s="37">
        <v>164</v>
      </c>
      <c r="V12" s="38" t="s">
        <v>283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-6.27128205128205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600</v>
      </c>
      <c r="U13" s="37">
        <v>164</v>
      </c>
      <c r="V13" s="38" t="s">
        <v>284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-6.47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600</v>
      </c>
      <c r="U14" s="37">
        <v>164</v>
      </c>
      <c r="V14" s="38" t="s">
        <v>285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-6.47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600</v>
      </c>
      <c r="U15" s="37">
        <v>164</v>
      </c>
      <c r="V15" s="38" t="s">
        <v>286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-6.47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600</v>
      </c>
      <c r="U16" s="37">
        <v>164</v>
      </c>
      <c r="V16" s="38" t="s">
        <v>286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-6.47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600</v>
      </c>
      <c r="U17" s="37">
        <v>164</v>
      </c>
      <c r="V17" s="38" t="s">
        <v>286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-6.47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880</v>
      </c>
      <c r="U18" s="37">
        <v>160</v>
      </c>
      <c r="V18" s="38" t="s">
        <v>287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-6.47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880</v>
      </c>
      <c r="U19" s="37">
        <v>160</v>
      </c>
      <c r="V19" s="38" t="s">
        <v>288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-6.47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880</v>
      </c>
      <c r="U20" s="37">
        <v>160</v>
      </c>
      <c r="V20" s="38" t="s">
        <v>288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-6.47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880</v>
      </c>
      <c r="U21" s="37">
        <v>160</v>
      </c>
      <c r="V21" s="38" t="s">
        <v>289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-6.47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880</v>
      </c>
      <c r="U22" s="37">
        <v>160</v>
      </c>
      <c r="V22" s="38" t="s">
        <v>290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-6.47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880</v>
      </c>
      <c r="U23" s="37">
        <v>160</v>
      </c>
      <c r="V23" s="38" t="s">
        <v>291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-6.47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880</v>
      </c>
      <c r="U24" s="37">
        <v>160</v>
      </c>
      <c r="V24" s="38" t="s">
        <v>292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42">
        <v>0.2157037037037037</v>
      </c>
      <c r="AD24" s="40">
        <f t="shared" si="12"/>
        <v>0</v>
      </c>
      <c r="AE24" s="40">
        <v>-7.32</v>
      </c>
      <c r="AF24" s="40">
        <v>-6.47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0.2157037037037037</v>
      </c>
      <c r="AD25" s="40">
        <f t="shared" si="12"/>
        <v>0</v>
      </c>
      <c r="AE25" s="40">
        <v>-7.32</v>
      </c>
      <c r="AF25" s="40">
        <v>-6.47</v>
      </c>
      <c r="AG25" s="40">
        <v>0</v>
      </c>
    </row>
    <row r="26" spans="1:33" ht="15.75" customHeight="1" x14ac:dyDescent="0.2">
      <c r="A26" s="15" t="s">
        <v>54</v>
      </c>
      <c r="B26" s="15" t="s">
        <v>102</v>
      </c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160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720</v>
      </c>
      <c r="U26" s="23">
        <v>436</v>
      </c>
      <c r="V26" s="1" t="s">
        <v>293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0.2157037037037037</v>
      </c>
      <c r="AD26" s="40">
        <f t="shared" si="12"/>
        <v>0</v>
      </c>
      <c r="AE26" s="26">
        <v>-7.18</v>
      </c>
      <c r="AF26" s="26">
        <v>-6.47</v>
      </c>
      <c r="AG26" s="26">
        <v>0</v>
      </c>
    </row>
    <row r="27" spans="1:33" ht="15.75" customHeight="1" x14ac:dyDescent="0.2">
      <c r="A27" s="15" t="s">
        <v>74</v>
      </c>
      <c r="B27" s="15" t="s">
        <v>294</v>
      </c>
      <c r="C27" s="16">
        <f t="shared" si="4"/>
        <v>21.895</v>
      </c>
      <c r="D27" s="17">
        <v>8</v>
      </c>
      <c r="E27" s="17">
        <v>0</v>
      </c>
      <c r="F27" s="18">
        <v>175.16</v>
      </c>
      <c r="G27" s="18">
        <v>-40.590000000000003</v>
      </c>
      <c r="H27" s="32">
        <f t="shared" si="1"/>
        <v>0.23173098881023066</v>
      </c>
      <c r="I27" s="32">
        <f t="shared" si="2"/>
        <v>-1.8756387810509777E-2</v>
      </c>
      <c r="J27" s="33">
        <f t="shared" si="5"/>
        <v>-3.2853688888888923</v>
      </c>
      <c r="K27" s="33">
        <f t="shared" si="3"/>
        <v>-0.41067111111111154</v>
      </c>
      <c r="L27" s="17">
        <v>29</v>
      </c>
      <c r="M27" s="34">
        <f t="shared" si="6"/>
        <v>0.27586206896551724</v>
      </c>
      <c r="N27" s="17">
        <v>152</v>
      </c>
      <c r="O27" s="35">
        <f t="shared" ref="O27:P27" si="35">D27/7</f>
        <v>1.1428571428571428</v>
      </c>
      <c r="P27" s="35">
        <f t="shared" si="35"/>
        <v>0</v>
      </c>
      <c r="Q27" s="30">
        <f t="shared" si="8"/>
        <v>133</v>
      </c>
      <c r="R27" s="30"/>
      <c r="S27" s="22">
        <v>0.12658227848101269</v>
      </c>
      <c r="T27" s="15">
        <v>720</v>
      </c>
      <c r="U27" s="23">
        <v>436</v>
      </c>
      <c r="V27" s="1" t="s">
        <v>293</v>
      </c>
      <c r="W27" s="15">
        <v>2</v>
      </c>
      <c r="X27" s="39">
        <f t="shared" si="9"/>
        <v>0.25</v>
      </c>
      <c r="Y27" s="40">
        <f t="shared" si="10"/>
        <v>5.7985714285714289</v>
      </c>
      <c r="Z27" s="15">
        <v>5</v>
      </c>
      <c r="AA27" s="29" t="s">
        <v>58</v>
      </c>
      <c r="AB27" s="41">
        <f t="shared" si="11"/>
        <v>-0.69</v>
      </c>
      <c r="AC27" s="42">
        <v>0.2157037037037037</v>
      </c>
      <c r="AD27" s="40">
        <f t="shared" si="12"/>
        <v>-2.3813688888888889</v>
      </c>
      <c r="AE27" s="26">
        <v>-7.18</v>
      </c>
      <c r="AF27" s="26">
        <v>-6.47</v>
      </c>
      <c r="AG27" s="26">
        <v>0</v>
      </c>
    </row>
    <row r="28" spans="1:33" ht="15.75" customHeight="1" x14ac:dyDescent="0.2">
      <c r="A28" s="15" t="s">
        <v>75</v>
      </c>
      <c r="B28" s="15" t="s">
        <v>238</v>
      </c>
      <c r="C28" s="16">
        <f t="shared" si="4"/>
        <v>23.145714285714288</v>
      </c>
      <c r="D28" s="17">
        <v>14</v>
      </c>
      <c r="E28" s="17">
        <v>0</v>
      </c>
      <c r="F28" s="18">
        <v>324.04000000000002</v>
      </c>
      <c r="G28" s="18">
        <v>-93.28</v>
      </c>
      <c r="H28" s="32">
        <f t="shared" si="1"/>
        <v>0.28786569559313663</v>
      </c>
      <c r="I28" s="32">
        <f t="shared" si="2"/>
        <v>-4.0468446968138262E-2</v>
      </c>
      <c r="J28" s="33">
        <f t="shared" si="5"/>
        <v>-13.113395555555524</v>
      </c>
      <c r="K28" s="33">
        <f t="shared" si="3"/>
        <v>-0.9366711111111089</v>
      </c>
      <c r="L28" s="17">
        <v>42</v>
      </c>
      <c r="M28" s="34">
        <f t="shared" si="6"/>
        <v>0.33333333333333331</v>
      </c>
      <c r="N28" s="17">
        <v>120</v>
      </c>
      <c r="O28" s="35">
        <f t="shared" ref="O28:P28" si="36">D28/7</f>
        <v>2</v>
      </c>
      <c r="P28" s="35">
        <f t="shared" si="36"/>
        <v>0</v>
      </c>
      <c r="Q28" s="30">
        <f t="shared" si="8"/>
        <v>60</v>
      </c>
      <c r="R28" s="30"/>
      <c r="S28" s="22">
        <v>0.46575342465753422</v>
      </c>
      <c r="T28" s="15">
        <v>720</v>
      </c>
      <c r="U28" s="23">
        <v>436</v>
      </c>
      <c r="V28" s="1" t="s">
        <v>293</v>
      </c>
      <c r="W28" s="15">
        <v>4</v>
      </c>
      <c r="X28" s="39">
        <f t="shared" si="9"/>
        <v>0.2857142857142857</v>
      </c>
      <c r="Y28" s="40">
        <f t="shared" si="10"/>
        <v>7.7733333333333334</v>
      </c>
      <c r="Z28" s="15">
        <v>8</v>
      </c>
      <c r="AA28" s="29" t="s">
        <v>58</v>
      </c>
      <c r="AB28" s="41">
        <f t="shared" si="11"/>
        <v>-0.69</v>
      </c>
      <c r="AC28" s="42">
        <v>0.2157037037037037</v>
      </c>
      <c r="AD28" s="40">
        <f t="shared" si="12"/>
        <v>-4.1673955555555553</v>
      </c>
      <c r="AE28" s="26">
        <v>-7.18</v>
      </c>
      <c r="AF28" s="26">
        <v>-6.47</v>
      </c>
      <c r="AG28" s="26">
        <v>0</v>
      </c>
    </row>
    <row r="29" spans="1:33" ht="15.75" customHeight="1" x14ac:dyDescent="0.2">
      <c r="A29" s="15" t="s">
        <v>77</v>
      </c>
      <c r="B29" s="15" t="s">
        <v>96</v>
      </c>
      <c r="C29" s="16">
        <f t="shared" si="4"/>
        <v>22.31</v>
      </c>
      <c r="D29" s="17">
        <v>10</v>
      </c>
      <c r="E29" s="17">
        <v>1</v>
      </c>
      <c r="F29" s="18">
        <v>223.1</v>
      </c>
      <c r="G29" s="18">
        <v>-14.8</v>
      </c>
      <c r="H29" s="32">
        <f t="shared" si="1"/>
        <v>6.6337965038099508E-2</v>
      </c>
      <c r="I29" s="32">
        <f t="shared" si="2"/>
        <v>0.15848627919717106</v>
      </c>
      <c r="J29" s="33">
        <f t="shared" si="5"/>
        <v>35.358288888888865</v>
      </c>
      <c r="K29" s="33">
        <f t="shared" si="3"/>
        <v>3.5358288888888865</v>
      </c>
      <c r="L29" s="17">
        <v>35</v>
      </c>
      <c r="M29" s="34">
        <f t="shared" si="6"/>
        <v>0.2857142857142857</v>
      </c>
      <c r="N29" s="17">
        <v>122</v>
      </c>
      <c r="O29" s="35">
        <f t="shared" ref="O29:P29" si="37">D29/7</f>
        <v>1.4285714285714286</v>
      </c>
      <c r="P29" s="35">
        <f t="shared" si="37"/>
        <v>0.14285714285714285</v>
      </c>
      <c r="Q29" s="30">
        <f t="shared" si="8"/>
        <v>77</v>
      </c>
      <c r="R29" s="30"/>
      <c r="S29" s="22">
        <v>0.94488188976377951</v>
      </c>
      <c r="T29" s="15">
        <v>720</v>
      </c>
      <c r="U29" s="23">
        <v>436</v>
      </c>
      <c r="V29" s="1" t="s">
        <v>295</v>
      </c>
      <c r="W29" s="15">
        <v>0</v>
      </c>
      <c r="X29" s="39">
        <f t="shared" si="9"/>
        <v>0</v>
      </c>
      <c r="Y29" s="40">
        <f t="shared" si="10"/>
        <v>14.8</v>
      </c>
      <c r="Z29" s="15">
        <v>1</v>
      </c>
      <c r="AA29" s="29" t="s">
        <v>58</v>
      </c>
      <c r="AB29" s="41">
        <f t="shared" si="11"/>
        <v>-0.69</v>
      </c>
      <c r="AC29" s="42">
        <v>0.2157037037037037</v>
      </c>
      <c r="AD29" s="40">
        <f t="shared" si="12"/>
        <v>-2.9767111111111113</v>
      </c>
      <c r="AE29" s="26">
        <v>-7.18</v>
      </c>
      <c r="AF29" s="26">
        <v>-6.47</v>
      </c>
      <c r="AG29" s="26">
        <v>0</v>
      </c>
    </row>
    <row r="30" spans="1:33" ht="15.75" customHeight="1" x14ac:dyDescent="0.2">
      <c r="A30" s="15" t="s">
        <v>78</v>
      </c>
      <c r="B30" s="15" t="s">
        <v>296</v>
      </c>
      <c r="C30" s="16">
        <f t="shared" si="4"/>
        <v>23.017777777777781</v>
      </c>
      <c r="D30" s="17">
        <v>9</v>
      </c>
      <c r="E30" s="17">
        <v>0</v>
      </c>
      <c r="F30" s="18">
        <v>207.16000000000003</v>
      </c>
      <c r="G30" s="18">
        <v>-46.21</v>
      </c>
      <c r="H30" s="32">
        <f t="shared" si="1"/>
        <v>0.22306429812705153</v>
      </c>
      <c r="I30" s="32">
        <f t="shared" si="2"/>
        <v>9.3397070682081744E-3</v>
      </c>
      <c r="J30" s="33">
        <f t="shared" si="5"/>
        <v>1.9348137162500056</v>
      </c>
      <c r="K30" s="33">
        <f t="shared" si="3"/>
        <v>0.21497930180555619</v>
      </c>
      <c r="L30" s="17">
        <v>31</v>
      </c>
      <c r="M30" s="34">
        <f t="shared" si="6"/>
        <v>0.29032258064516131</v>
      </c>
      <c r="N30" s="17">
        <v>110</v>
      </c>
      <c r="O30" s="35">
        <f t="shared" ref="O30:P30" si="38">D30/7</f>
        <v>1.2857142857142858</v>
      </c>
      <c r="P30" s="35">
        <f t="shared" si="38"/>
        <v>0</v>
      </c>
      <c r="Q30" s="30">
        <f t="shared" si="8"/>
        <v>85</v>
      </c>
      <c r="R30" s="30"/>
      <c r="S30" s="22">
        <v>1.1147540983606561</v>
      </c>
      <c r="T30" s="29">
        <v>720</v>
      </c>
      <c r="U30" s="37">
        <v>436</v>
      </c>
      <c r="V30" s="38" t="s">
        <v>295</v>
      </c>
      <c r="W30" s="15">
        <v>4</v>
      </c>
      <c r="X30" s="39">
        <f t="shared" si="9"/>
        <v>0.44444444444444442</v>
      </c>
      <c r="Y30" s="40">
        <f t="shared" si="10"/>
        <v>6.6014285714285714</v>
      </c>
      <c r="Z30" s="15">
        <v>3</v>
      </c>
      <c r="AA30" s="29" t="s">
        <v>58</v>
      </c>
      <c r="AB30" s="41">
        <f t="shared" si="11"/>
        <v>-0.69</v>
      </c>
      <c r="AC30" s="42">
        <v>0.2157037037037037</v>
      </c>
      <c r="AD30" s="40">
        <f t="shared" si="12"/>
        <v>-2.6790400000000001</v>
      </c>
      <c r="AE30" s="26">
        <v>-7.18</v>
      </c>
      <c r="AF30" s="26">
        <v>-6.7380162537499997</v>
      </c>
      <c r="AG30" s="26">
        <v>0</v>
      </c>
    </row>
    <row r="31" spans="1:33" ht="15.75" customHeight="1" x14ac:dyDescent="0.2">
      <c r="A31" s="15" t="s">
        <v>55</v>
      </c>
      <c r="B31" s="15" t="s">
        <v>297</v>
      </c>
      <c r="C31" s="16">
        <f t="shared" si="4"/>
        <v>23.005714285714294</v>
      </c>
      <c r="D31" s="17">
        <v>14</v>
      </c>
      <c r="E31" s="17">
        <v>0</v>
      </c>
      <c r="F31" s="18">
        <v>322.0800000000001</v>
      </c>
      <c r="G31" s="43">
        <v>-114.92999999999995</v>
      </c>
      <c r="H31" s="32">
        <f t="shared" si="1"/>
        <v>0.35683681073025308</v>
      </c>
      <c r="I31" s="32">
        <f t="shared" si="2"/>
        <v>-0.12475665396192066</v>
      </c>
      <c r="J31" s="33">
        <f t="shared" si="5"/>
        <v>-40.181623108055419</v>
      </c>
      <c r="K31" s="33">
        <f t="shared" si="3"/>
        <v>-2.8701159362896727</v>
      </c>
      <c r="L31" s="17">
        <v>50</v>
      </c>
      <c r="M31" s="34">
        <f t="shared" si="6"/>
        <v>0.28000000000000003</v>
      </c>
      <c r="N31" s="17">
        <v>98</v>
      </c>
      <c r="O31" s="35">
        <f t="shared" ref="O31:P31" si="39">D31/7</f>
        <v>2</v>
      </c>
      <c r="P31" s="35">
        <f t="shared" si="39"/>
        <v>0</v>
      </c>
      <c r="Q31" s="30">
        <f t="shared" si="8"/>
        <v>49</v>
      </c>
      <c r="R31" s="30"/>
      <c r="S31" s="22">
        <v>0.73962264150943302</v>
      </c>
      <c r="T31" s="15">
        <v>720</v>
      </c>
      <c r="U31" s="23">
        <v>436</v>
      </c>
      <c r="V31" s="1" t="s">
        <v>298</v>
      </c>
      <c r="W31" s="15">
        <v>4</v>
      </c>
      <c r="X31" s="39">
        <f t="shared" si="9"/>
        <v>0.2857142857142857</v>
      </c>
      <c r="Y31" s="40">
        <f t="shared" si="10"/>
        <v>9.5774999999999952</v>
      </c>
      <c r="Z31" s="15">
        <v>8</v>
      </c>
      <c r="AA31" s="15" t="s">
        <v>58</v>
      </c>
      <c r="AB31" s="41">
        <f t="shared" si="11"/>
        <v>-0.69</v>
      </c>
      <c r="AC31" s="28">
        <v>0.2157037037037037</v>
      </c>
      <c r="AD31" s="40">
        <f t="shared" si="12"/>
        <v>-4.1673955555555553</v>
      </c>
      <c r="AE31" s="44">
        <v>-7.18</v>
      </c>
      <c r="AF31" s="44">
        <v>-6.7380162537499997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20.936</v>
      </c>
      <c r="D32" s="17">
        <v>15</v>
      </c>
      <c r="E32" s="17">
        <v>1</v>
      </c>
      <c r="F32" s="18">
        <v>314.04000000000002</v>
      </c>
      <c r="G32" s="18">
        <v>-65.279999999999987</v>
      </c>
      <c r="H32" s="32">
        <f t="shared" si="1"/>
        <v>0.2078716087122659</v>
      </c>
      <c r="I32" s="32">
        <f t="shared" si="2"/>
        <v>-3.6878456479800641E-2</v>
      </c>
      <c r="J32" s="33">
        <f t="shared" si="5"/>
        <v>-11.581310472916593</v>
      </c>
      <c r="K32" s="33">
        <f t="shared" si="3"/>
        <v>-0.77208736486110618</v>
      </c>
      <c r="L32" s="17">
        <v>64</v>
      </c>
      <c r="M32" s="34">
        <f t="shared" si="6"/>
        <v>0.234375</v>
      </c>
      <c r="N32" s="17">
        <v>517</v>
      </c>
      <c r="O32" s="35">
        <f t="shared" ref="O32:P32" si="40">D32/7</f>
        <v>2.1428571428571428</v>
      </c>
      <c r="P32" s="35">
        <f t="shared" si="40"/>
        <v>0.14285714285714285</v>
      </c>
      <c r="Q32" s="30">
        <f t="shared" si="8"/>
        <v>226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0.4</v>
      </c>
      <c r="T32" s="15">
        <f ca="1">IFERROR(__xludf.DUMMYFUNCTION("IFERROR(VLOOKUP($B$2,IMPORTRANGE(""https://docs.google.com/spreadsheets/d/1KiWZV1ko8G7lnRucBRBd29jj3Be6ltMfljMDqzOkQmI/edit#gid=1381463014"",""Lookup!A:D""),4,FALSE),"""")"),720)</f>
        <v>720</v>
      </c>
      <c r="U32" s="23">
        <f ca="1">IFERROR(__xludf.DUMMYFUNCTION("IFERROR(VLOOKUP($B$2,IMPORTRANGE(""https://docs.google.com/spreadsheets/d/1KiWZV1ko8G7lnRucBRBd29jj3Be6ltMfljMDqzOkQmI/edit#gid=1381463014"",""Lookup!A:D""),3,FALSE),"""")"),436)</f>
        <v>436</v>
      </c>
      <c r="V32" s="1" t="str">
        <f ca="1">IFERROR(__xludf.DUMMYFUNCTION("IFERROR(VLOOKUP($B$2,IMPORTRANGE(""https://docs.google.com/spreadsheets/d/1KiWZV1ko8G7lnRucBRBd29jj3Be6ltMfljMDqzOkQmI/edit#gid=1381463014"",""Lookup!A:D""),2,FALSE),"""")"),"| 376-2  - 436 units 07/10")</f>
        <v>| 376-2  - 436 units 07/10</v>
      </c>
      <c r="W32" s="15">
        <v>4</v>
      </c>
      <c r="X32" s="39">
        <f t="shared" si="9"/>
        <v>0.26666666666666666</v>
      </c>
      <c r="Y32" s="40">
        <f t="shared" si="10"/>
        <v>6.5279999999999987</v>
      </c>
      <c r="Z32" s="15">
        <v>6</v>
      </c>
      <c r="AA32" s="15" t="s">
        <v>58</v>
      </c>
      <c r="AB32" s="41">
        <f t="shared" si="11"/>
        <v>-0.69</v>
      </c>
      <c r="AC32" s="28">
        <v>0.2157037037037037</v>
      </c>
      <c r="AD32" s="40">
        <f t="shared" si="12"/>
        <v>-4.465066666666667</v>
      </c>
      <c r="AE32" s="26">
        <v>-7.18</v>
      </c>
      <c r="AF32" s="26">
        <v>-6.7380162537499997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7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Red and Blue")</f>
        <v>Corn Filled Cornhole Bags - Set of 8 Bean Bags for Corn Hole Game - Red and Blue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Info!B1:BJ7000""),2,FALSE),"""")"),"B07H5P8M2C")</f>
        <v>B07H5P8M2C</v>
      </c>
      <c r="B2" s="47" t="s">
        <v>299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15.476313239705883</v>
      </c>
      <c r="D3" s="5">
        <f>SUM(D4:D99765)</f>
        <v>0</v>
      </c>
      <c r="E3" s="5"/>
      <c r="F3" s="6">
        <f t="shared" ref="F3:G3" si="0">SUM(F4:F99765)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SUM(J4:J99765)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SUM(AD4:AD99765)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-5.5571024358974359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56</v>
      </c>
      <c r="V5" s="38" t="s">
        <v>56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56</v>
      </c>
      <c r="V6" s="38" t="s">
        <v>63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56</v>
      </c>
      <c r="V7" s="38" t="s">
        <v>63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56</v>
      </c>
      <c r="V11" s="38" t="s">
        <v>56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56</v>
      </c>
      <c r="V12" s="38" t="s">
        <v>56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56</v>
      </c>
      <c r="V13" s="38" t="s">
        <v>56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56</v>
      </c>
      <c r="V14" s="38" t="s">
        <v>56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56</v>
      </c>
      <c r="V15" s="38" t="s">
        <v>56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56</v>
      </c>
      <c r="V16" s="38" t="s">
        <v>56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-6.196205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56</v>
      </c>
      <c r="V17" s="38" t="s">
        <v>56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-6.196205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56</v>
      </c>
      <c r="V18" s="38" t="s">
        <v>56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-6.196205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56</v>
      </c>
      <c r="V19" s="38" t="s">
        <v>56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56</v>
      </c>
      <c r="V20" s="38" t="s">
        <v>56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56</v>
      </c>
      <c r="V21" s="38" t="s">
        <v>56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56</v>
      </c>
      <c r="V22" s="38" t="s">
        <v>56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56</v>
      </c>
      <c r="V23" s="38" t="s">
        <v>56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56</v>
      </c>
      <c r="V24" s="38" t="s">
        <v>56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28">
        <v>0.22330729166666666</v>
      </c>
      <c r="AD24" s="40">
        <f t="shared" si="12"/>
        <v>0</v>
      </c>
      <c r="AE24" s="26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0.22330729166666666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0</v>
      </c>
      <c r="U26" s="23" t="s">
        <v>56</v>
      </c>
      <c r="V26" s="1" t="s">
        <v>56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0.22330729166666666</v>
      </c>
      <c r="AD26" s="40">
        <f t="shared" si="12"/>
        <v>0</v>
      </c>
      <c r="AE26" s="26">
        <v>-7.32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15">
        <v>0</v>
      </c>
      <c r="U27" s="23" t="s">
        <v>56</v>
      </c>
      <c r="V27" s="1" t="s">
        <v>56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0.22330729166666666</v>
      </c>
      <c r="AD27" s="40">
        <f t="shared" si="12"/>
        <v>0</v>
      </c>
      <c r="AE27" s="26">
        <v>-7.32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>
        <v>0</v>
      </c>
      <c r="U28" s="23" t="s">
        <v>56</v>
      </c>
      <c r="V28" s="1" t="s">
        <v>56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0.22330729166666666</v>
      </c>
      <c r="AD28" s="40">
        <f t="shared" si="12"/>
        <v>0</v>
      </c>
      <c r="AE28" s="26">
        <v>-7.32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0</v>
      </c>
      <c r="U29" s="23" t="s">
        <v>56</v>
      </c>
      <c r="V29" s="1" t="s">
        <v>56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0.22330729166666666</v>
      </c>
      <c r="AD29" s="40">
        <f t="shared" si="12"/>
        <v>0</v>
      </c>
      <c r="AE29" s="26">
        <v>-7.32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0.22330729166666666</v>
      </c>
      <c r="AD30" s="40">
        <f t="shared" si="12"/>
        <v>0</v>
      </c>
      <c r="AE30" s="26">
        <v>-7.32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56</v>
      </c>
      <c r="U31" s="23" t="s">
        <v>56</v>
      </c>
      <c r="V31" s="1" t="s">
        <v>56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0.22330729166666666</v>
      </c>
      <c r="AD31" s="40">
        <f t="shared" si="12"/>
        <v>0</v>
      </c>
      <c r="AE31" s="44">
        <v>-7.32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0.22330729166666666</v>
      </c>
      <c r="AD32" s="40">
        <f t="shared" si="12"/>
        <v>0</v>
      </c>
      <c r="AE32" s="26">
        <v>-7.32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EA9999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71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Red and Blue")</f>
        <v>Corn Filled Cornhole Bags - Set of 8 Bean Bags for Corn Hole Game - Regulation Size &amp; Weight - Red and Blue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Info!B1:BJ7000""),2,FALSE),"""")"),"B0891L7X7G")</f>
        <v>B0891L7X7G</v>
      </c>
      <c r="B2" s="47" t="s">
        <v>300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16.374136769117648</v>
      </c>
      <c r="D3" s="5">
        <f>SUM(D4:D99765)</f>
        <v>177</v>
      </c>
      <c r="E3" s="5"/>
      <c r="F3" s="6">
        <f t="shared" ref="F3:G3" si="0">SUM(F4:F99765)</f>
        <v>3396.1500000000005</v>
      </c>
      <c r="G3" s="6">
        <f t="shared" si="0"/>
        <v>-347.91000000000008</v>
      </c>
      <c r="H3" s="7">
        <f>G3/F3*-1</f>
        <v>0.10244247162227818</v>
      </c>
      <c r="I3" s="8">
        <f>J3/F3</f>
        <v>2.9161458315902803E-3</v>
      </c>
      <c r="J3" s="6">
        <f>SUM(J4:J99765)</f>
        <v>9.9036686659553315</v>
      </c>
      <c r="K3" s="6">
        <f>J3/D3</f>
        <v>5.5952930316131813E-2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3.5 - April
6 - May
10 - June
7 - July
6 - Aug
4.5 - Sept
2 - Oct
0 - Nov
0 - Dec
0 - Jan
0 - Feb")</f>
        <v>0.5 - March
3.5 - April
6 - May
10 - June
7 - July
6 - Aug
4.5 - Sept
2 - Oct
0 - Nov
0 - Dec
0 - Jan
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31</v>
      </c>
      <c r="X3" s="7">
        <f>W3/D3</f>
        <v>0.1751412429378531</v>
      </c>
      <c r="Y3" s="6"/>
      <c r="Z3" s="5"/>
      <c r="AA3" s="5"/>
      <c r="AB3" s="5"/>
      <c r="AC3" s="5"/>
      <c r="AD3" s="6">
        <f>SUM(AD4:AD99765)</f>
        <v>-68.045173776448422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hidden="1" customHeight="1" x14ac:dyDescent="0.2">
      <c r="A4" s="15"/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customHeight="1" x14ac:dyDescent="0.2">
      <c r="A5" s="29" t="s">
        <v>33</v>
      </c>
      <c r="B5" s="29" t="s">
        <v>301</v>
      </c>
      <c r="C5" s="16">
        <f t="shared" ref="C5:C32" si="1">IFERROR(F5/D5," - ")</f>
        <v>19.989999999999998</v>
      </c>
      <c r="D5" s="30">
        <v>9</v>
      </c>
      <c r="E5" s="30">
        <v>0</v>
      </c>
      <c r="F5" s="31">
        <v>179.91</v>
      </c>
      <c r="G5" s="31">
        <v>0</v>
      </c>
      <c r="H5" s="32">
        <f t="shared" ref="H5:H32" si="2">G5/F5*-1</f>
        <v>0</v>
      </c>
      <c r="I5" s="32">
        <f t="shared" ref="I5:I32" si="3">J5/F5</f>
        <v>0.18657022336431903</v>
      </c>
      <c r="J5" s="33">
        <f t="shared" ref="J5:J32" si="4">F5*0.85+G5+AF5*D5+D5*AE5+AG5+AD5</f>
        <v>33.565848885474637</v>
      </c>
      <c r="K5" s="33">
        <f t="shared" ref="K5:K32" si="5">J5/D5</f>
        <v>3.7295387650527374</v>
      </c>
      <c r="L5" s="30">
        <v>26</v>
      </c>
      <c r="M5" s="34">
        <f t="shared" ref="M5:M32" si="6">IFERROR(D5/L5,"-")</f>
        <v>0.34615384615384615</v>
      </c>
      <c r="N5" s="30">
        <v>77</v>
      </c>
      <c r="O5" s="35">
        <f t="shared" ref="O5:P5" si="7">D5/7</f>
        <v>1.2857142857142858</v>
      </c>
      <c r="P5" s="35">
        <f t="shared" si="7"/>
        <v>0</v>
      </c>
      <c r="Q5" s="30">
        <f t="shared" ref="Q5:Q32" si="8">ROUNDDOWN(N5/(O5+P5),0)</f>
        <v>59</v>
      </c>
      <c r="R5" s="30"/>
      <c r="S5" s="36">
        <v>0.47727272727272702</v>
      </c>
      <c r="T5" s="29">
        <v>1012</v>
      </c>
      <c r="U5" s="37">
        <v>104</v>
      </c>
      <c r="V5" s="38" t="s">
        <v>302</v>
      </c>
      <c r="W5" s="29">
        <v>0</v>
      </c>
      <c r="X5" s="39">
        <f t="shared" ref="X5:X32" si="9">IFERROR(W5/D5,0)</f>
        <v>0</v>
      </c>
      <c r="Y5" s="40">
        <f t="shared" ref="Y5:Y32" si="10">IFERROR(G5/(W5+Z5)*-1,0)</f>
        <v>0</v>
      </c>
      <c r="Z5" s="29">
        <v>0</v>
      </c>
      <c r="AA5" s="29" t="s">
        <v>58</v>
      </c>
      <c r="AB5" s="41">
        <f t="shared" ref="AB5:AB32" si="11">IF(OR(AA5="UsLargeStandardSize",AA5="UsSmallStandardSize"),-0.69,-0.48)</f>
        <v>-0.69</v>
      </c>
      <c r="AC5" s="42">
        <v>0.27888318771726539</v>
      </c>
      <c r="AD5" s="40">
        <f t="shared" ref="AD5:AD32" si="12">IFERROR(AB5*AC5*D5*2,0)</f>
        <v>-3.4637291914484361</v>
      </c>
      <c r="AE5" s="40">
        <v>-7.32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 t="s">
        <v>303</v>
      </c>
      <c r="C6" s="16">
        <f t="shared" si="1"/>
        <v>21.323333333333334</v>
      </c>
      <c r="D6" s="30">
        <v>3</v>
      </c>
      <c r="E6" s="30">
        <v>0</v>
      </c>
      <c r="F6" s="31">
        <v>63.97</v>
      </c>
      <c r="G6" s="31">
        <v>0</v>
      </c>
      <c r="H6" s="32">
        <f t="shared" si="2"/>
        <v>0</v>
      </c>
      <c r="I6" s="32">
        <f t="shared" si="3"/>
        <v>0.22807491965659979</v>
      </c>
      <c r="J6" s="33">
        <f t="shared" si="4"/>
        <v>14.589952610432688</v>
      </c>
      <c r="K6" s="33">
        <f t="shared" si="5"/>
        <v>4.8633175368108956</v>
      </c>
      <c r="L6" s="30">
        <v>17</v>
      </c>
      <c r="M6" s="34">
        <f t="shared" si="6"/>
        <v>0.17647058823529413</v>
      </c>
      <c r="N6" s="30">
        <v>73</v>
      </c>
      <c r="O6" s="35">
        <f t="shared" ref="O6:P6" si="13">D6/7</f>
        <v>0.42857142857142855</v>
      </c>
      <c r="P6" s="35">
        <f t="shared" si="13"/>
        <v>0</v>
      </c>
      <c r="Q6" s="30">
        <f t="shared" si="8"/>
        <v>170</v>
      </c>
      <c r="R6" s="30"/>
      <c r="S6" s="36">
        <v>0.55491329479768703</v>
      </c>
      <c r="T6" s="29">
        <v>1012</v>
      </c>
      <c r="U6" s="37">
        <v>104</v>
      </c>
      <c r="V6" s="38" t="s">
        <v>304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58</v>
      </c>
      <c r="AB6" s="41">
        <f t="shared" si="11"/>
        <v>-0.69</v>
      </c>
      <c r="AC6" s="42">
        <v>0.27856040625</v>
      </c>
      <c r="AD6" s="40">
        <f t="shared" si="12"/>
        <v>-1.1532400818749999</v>
      </c>
      <c r="AE6" s="40">
        <v>-7.32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 t="s">
        <v>127</v>
      </c>
      <c r="C7" s="16">
        <f t="shared" si="1"/>
        <v>19.989999999999998</v>
      </c>
      <c r="D7" s="30">
        <v>4</v>
      </c>
      <c r="E7" s="30">
        <v>0</v>
      </c>
      <c r="F7" s="31">
        <v>79.959999999999994</v>
      </c>
      <c r="G7" s="31">
        <v>0</v>
      </c>
      <c r="H7" s="32">
        <f t="shared" si="2"/>
        <v>0</v>
      </c>
      <c r="I7" s="32">
        <f t="shared" si="3"/>
        <v>0.18659250642709169</v>
      </c>
      <c r="J7" s="33">
        <f t="shared" si="4"/>
        <v>14.919936813910249</v>
      </c>
      <c r="K7" s="33">
        <f t="shared" si="5"/>
        <v>3.7299842034775623</v>
      </c>
      <c r="L7" s="30">
        <v>19</v>
      </c>
      <c r="M7" s="34">
        <f t="shared" si="6"/>
        <v>0.21052631578947367</v>
      </c>
      <c r="N7" s="30">
        <v>69</v>
      </c>
      <c r="O7" s="35">
        <f t="shared" ref="O7:P7" si="14">D7/7</f>
        <v>0.5714285714285714</v>
      </c>
      <c r="P7" s="35">
        <f t="shared" si="14"/>
        <v>0</v>
      </c>
      <c r="Q7" s="30">
        <f t="shared" si="8"/>
        <v>120</v>
      </c>
      <c r="R7" s="30"/>
      <c r="S7" s="36">
        <v>0.68292682926829196</v>
      </c>
      <c r="T7" s="29">
        <v>1012</v>
      </c>
      <c r="U7" s="37">
        <v>104</v>
      </c>
      <c r="V7" s="38" t="s">
        <v>305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58</v>
      </c>
      <c r="AB7" s="41">
        <f t="shared" si="11"/>
        <v>-0.69</v>
      </c>
      <c r="AC7" s="42">
        <v>0.27856040625</v>
      </c>
      <c r="AD7" s="40">
        <f t="shared" si="12"/>
        <v>-1.5376534424999999</v>
      </c>
      <c r="AE7" s="40">
        <v>-7.32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 t="s">
        <v>127</v>
      </c>
      <c r="C8" s="16">
        <f t="shared" si="1"/>
        <v>17.323333333333334</v>
      </c>
      <c r="D8" s="30">
        <v>3</v>
      </c>
      <c r="E8" s="30">
        <v>0</v>
      </c>
      <c r="F8" s="31">
        <v>51.97</v>
      </c>
      <c r="G8" s="31">
        <v>0</v>
      </c>
      <c r="H8" s="32">
        <f t="shared" si="2"/>
        <v>0</v>
      </c>
      <c r="I8" s="32">
        <f t="shared" si="3"/>
        <v>8.4303635138060315E-2</v>
      </c>
      <c r="J8" s="33">
        <f t="shared" si="4"/>
        <v>4.3812599181249947</v>
      </c>
      <c r="K8" s="33">
        <f t="shared" si="5"/>
        <v>1.4604199727083316</v>
      </c>
      <c r="L8" s="30">
        <v>9</v>
      </c>
      <c r="M8" s="34">
        <f t="shared" si="6"/>
        <v>0.33333333333333331</v>
      </c>
      <c r="N8" s="30">
        <v>66</v>
      </c>
      <c r="O8" s="35">
        <f t="shared" ref="O8:P8" si="15">D8/7</f>
        <v>0.42857142857142855</v>
      </c>
      <c r="P8" s="35">
        <f t="shared" si="15"/>
        <v>0</v>
      </c>
      <c r="Q8" s="30">
        <f t="shared" si="8"/>
        <v>154</v>
      </c>
      <c r="R8" s="30"/>
      <c r="S8" s="36">
        <v>0.50196078431372504</v>
      </c>
      <c r="T8" s="29">
        <v>908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58</v>
      </c>
      <c r="AB8" s="41">
        <f t="shared" si="11"/>
        <v>-0.69</v>
      </c>
      <c r="AC8" s="42">
        <v>0.27856040625</v>
      </c>
      <c r="AD8" s="40">
        <f t="shared" si="12"/>
        <v>-1.1532400818749999</v>
      </c>
      <c r="AE8" s="40">
        <v>-7.32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 t="s">
        <v>127</v>
      </c>
      <c r="C9" s="16" t="str">
        <f t="shared" si="1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2"/>
        <v>#DIV/0!</v>
      </c>
      <c r="I9" s="32" t="e">
        <f t="shared" si="3"/>
        <v>#DIV/0!</v>
      </c>
      <c r="J9" s="33">
        <f t="shared" si="4"/>
        <v>0</v>
      </c>
      <c r="K9" s="33" t="e">
        <f t="shared" si="5"/>
        <v>#DIV/0!</v>
      </c>
      <c r="L9" s="30">
        <v>0</v>
      </c>
      <c r="M9" s="34" t="str">
        <f t="shared" si="6"/>
        <v>-</v>
      </c>
      <c r="N9" s="30">
        <v>66</v>
      </c>
      <c r="O9" s="35">
        <f t="shared" ref="O9:P9" si="16">D9/7</f>
        <v>0</v>
      </c>
      <c r="P9" s="35">
        <f t="shared" si="16"/>
        <v>0</v>
      </c>
      <c r="Q9" s="30" t="e">
        <f t="shared" si="8"/>
        <v>#DIV/0!</v>
      </c>
      <c r="R9" s="30"/>
      <c r="S9" s="36">
        <v>0.52892561983470998</v>
      </c>
      <c r="T9" s="29">
        <v>908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58</v>
      </c>
      <c r="AB9" s="41">
        <f t="shared" si="11"/>
        <v>-0.69</v>
      </c>
      <c r="AC9" s="42">
        <v>0.27856040625</v>
      </c>
      <c r="AD9" s="40">
        <f t="shared" si="12"/>
        <v>0</v>
      </c>
      <c r="AE9" s="40">
        <v>-7.32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/>
      <c r="C10" s="16">
        <f t="shared" si="1"/>
        <v>20.99</v>
      </c>
      <c r="D10" s="30">
        <v>1</v>
      </c>
      <c r="E10" s="30">
        <v>1</v>
      </c>
      <c r="F10" s="31">
        <v>20.99</v>
      </c>
      <c r="G10" s="31">
        <v>0</v>
      </c>
      <c r="H10" s="32">
        <f t="shared" si="2"/>
        <v>0</v>
      </c>
      <c r="I10" s="32">
        <f t="shared" si="3"/>
        <v>0.20137108505347498</v>
      </c>
      <c r="J10" s="33">
        <f t="shared" si="4"/>
        <v>4.2267790752724395</v>
      </c>
      <c r="K10" s="33">
        <f t="shared" si="5"/>
        <v>4.2267790752724395</v>
      </c>
      <c r="L10" s="30">
        <v>5</v>
      </c>
      <c r="M10" s="34">
        <f t="shared" si="6"/>
        <v>0.2</v>
      </c>
      <c r="N10" s="30">
        <v>64</v>
      </c>
      <c r="O10" s="35">
        <f t="shared" ref="O10:P10" si="17">D10/7</f>
        <v>0.14285714285714285</v>
      </c>
      <c r="P10" s="35">
        <f t="shared" si="17"/>
        <v>0.14285714285714285</v>
      </c>
      <c r="Q10" s="30">
        <f t="shared" si="8"/>
        <v>224</v>
      </c>
      <c r="R10" s="30"/>
      <c r="S10" s="36">
        <v>0.58119658119658102</v>
      </c>
      <c r="T10" s="29">
        <v>908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58</v>
      </c>
      <c r="AB10" s="41">
        <f t="shared" si="11"/>
        <v>-0.69</v>
      </c>
      <c r="AC10" s="42">
        <v>0.27856040625</v>
      </c>
      <c r="AD10" s="40">
        <f t="shared" si="12"/>
        <v>-0.38441336062499998</v>
      </c>
      <c r="AE10" s="40">
        <v>-7.32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 t="s">
        <v>127</v>
      </c>
      <c r="C11" s="16">
        <f t="shared" si="1"/>
        <v>20.99</v>
      </c>
      <c r="D11" s="30">
        <v>1</v>
      </c>
      <c r="E11" s="30">
        <v>1</v>
      </c>
      <c r="F11" s="31">
        <v>20.99</v>
      </c>
      <c r="G11" s="31">
        <v>0</v>
      </c>
      <c r="H11" s="32">
        <f t="shared" si="2"/>
        <v>0</v>
      </c>
      <c r="I11" s="32">
        <f t="shared" si="3"/>
        <v>0.20137108505347498</v>
      </c>
      <c r="J11" s="33">
        <f t="shared" si="4"/>
        <v>4.2267790752724395</v>
      </c>
      <c r="K11" s="33">
        <f t="shared" si="5"/>
        <v>4.2267790752724395</v>
      </c>
      <c r="L11" s="30">
        <v>10</v>
      </c>
      <c r="M11" s="34">
        <f t="shared" si="6"/>
        <v>0.1</v>
      </c>
      <c r="N11" s="30">
        <v>63</v>
      </c>
      <c r="O11" s="35">
        <f t="shared" ref="O11:P11" si="18">D11/7</f>
        <v>0.14285714285714285</v>
      </c>
      <c r="P11" s="35">
        <f t="shared" si="18"/>
        <v>0.14285714285714285</v>
      </c>
      <c r="Q11" s="30">
        <f t="shared" si="8"/>
        <v>220</v>
      </c>
      <c r="R11" s="30"/>
      <c r="S11" s="36">
        <v>0.62337662337662303</v>
      </c>
      <c r="T11" s="29">
        <v>1552</v>
      </c>
      <c r="U11" s="37">
        <v>104</v>
      </c>
      <c r="V11" s="38" t="s">
        <v>306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58</v>
      </c>
      <c r="AB11" s="41">
        <f t="shared" si="11"/>
        <v>-0.69</v>
      </c>
      <c r="AC11" s="42">
        <v>0.27856040625</v>
      </c>
      <c r="AD11" s="40">
        <f t="shared" si="12"/>
        <v>-0.38441336062499998</v>
      </c>
      <c r="AE11" s="40">
        <v>-7.32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>
        <f t="shared" si="1"/>
        <v>23.99</v>
      </c>
      <c r="D12" s="30">
        <v>1</v>
      </c>
      <c r="E12" s="30">
        <v>0</v>
      </c>
      <c r="F12" s="31">
        <v>23.99</v>
      </c>
      <c r="G12" s="31">
        <v>0</v>
      </c>
      <c r="H12" s="32">
        <f t="shared" si="2"/>
        <v>0</v>
      </c>
      <c r="I12" s="32">
        <f t="shared" si="3"/>
        <v>0.27884950346364928</v>
      </c>
      <c r="J12" s="33">
        <f t="shared" si="4"/>
        <v>6.6895995880929462</v>
      </c>
      <c r="K12" s="33">
        <f t="shared" si="5"/>
        <v>6.6895995880929462</v>
      </c>
      <c r="L12" s="30">
        <v>3</v>
      </c>
      <c r="M12" s="34">
        <f t="shared" si="6"/>
        <v>0.33333333333333331</v>
      </c>
      <c r="N12" s="30">
        <v>62</v>
      </c>
      <c r="O12" s="35">
        <f t="shared" ref="O12:P12" si="19">D12/7</f>
        <v>0.14285714285714285</v>
      </c>
      <c r="P12" s="35">
        <f t="shared" si="19"/>
        <v>0</v>
      </c>
      <c r="Q12" s="30">
        <f t="shared" si="8"/>
        <v>434</v>
      </c>
      <c r="R12" s="30"/>
      <c r="S12" s="36">
        <v>0.46687697160883201</v>
      </c>
      <c r="T12" s="29">
        <v>644</v>
      </c>
      <c r="U12" s="37">
        <v>104</v>
      </c>
      <c r="V12" s="38" t="s">
        <v>307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58</v>
      </c>
      <c r="AB12" s="41">
        <f t="shared" si="11"/>
        <v>-0.69</v>
      </c>
      <c r="AC12" s="42">
        <v>0.27856040625</v>
      </c>
      <c r="AD12" s="40">
        <f t="shared" si="12"/>
        <v>-0.38441336062499998</v>
      </c>
      <c r="AE12" s="40">
        <v>-7.32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 t="s">
        <v>308</v>
      </c>
      <c r="C13" s="16">
        <f t="shared" si="1"/>
        <v>22.656666666666666</v>
      </c>
      <c r="D13" s="30">
        <v>3</v>
      </c>
      <c r="E13" s="30">
        <v>0</v>
      </c>
      <c r="F13" s="33">
        <v>67.97</v>
      </c>
      <c r="G13" s="31">
        <v>0</v>
      </c>
      <c r="H13" s="32">
        <f t="shared" si="2"/>
        <v>0</v>
      </c>
      <c r="I13" s="32">
        <f t="shared" si="3"/>
        <v>0.23646674883220534</v>
      </c>
      <c r="J13" s="33">
        <f t="shared" si="4"/>
        <v>16.072644918124997</v>
      </c>
      <c r="K13" s="33">
        <f t="shared" si="5"/>
        <v>5.3575483060416653</v>
      </c>
      <c r="L13" s="30">
        <v>4</v>
      </c>
      <c r="M13" s="34">
        <f t="shared" si="6"/>
        <v>0.75</v>
      </c>
      <c r="N13" s="30">
        <v>59</v>
      </c>
      <c r="O13" s="35">
        <f t="shared" ref="O13:P13" si="20">D13/7</f>
        <v>0.42857142857142855</v>
      </c>
      <c r="P13" s="35">
        <f t="shared" si="20"/>
        <v>0</v>
      </c>
      <c r="Q13" s="30">
        <f t="shared" si="8"/>
        <v>137</v>
      </c>
      <c r="R13" s="30"/>
      <c r="S13" s="36">
        <v>0.47648902821316602</v>
      </c>
      <c r="T13" s="29">
        <v>644</v>
      </c>
      <c r="U13" s="37">
        <v>104</v>
      </c>
      <c r="V13" s="38" t="s">
        <v>309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58</v>
      </c>
      <c r="AB13" s="41">
        <f t="shared" si="11"/>
        <v>-0.69</v>
      </c>
      <c r="AC13" s="42">
        <v>0.27856040625</v>
      </c>
      <c r="AD13" s="40">
        <f t="shared" si="12"/>
        <v>-1.1532400818749999</v>
      </c>
      <c r="AE13" s="40">
        <v>-7.32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 t="s">
        <v>310</v>
      </c>
      <c r="C14" s="16">
        <f t="shared" si="1"/>
        <v>12.883333333333333</v>
      </c>
      <c r="D14" s="30">
        <v>3</v>
      </c>
      <c r="E14" s="30">
        <v>0</v>
      </c>
      <c r="F14" s="33">
        <v>38.65</v>
      </c>
      <c r="G14" s="31">
        <v>-16.630000000000003</v>
      </c>
      <c r="H14" s="32">
        <f t="shared" si="2"/>
        <v>0.43027166882276852</v>
      </c>
      <c r="I14" s="32">
        <f t="shared" si="3"/>
        <v>-0.65923299047542061</v>
      </c>
      <c r="J14" s="33">
        <f t="shared" si="4"/>
        <v>-25.479355081875006</v>
      </c>
      <c r="K14" s="33">
        <f t="shared" si="5"/>
        <v>-8.4931183606250027</v>
      </c>
      <c r="L14" s="30">
        <v>21</v>
      </c>
      <c r="M14" s="34">
        <f t="shared" si="6"/>
        <v>0.14285714285714285</v>
      </c>
      <c r="N14" s="30">
        <v>56</v>
      </c>
      <c r="O14" s="35">
        <f t="shared" ref="O14:P14" si="21">D14/7</f>
        <v>0.42857142857142855</v>
      </c>
      <c r="P14" s="35">
        <f t="shared" si="21"/>
        <v>0</v>
      </c>
      <c r="Q14" s="30">
        <f t="shared" si="8"/>
        <v>130</v>
      </c>
      <c r="R14" s="30"/>
      <c r="S14" s="36">
        <v>0.56164383561643805</v>
      </c>
      <c r="T14" s="29">
        <v>644</v>
      </c>
      <c r="U14" s="37">
        <v>104</v>
      </c>
      <c r="V14" s="38" t="s">
        <v>311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58</v>
      </c>
      <c r="AB14" s="41">
        <f t="shared" si="11"/>
        <v>-0.69</v>
      </c>
      <c r="AC14" s="42">
        <v>0.27856040625</v>
      </c>
      <c r="AD14" s="40">
        <f t="shared" si="12"/>
        <v>-1.1532400818749999</v>
      </c>
      <c r="AE14" s="40">
        <v>-7.32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 t="s">
        <v>96</v>
      </c>
      <c r="C15" s="16">
        <f t="shared" si="1"/>
        <v>17.506666666666668</v>
      </c>
      <c r="D15" s="30">
        <v>12</v>
      </c>
      <c r="E15" s="30">
        <v>0</v>
      </c>
      <c r="F15" s="33">
        <v>210.08</v>
      </c>
      <c r="G15" s="31">
        <v>-2.21</v>
      </c>
      <c r="H15" s="32">
        <f t="shared" si="2"/>
        <v>1.0519801980198019E-2</v>
      </c>
      <c r="I15" s="32">
        <f t="shared" si="3"/>
        <v>4.5461632104436392E-2</v>
      </c>
      <c r="J15" s="33">
        <f t="shared" si="4"/>
        <v>9.5505796724999978</v>
      </c>
      <c r="K15" s="33">
        <f t="shared" si="5"/>
        <v>0.79588163937499978</v>
      </c>
      <c r="L15" s="30">
        <v>18</v>
      </c>
      <c r="M15" s="34">
        <f t="shared" si="6"/>
        <v>0.66666666666666663</v>
      </c>
      <c r="N15" s="30">
        <v>45</v>
      </c>
      <c r="O15" s="35">
        <f t="shared" ref="O15:P15" si="22">D15/7</f>
        <v>1.7142857142857142</v>
      </c>
      <c r="P15" s="35">
        <f t="shared" si="22"/>
        <v>0</v>
      </c>
      <c r="Q15" s="30">
        <f t="shared" si="8"/>
        <v>26</v>
      </c>
      <c r="R15" s="30"/>
      <c r="S15" s="36">
        <v>0.71428571428571397</v>
      </c>
      <c r="T15" s="29">
        <v>644</v>
      </c>
      <c r="U15" s="37">
        <v>104</v>
      </c>
      <c r="V15" s="38" t="s">
        <v>312</v>
      </c>
      <c r="W15" s="29">
        <v>1</v>
      </c>
      <c r="X15" s="39">
        <f t="shared" si="9"/>
        <v>8.3333333333333329E-2</v>
      </c>
      <c r="Y15" s="40">
        <f t="shared" si="10"/>
        <v>2.21</v>
      </c>
      <c r="Z15" s="29">
        <v>0</v>
      </c>
      <c r="AA15" s="29" t="s">
        <v>58</v>
      </c>
      <c r="AB15" s="41">
        <f t="shared" si="11"/>
        <v>-0.69</v>
      </c>
      <c r="AC15" s="42">
        <v>0.27856040625</v>
      </c>
      <c r="AD15" s="40">
        <f t="shared" si="12"/>
        <v>-4.6129603274999997</v>
      </c>
      <c r="AE15" s="40">
        <v>-7.32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 t="s">
        <v>313</v>
      </c>
      <c r="C16" s="16">
        <f t="shared" si="1"/>
        <v>16.990000000000002</v>
      </c>
      <c r="D16" s="30">
        <v>20</v>
      </c>
      <c r="E16" s="30">
        <v>1</v>
      </c>
      <c r="F16" s="33">
        <v>339.80000000000007</v>
      </c>
      <c r="G16" s="31">
        <v>0</v>
      </c>
      <c r="H16" s="32">
        <f t="shared" si="2"/>
        <v>0</v>
      </c>
      <c r="I16" s="32">
        <f t="shared" si="3"/>
        <v>3.1835293665391479E-2</v>
      </c>
      <c r="J16" s="33">
        <f t="shared" si="4"/>
        <v>10.817632787500026</v>
      </c>
      <c r="K16" s="33">
        <f t="shared" si="5"/>
        <v>0.54088163937500133</v>
      </c>
      <c r="L16" s="30">
        <v>45</v>
      </c>
      <c r="M16" s="34">
        <f t="shared" si="6"/>
        <v>0.44444444444444442</v>
      </c>
      <c r="N16" s="30">
        <v>26</v>
      </c>
      <c r="O16" s="35">
        <f t="shared" ref="O16:P16" si="23">D16/7</f>
        <v>2.8571428571428572</v>
      </c>
      <c r="P16" s="35">
        <f t="shared" si="23"/>
        <v>0.14285714285714285</v>
      </c>
      <c r="Q16" s="30">
        <f t="shared" si="8"/>
        <v>8</v>
      </c>
      <c r="R16" s="30"/>
      <c r="S16" s="36">
        <v>0.95686274509803904</v>
      </c>
      <c r="T16" s="29">
        <v>644</v>
      </c>
      <c r="U16" s="37">
        <v>104</v>
      </c>
      <c r="V16" s="38" t="s">
        <v>312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58</v>
      </c>
      <c r="AB16" s="41">
        <f t="shared" si="11"/>
        <v>-0.69</v>
      </c>
      <c r="AC16" s="42">
        <v>0.27856040625</v>
      </c>
      <c r="AD16" s="40">
        <f t="shared" si="12"/>
        <v>-7.6882672124999996</v>
      </c>
      <c r="AE16" s="40">
        <v>-7.32</v>
      </c>
      <c r="AF16" s="40">
        <v>-6.196205</v>
      </c>
      <c r="AG16" s="40">
        <v>0</v>
      </c>
    </row>
    <row r="17" spans="1:33" ht="15.75" customHeight="1" x14ac:dyDescent="0.2">
      <c r="A17" s="29" t="s">
        <v>45</v>
      </c>
      <c r="B17" s="29"/>
      <c r="C17" s="16">
        <f t="shared" si="1"/>
        <v>17.990000000000002</v>
      </c>
      <c r="D17" s="30">
        <v>18</v>
      </c>
      <c r="E17" s="30">
        <v>2</v>
      </c>
      <c r="F17" s="33">
        <v>323.82000000000005</v>
      </c>
      <c r="G17" s="31">
        <v>0</v>
      </c>
      <c r="H17" s="32">
        <f t="shared" si="2"/>
        <v>0</v>
      </c>
      <c r="I17" s="32">
        <f t="shared" si="3"/>
        <v>7.731415449555315E-2</v>
      </c>
      <c r="J17" s="33">
        <f t="shared" si="4"/>
        <v>25.035869508750025</v>
      </c>
      <c r="K17" s="33">
        <f t="shared" si="5"/>
        <v>1.3908816393750014</v>
      </c>
      <c r="L17" s="30">
        <v>87</v>
      </c>
      <c r="M17" s="34">
        <f t="shared" si="6"/>
        <v>0.20689655172413793</v>
      </c>
      <c r="N17" s="30">
        <v>1</v>
      </c>
      <c r="O17" s="35">
        <f t="shared" ref="O17:P17" si="24">D17/7</f>
        <v>2.5714285714285716</v>
      </c>
      <c r="P17" s="35">
        <f t="shared" si="24"/>
        <v>0.2857142857142857</v>
      </c>
      <c r="Q17" s="30">
        <f t="shared" si="8"/>
        <v>0</v>
      </c>
      <c r="R17" s="30"/>
      <c r="S17" s="36">
        <v>1.4464285714285701</v>
      </c>
      <c r="T17" s="29">
        <v>644</v>
      </c>
      <c r="U17" s="37">
        <v>104</v>
      </c>
      <c r="V17" s="38" t="s">
        <v>312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58</v>
      </c>
      <c r="AB17" s="41">
        <f t="shared" si="11"/>
        <v>-0.69</v>
      </c>
      <c r="AC17" s="42">
        <v>0.27856040625</v>
      </c>
      <c r="AD17" s="40">
        <f t="shared" si="12"/>
        <v>-6.9194404912499996</v>
      </c>
      <c r="AE17" s="40">
        <v>-7.32</v>
      </c>
      <c r="AF17" s="40">
        <v>-6.196205</v>
      </c>
      <c r="AG17" s="40">
        <v>0</v>
      </c>
    </row>
    <row r="18" spans="1:33" ht="15.75" customHeight="1" x14ac:dyDescent="0.2">
      <c r="A18" s="29" t="s">
        <v>46</v>
      </c>
      <c r="B18" s="29"/>
      <c r="C18" s="16">
        <f t="shared" si="1"/>
        <v>18.989999999999998</v>
      </c>
      <c r="D18" s="30">
        <v>2</v>
      </c>
      <c r="E18" s="30">
        <v>0</v>
      </c>
      <c r="F18" s="33">
        <v>37.979999999999997</v>
      </c>
      <c r="G18" s="31">
        <v>0</v>
      </c>
      <c r="H18" s="32">
        <f t="shared" si="2"/>
        <v>0</v>
      </c>
      <c r="I18" s="32">
        <f t="shared" si="3"/>
        <v>0.11800324588599252</v>
      </c>
      <c r="J18" s="33">
        <f t="shared" si="4"/>
        <v>4.4817632787499955</v>
      </c>
      <c r="K18" s="33">
        <f t="shared" si="5"/>
        <v>2.2408816393749977</v>
      </c>
      <c r="L18" s="30">
        <v>21</v>
      </c>
      <c r="M18" s="34">
        <f t="shared" si="6"/>
        <v>9.5238095238095233E-2</v>
      </c>
      <c r="N18" s="30">
        <v>1</v>
      </c>
      <c r="O18" s="35">
        <f t="shared" ref="O18:P18" si="25">D18/7</f>
        <v>0.2857142857142857</v>
      </c>
      <c r="P18" s="35">
        <f t="shared" si="25"/>
        <v>0</v>
      </c>
      <c r="Q18" s="30">
        <f t="shared" si="8"/>
        <v>3</v>
      </c>
      <c r="R18" s="30"/>
      <c r="S18" s="36">
        <v>1.47783251231527</v>
      </c>
      <c r="T18" s="29">
        <v>1012</v>
      </c>
      <c r="U18" s="37">
        <v>220</v>
      </c>
      <c r="V18" s="38" t="s">
        <v>314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58</v>
      </c>
      <c r="AB18" s="41">
        <f t="shared" si="11"/>
        <v>-0.69</v>
      </c>
      <c r="AC18" s="42">
        <v>0.27856040625</v>
      </c>
      <c r="AD18" s="40">
        <f t="shared" si="12"/>
        <v>-0.76882672124999996</v>
      </c>
      <c r="AE18" s="40">
        <v>-7.32</v>
      </c>
      <c r="AF18" s="40">
        <v>-6.196205</v>
      </c>
      <c r="AG18" s="40">
        <v>0</v>
      </c>
    </row>
    <row r="19" spans="1:33" ht="15.75" customHeight="1" x14ac:dyDescent="0.2">
      <c r="A19" s="29" t="s">
        <v>47</v>
      </c>
      <c r="B19" s="29"/>
      <c r="C19" s="16">
        <f t="shared" si="1"/>
        <v>18.989999999999998</v>
      </c>
      <c r="D19" s="30">
        <v>3</v>
      </c>
      <c r="E19" s="30">
        <v>0</v>
      </c>
      <c r="F19" s="33">
        <v>56.97</v>
      </c>
      <c r="G19" s="31">
        <v>0</v>
      </c>
      <c r="H19" s="32">
        <f t="shared" si="2"/>
        <v>0</v>
      </c>
      <c r="I19" s="32">
        <f t="shared" si="3"/>
        <v>5.0363435459452238E-2</v>
      </c>
      <c r="J19" s="33">
        <f t="shared" si="4"/>
        <v>2.8692049181249941</v>
      </c>
      <c r="K19" s="33">
        <f t="shared" si="5"/>
        <v>0.956401639374998</v>
      </c>
      <c r="L19" s="30">
        <v>13</v>
      </c>
      <c r="M19" s="34">
        <f t="shared" si="6"/>
        <v>0.23076923076923078</v>
      </c>
      <c r="N19" s="30">
        <v>0</v>
      </c>
      <c r="O19" s="35">
        <f t="shared" ref="O19:P19" si="26">D19/7</f>
        <v>0.42857142857142855</v>
      </c>
      <c r="P19" s="35">
        <f t="shared" si="26"/>
        <v>0</v>
      </c>
      <c r="Q19" s="30">
        <f t="shared" si="8"/>
        <v>0</v>
      </c>
      <c r="R19" s="30"/>
      <c r="S19" s="36" t="e">
        <v>#N/A</v>
      </c>
      <c r="T19" s="29">
        <v>1012</v>
      </c>
      <c r="U19" s="37">
        <v>220</v>
      </c>
      <c r="V19" s="38" t="s">
        <v>315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58</v>
      </c>
      <c r="AB19" s="41">
        <f t="shared" si="11"/>
        <v>-0.69</v>
      </c>
      <c r="AC19" s="42">
        <v>0.27856040625</v>
      </c>
      <c r="AD19" s="40">
        <f t="shared" si="12"/>
        <v>-1.1532400818749999</v>
      </c>
      <c r="AE19" s="40">
        <v>-7.32</v>
      </c>
      <c r="AF19" s="40">
        <v>-7.4806850000000003</v>
      </c>
      <c r="AG19" s="40">
        <v>0</v>
      </c>
    </row>
    <row r="20" spans="1:33" ht="15.75" customHeight="1" x14ac:dyDescent="0.2">
      <c r="A20" s="29" t="s">
        <v>48</v>
      </c>
      <c r="B20" s="29"/>
      <c r="C20" s="16">
        <f t="shared" si="1"/>
        <v>18.989999999999998</v>
      </c>
      <c r="D20" s="30">
        <v>2</v>
      </c>
      <c r="E20" s="30">
        <v>0</v>
      </c>
      <c r="F20" s="33">
        <v>37.979999999999997</v>
      </c>
      <c r="G20" s="31">
        <v>0</v>
      </c>
      <c r="H20" s="32">
        <f t="shared" si="2"/>
        <v>0</v>
      </c>
      <c r="I20" s="32">
        <f t="shared" si="3"/>
        <v>5.036343545945212E-2</v>
      </c>
      <c r="J20" s="33">
        <f t="shared" si="4"/>
        <v>1.9128032787499913</v>
      </c>
      <c r="K20" s="33">
        <f t="shared" si="5"/>
        <v>0.95640163937499567</v>
      </c>
      <c r="L20" s="30">
        <v>31</v>
      </c>
      <c r="M20" s="34">
        <f t="shared" si="6"/>
        <v>6.4516129032258063E-2</v>
      </c>
      <c r="N20" s="30">
        <v>0</v>
      </c>
      <c r="O20" s="35">
        <f t="shared" ref="O20:P20" si="27">D20/7</f>
        <v>0.2857142857142857</v>
      </c>
      <c r="P20" s="35">
        <f t="shared" si="27"/>
        <v>0</v>
      </c>
      <c r="Q20" s="30">
        <f t="shared" si="8"/>
        <v>0</v>
      </c>
      <c r="R20" s="30"/>
      <c r="S20" s="36">
        <v>1.67441860465116</v>
      </c>
      <c r="T20" s="29">
        <v>1012</v>
      </c>
      <c r="U20" s="37">
        <v>220</v>
      </c>
      <c r="V20" s="38" t="s">
        <v>315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58</v>
      </c>
      <c r="AB20" s="41">
        <f t="shared" si="11"/>
        <v>-0.69</v>
      </c>
      <c r="AC20" s="42">
        <v>0.27856040625</v>
      </c>
      <c r="AD20" s="40">
        <f t="shared" si="12"/>
        <v>-0.76882672124999996</v>
      </c>
      <c r="AE20" s="40">
        <v>-7.32</v>
      </c>
      <c r="AF20" s="40">
        <v>-7.4806850000000003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1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2"/>
        <v>#DIV/0!</v>
      </c>
      <c r="I21" s="32" t="e">
        <f t="shared" si="3"/>
        <v>#DIV/0!</v>
      </c>
      <c r="J21" s="33">
        <f t="shared" si="4"/>
        <v>0</v>
      </c>
      <c r="K21" s="33" t="e">
        <f t="shared" si="5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8">D21/7</f>
        <v>0</v>
      </c>
      <c r="P21" s="35">
        <f t="shared" si="28"/>
        <v>0</v>
      </c>
      <c r="Q21" s="30" t="e">
        <f t="shared" si="8"/>
        <v>#DIV/0!</v>
      </c>
      <c r="R21" s="30"/>
      <c r="S21" s="36" t="e">
        <v>#N/A</v>
      </c>
      <c r="T21" s="29">
        <v>1012</v>
      </c>
      <c r="U21" s="37">
        <v>220</v>
      </c>
      <c r="V21" s="38" t="s">
        <v>316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-7.4806850000000003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1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2"/>
        <v>#DIV/0!</v>
      </c>
      <c r="I22" s="32" t="e">
        <f t="shared" si="3"/>
        <v>#DIV/0!</v>
      </c>
      <c r="J22" s="33">
        <f t="shared" si="4"/>
        <v>0</v>
      </c>
      <c r="K22" s="33" t="e">
        <f t="shared" si="5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29">D22/7</f>
        <v>0</v>
      </c>
      <c r="P22" s="35">
        <f t="shared" si="29"/>
        <v>0</v>
      </c>
      <c r="Q22" s="30" t="e">
        <f t="shared" si="8"/>
        <v>#DIV/0!</v>
      </c>
      <c r="R22" s="30"/>
      <c r="S22" s="36" t="e">
        <v>#N/A</v>
      </c>
      <c r="T22" s="29">
        <v>1012</v>
      </c>
      <c r="U22" s="37">
        <v>220</v>
      </c>
      <c r="V22" s="38" t="s">
        <v>317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-7.4806850000000003</v>
      </c>
      <c r="AG22" s="40">
        <v>0</v>
      </c>
    </row>
    <row r="23" spans="1:33" ht="15.75" customHeight="1" x14ac:dyDescent="0.2">
      <c r="A23" s="29" t="s">
        <v>51</v>
      </c>
      <c r="B23" s="29"/>
      <c r="C23" s="16">
        <f t="shared" si="1"/>
        <v>18.989999999999998</v>
      </c>
      <c r="D23" s="30">
        <v>1</v>
      </c>
      <c r="E23" s="30">
        <v>0</v>
      </c>
      <c r="F23" s="33">
        <v>18.989999999999998</v>
      </c>
      <c r="G23" s="31">
        <v>0</v>
      </c>
      <c r="H23" s="32">
        <f t="shared" si="2"/>
        <v>0</v>
      </c>
      <c r="I23" s="32">
        <f t="shared" si="3"/>
        <v>5.036343545945212E-2</v>
      </c>
      <c r="J23" s="33">
        <f t="shared" si="4"/>
        <v>0.95640163937499567</v>
      </c>
      <c r="K23" s="33">
        <f t="shared" si="5"/>
        <v>0.95640163937499567</v>
      </c>
      <c r="L23" s="30">
        <v>13</v>
      </c>
      <c r="M23" s="34">
        <f t="shared" si="6"/>
        <v>7.6923076923076927E-2</v>
      </c>
      <c r="N23" s="30">
        <v>0</v>
      </c>
      <c r="O23" s="35">
        <f t="shared" ref="O23:P23" si="30">D23/7</f>
        <v>0.14285714285714285</v>
      </c>
      <c r="P23" s="35">
        <f t="shared" si="30"/>
        <v>0</v>
      </c>
      <c r="Q23" s="30">
        <f t="shared" si="8"/>
        <v>0</v>
      </c>
      <c r="R23" s="30"/>
      <c r="S23" s="36">
        <v>2.19354838709677</v>
      </c>
      <c r="T23" s="29">
        <v>1012</v>
      </c>
      <c r="U23" s="37">
        <v>220</v>
      </c>
      <c r="V23" s="38" t="s">
        <v>318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58</v>
      </c>
      <c r="AB23" s="41">
        <f t="shared" si="11"/>
        <v>-0.69</v>
      </c>
      <c r="AC23" s="42">
        <v>0.27856040625</v>
      </c>
      <c r="AD23" s="40">
        <f t="shared" si="12"/>
        <v>-0.38441336062499998</v>
      </c>
      <c r="AE23" s="40">
        <v>-7.32</v>
      </c>
      <c r="AF23" s="40">
        <v>-7.4806850000000003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1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2"/>
        <v>#DIV/0!</v>
      </c>
      <c r="I24" s="32" t="e">
        <f t="shared" si="3"/>
        <v>#DIV/0!</v>
      </c>
      <c r="J24" s="33">
        <f t="shared" si="4"/>
        <v>0</v>
      </c>
      <c r="K24" s="33" t="e">
        <f t="shared" si="5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1">D24/7</f>
        <v>0</v>
      </c>
      <c r="P24" s="35">
        <f t="shared" si="31"/>
        <v>0</v>
      </c>
      <c r="Q24" s="30" t="e">
        <f t="shared" si="8"/>
        <v>#DIV/0!</v>
      </c>
      <c r="R24" s="30"/>
      <c r="S24" s="36">
        <v>2.3928571428571401</v>
      </c>
      <c r="T24" s="29">
        <v>1012</v>
      </c>
      <c r="U24" s="37">
        <v>220</v>
      </c>
      <c r="V24" s="38" t="s">
        <v>319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42">
        <v>0.27856040625</v>
      </c>
      <c r="AD24" s="40">
        <f t="shared" si="12"/>
        <v>0</v>
      </c>
      <c r="AE24" s="40">
        <v>-7.32</v>
      </c>
      <c r="AF24" s="40">
        <v>-7.4806850000000003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1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2"/>
        <v>#DIV/0!</v>
      </c>
      <c r="I25" s="32" t="e">
        <f t="shared" si="3"/>
        <v>#DIV/0!</v>
      </c>
      <c r="J25" s="33">
        <f t="shared" si="4"/>
        <v>0</v>
      </c>
      <c r="K25" s="33" t="e">
        <f t="shared" si="5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2">D25/7</f>
        <v>0</v>
      </c>
      <c r="P25" s="35">
        <f t="shared" si="32"/>
        <v>0</v>
      </c>
      <c r="Q25" s="30" t="e">
        <f t="shared" si="8"/>
        <v>#DIV/0!</v>
      </c>
      <c r="R25" s="30"/>
      <c r="S25" s="36">
        <v>2.9885057471264371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0.27856040625</v>
      </c>
      <c r="AD25" s="40">
        <f t="shared" si="12"/>
        <v>0</v>
      </c>
      <c r="AE25" s="40">
        <v>-7.32</v>
      </c>
      <c r="AF25" s="40">
        <v>-7.48</v>
      </c>
      <c r="AG25" s="40">
        <v>0</v>
      </c>
    </row>
    <row r="26" spans="1:33" ht="15.75" customHeight="1" x14ac:dyDescent="0.2">
      <c r="A26" s="15" t="s">
        <v>54</v>
      </c>
      <c r="B26" s="15" t="s">
        <v>320</v>
      </c>
      <c r="C26" s="16">
        <f t="shared" si="1"/>
        <v>18.989999999999998</v>
      </c>
      <c r="D26" s="17">
        <v>2</v>
      </c>
      <c r="E26" s="17">
        <v>0</v>
      </c>
      <c r="F26" s="18">
        <v>37.979999999999997</v>
      </c>
      <c r="G26" s="18">
        <v>0</v>
      </c>
      <c r="H26" s="32">
        <f t="shared" si="2"/>
        <v>0</v>
      </c>
      <c r="I26" s="32">
        <f t="shared" si="3"/>
        <v>5.773573667061592E-2</v>
      </c>
      <c r="J26" s="33">
        <f t="shared" si="4"/>
        <v>2.1928032787499925</v>
      </c>
      <c r="K26" s="33">
        <f t="shared" si="5"/>
        <v>1.0964016393749962</v>
      </c>
      <c r="L26" s="17">
        <v>0</v>
      </c>
      <c r="M26" s="34" t="str">
        <f t="shared" si="6"/>
        <v>-</v>
      </c>
      <c r="N26" s="17">
        <v>220</v>
      </c>
      <c r="O26" s="35">
        <f t="shared" ref="O26:P26" si="33">D26/7</f>
        <v>0.2857142857142857</v>
      </c>
      <c r="P26" s="35">
        <f t="shared" si="33"/>
        <v>0</v>
      </c>
      <c r="Q26" s="30">
        <f t="shared" si="8"/>
        <v>770</v>
      </c>
      <c r="R26" s="30"/>
      <c r="S26" s="22">
        <v>0.87671232876712324</v>
      </c>
      <c r="T26" s="15">
        <v>792</v>
      </c>
      <c r="U26" s="23">
        <v>540</v>
      </c>
      <c r="V26" s="1" t="s">
        <v>321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0.27856040625</v>
      </c>
      <c r="AD26" s="40">
        <f t="shared" si="12"/>
        <v>-0.76882672124999996</v>
      </c>
      <c r="AE26" s="26">
        <v>-7.18</v>
      </c>
      <c r="AF26" s="26">
        <v>-7.4806850000000003</v>
      </c>
      <c r="AG26" s="26">
        <v>0</v>
      </c>
    </row>
    <row r="27" spans="1:33" ht="15.75" customHeight="1" x14ac:dyDescent="0.2">
      <c r="A27" s="15" t="s">
        <v>74</v>
      </c>
      <c r="B27" s="15" t="s">
        <v>322</v>
      </c>
      <c r="C27" s="16">
        <f t="shared" si="1"/>
        <v>19.79</v>
      </c>
      <c r="D27" s="17">
        <v>5</v>
      </c>
      <c r="E27" s="17">
        <v>3</v>
      </c>
      <c r="F27" s="18">
        <v>98.949999999999989</v>
      </c>
      <c r="G27" s="18">
        <v>-19.95</v>
      </c>
      <c r="H27" s="32">
        <f t="shared" si="2"/>
        <v>0.20161697827185449</v>
      </c>
      <c r="I27" s="32">
        <f t="shared" si="3"/>
        <v>-0.11185438911697841</v>
      </c>
      <c r="J27" s="33">
        <f t="shared" si="4"/>
        <v>-11.067991803125013</v>
      </c>
      <c r="K27" s="33">
        <f t="shared" si="5"/>
        <v>-2.2135983606250025</v>
      </c>
      <c r="L27" s="17">
        <v>18</v>
      </c>
      <c r="M27" s="34">
        <f t="shared" si="6"/>
        <v>0.27777777777777779</v>
      </c>
      <c r="N27" s="17">
        <v>209</v>
      </c>
      <c r="O27" s="35">
        <f t="shared" ref="O27:P27" si="34">D27/7</f>
        <v>0.7142857142857143</v>
      </c>
      <c r="P27" s="35">
        <f t="shared" si="34"/>
        <v>0.42857142857142855</v>
      </c>
      <c r="Q27" s="30">
        <f t="shared" si="8"/>
        <v>182</v>
      </c>
      <c r="R27" s="30"/>
      <c r="S27" s="22">
        <v>0.97810218978102192</v>
      </c>
      <c r="T27" s="15">
        <v>792</v>
      </c>
      <c r="U27" s="23">
        <v>540</v>
      </c>
      <c r="V27" s="1" t="s">
        <v>321</v>
      </c>
      <c r="W27" s="15">
        <v>1</v>
      </c>
      <c r="X27" s="39">
        <f t="shared" si="9"/>
        <v>0.2</v>
      </c>
      <c r="Y27" s="40">
        <f t="shared" si="10"/>
        <v>6.6499999999999995</v>
      </c>
      <c r="Z27" s="15">
        <v>2</v>
      </c>
      <c r="AA27" s="29" t="s">
        <v>58</v>
      </c>
      <c r="AB27" s="41">
        <f t="shared" si="11"/>
        <v>-0.69</v>
      </c>
      <c r="AC27" s="42">
        <v>0.27856040625</v>
      </c>
      <c r="AD27" s="40">
        <f t="shared" si="12"/>
        <v>-1.9220668031249999</v>
      </c>
      <c r="AE27" s="26">
        <v>-7.18</v>
      </c>
      <c r="AF27" s="26">
        <v>-7.4806850000000003</v>
      </c>
      <c r="AG27" s="26">
        <v>0</v>
      </c>
    </row>
    <row r="28" spans="1:33" ht="15.75" customHeight="1" x14ac:dyDescent="0.2">
      <c r="A28" s="15" t="s">
        <v>75</v>
      </c>
      <c r="B28" s="15" t="s">
        <v>96</v>
      </c>
      <c r="C28" s="16">
        <f t="shared" si="1"/>
        <v>20.072666666666667</v>
      </c>
      <c r="D28" s="17">
        <v>15</v>
      </c>
      <c r="E28" s="17">
        <v>0</v>
      </c>
      <c r="F28" s="18">
        <v>301.08999999999997</v>
      </c>
      <c r="G28" s="18">
        <v>-59.44</v>
      </c>
      <c r="H28" s="32">
        <f t="shared" si="2"/>
        <v>0.19741605500016607</v>
      </c>
      <c r="I28" s="32">
        <f t="shared" si="3"/>
        <v>-9.6947674812763701E-2</v>
      </c>
      <c r="J28" s="33">
        <f t="shared" si="4"/>
        <v>-29.18997540937502</v>
      </c>
      <c r="K28" s="33">
        <f t="shared" si="5"/>
        <v>-1.9459983606250013</v>
      </c>
      <c r="L28" s="17">
        <v>35</v>
      </c>
      <c r="M28" s="34">
        <f t="shared" si="6"/>
        <v>0.42857142857142855</v>
      </c>
      <c r="N28" s="17">
        <v>131</v>
      </c>
      <c r="O28" s="35">
        <f t="shared" ref="O28:P28" si="35">D28/7</f>
        <v>2.1428571428571428</v>
      </c>
      <c r="P28" s="35">
        <f t="shared" si="35"/>
        <v>0</v>
      </c>
      <c r="Q28" s="30">
        <f t="shared" si="8"/>
        <v>61</v>
      </c>
      <c r="R28" s="30"/>
      <c r="S28" s="22">
        <v>1.043478260869565</v>
      </c>
      <c r="T28" s="15">
        <v>792</v>
      </c>
      <c r="U28" s="23">
        <v>540</v>
      </c>
      <c r="V28" s="1" t="s">
        <v>323</v>
      </c>
      <c r="W28" s="15">
        <v>4</v>
      </c>
      <c r="X28" s="39">
        <f t="shared" si="9"/>
        <v>0.26666666666666666</v>
      </c>
      <c r="Y28" s="40">
        <f t="shared" si="10"/>
        <v>3.3022222222222219</v>
      </c>
      <c r="Z28" s="15">
        <v>14</v>
      </c>
      <c r="AA28" s="29" t="s">
        <v>58</v>
      </c>
      <c r="AB28" s="41">
        <f t="shared" si="11"/>
        <v>-0.69</v>
      </c>
      <c r="AC28" s="42">
        <v>0.27856040625</v>
      </c>
      <c r="AD28" s="40">
        <f t="shared" si="12"/>
        <v>-5.7662004093749992</v>
      </c>
      <c r="AE28" s="26">
        <v>-7.18</v>
      </c>
      <c r="AF28" s="26">
        <v>-7.4806850000000003</v>
      </c>
      <c r="AG28" s="26">
        <v>0</v>
      </c>
    </row>
    <row r="29" spans="1:33" ht="15.75" customHeight="1" x14ac:dyDescent="0.2">
      <c r="A29" s="15" t="s">
        <v>77</v>
      </c>
      <c r="B29" s="15" t="s">
        <v>96</v>
      </c>
      <c r="C29" s="16">
        <f t="shared" si="1"/>
        <v>19.869642857142857</v>
      </c>
      <c r="D29" s="17">
        <v>28</v>
      </c>
      <c r="E29" s="17">
        <v>0</v>
      </c>
      <c r="F29" s="18">
        <v>556.35</v>
      </c>
      <c r="G29" s="18">
        <v>-77.170000000000016</v>
      </c>
      <c r="H29" s="32">
        <f t="shared" si="2"/>
        <v>0.13870764806326955</v>
      </c>
      <c r="I29" s="32">
        <f t="shared" si="3"/>
        <v>-4.589782348791234E-2</v>
      </c>
      <c r="J29" s="33">
        <f t="shared" si="4"/>
        <v>-25.53525409750003</v>
      </c>
      <c r="K29" s="33">
        <f t="shared" si="5"/>
        <v>-0.91197336062500101</v>
      </c>
      <c r="L29" s="17">
        <v>48</v>
      </c>
      <c r="M29" s="34">
        <f t="shared" si="6"/>
        <v>0.58333333333333337</v>
      </c>
      <c r="N29" s="17">
        <v>148</v>
      </c>
      <c r="O29" s="35">
        <f t="shared" ref="O29:P29" si="36">D29/7</f>
        <v>4</v>
      </c>
      <c r="P29" s="35">
        <f t="shared" si="36"/>
        <v>0</v>
      </c>
      <c r="Q29" s="30">
        <f t="shared" si="8"/>
        <v>37</v>
      </c>
      <c r="R29" s="30"/>
      <c r="S29" s="22">
        <v>1.664864864864865</v>
      </c>
      <c r="T29" s="15">
        <v>792</v>
      </c>
      <c r="U29" s="23">
        <v>540</v>
      </c>
      <c r="V29" s="1" t="s">
        <v>323</v>
      </c>
      <c r="W29" s="15">
        <v>16</v>
      </c>
      <c r="X29" s="39">
        <f t="shared" si="9"/>
        <v>0.5714285714285714</v>
      </c>
      <c r="Y29" s="40">
        <f t="shared" si="10"/>
        <v>2.7560714285714289</v>
      </c>
      <c r="Z29" s="15">
        <v>12</v>
      </c>
      <c r="AA29" s="29" t="s">
        <v>58</v>
      </c>
      <c r="AB29" s="41">
        <f t="shared" si="11"/>
        <v>-0.69</v>
      </c>
      <c r="AC29" s="42">
        <v>0.27856040625</v>
      </c>
      <c r="AD29" s="40">
        <f t="shared" si="12"/>
        <v>-10.763574097499999</v>
      </c>
      <c r="AE29" s="26">
        <v>-7.18</v>
      </c>
      <c r="AF29" s="26">
        <v>-7.4806850000000003</v>
      </c>
      <c r="AG29" s="26">
        <v>0</v>
      </c>
    </row>
    <row r="30" spans="1:33" ht="15.75" customHeight="1" x14ac:dyDescent="0.2">
      <c r="A30" s="15" t="s">
        <v>78</v>
      </c>
      <c r="B30" s="15" t="s">
        <v>96</v>
      </c>
      <c r="C30" s="16">
        <f t="shared" si="1"/>
        <v>20.430000000000003</v>
      </c>
      <c r="D30" s="17">
        <v>16</v>
      </c>
      <c r="E30" s="17">
        <v>0</v>
      </c>
      <c r="F30" s="18">
        <v>326.88000000000005</v>
      </c>
      <c r="G30" s="18">
        <v>-65.179999999999993</v>
      </c>
      <c r="H30" s="32">
        <f t="shared" si="2"/>
        <v>0.19940039158100828</v>
      </c>
      <c r="I30" s="32">
        <f t="shared" si="3"/>
        <v>-4.9470367810817366E-2</v>
      </c>
      <c r="J30" s="33">
        <f t="shared" si="4"/>
        <v>-16.170873829999984</v>
      </c>
      <c r="K30" s="33">
        <f t="shared" si="5"/>
        <v>-1.010679614374999</v>
      </c>
      <c r="L30" s="17">
        <v>51</v>
      </c>
      <c r="M30" s="34">
        <f t="shared" si="6"/>
        <v>0.31372549019607843</v>
      </c>
      <c r="N30" s="17">
        <v>131</v>
      </c>
      <c r="O30" s="35">
        <f t="shared" ref="O30:P30" si="37">D30/7</f>
        <v>2.2857142857142856</v>
      </c>
      <c r="P30" s="35">
        <f t="shared" si="37"/>
        <v>0</v>
      </c>
      <c r="Q30" s="30">
        <f t="shared" si="8"/>
        <v>57</v>
      </c>
      <c r="R30" s="30"/>
      <c r="S30" s="22">
        <v>1.7922077922077919</v>
      </c>
      <c r="T30" s="29">
        <v>252</v>
      </c>
      <c r="U30" s="37" t="s">
        <v>56</v>
      </c>
      <c r="V30" s="38" t="s">
        <v>56</v>
      </c>
      <c r="W30" s="15">
        <v>2</v>
      </c>
      <c r="X30" s="39">
        <f t="shared" si="9"/>
        <v>0.125</v>
      </c>
      <c r="Y30" s="40">
        <f t="shared" si="10"/>
        <v>7.242222222222221</v>
      </c>
      <c r="Z30" s="15">
        <v>7</v>
      </c>
      <c r="AA30" s="29" t="s">
        <v>58</v>
      </c>
      <c r="AB30" s="41">
        <f t="shared" si="11"/>
        <v>-0.69</v>
      </c>
      <c r="AC30" s="42">
        <v>0.27856040625</v>
      </c>
      <c r="AD30" s="40">
        <f t="shared" si="12"/>
        <v>-6.1506137699999996</v>
      </c>
      <c r="AE30" s="26">
        <v>-7.18</v>
      </c>
      <c r="AF30" s="26">
        <v>-6.7380162537499997</v>
      </c>
      <c r="AG30" s="26">
        <v>0</v>
      </c>
    </row>
    <row r="31" spans="1:33" ht="15.75" customHeight="1" x14ac:dyDescent="0.2">
      <c r="A31" s="15" t="s">
        <v>55</v>
      </c>
      <c r="B31" s="15" t="s">
        <v>324</v>
      </c>
      <c r="C31" s="16">
        <f t="shared" si="1"/>
        <v>20.084166666666665</v>
      </c>
      <c r="D31" s="17">
        <v>12</v>
      </c>
      <c r="E31" s="17">
        <v>1</v>
      </c>
      <c r="F31" s="18">
        <v>241.01</v>
      </c>
      <c r="G31" s="43">
        <v>-73.730000000000018</v>
      </c>
      <c r="H31" s="32">
        <f t="shared" si="2"/>
        <v>0.30592091614455841</v>
      </c>
      <c r="I31" s="32">
        <f t="shared" si="3"/>
        <v>-0.16804553907514216</v>
      </c>
      <c r="J31" s="33">
        <f t="shared" si="4"/>
        <v>-40.500655372500013</v>
      </c>
      <c r="K31" s="33">
        <f t="shared" si="5"/>
        <v>-3.3750546143750011</v>
      </c>
      <c r="L31" s="17">
        <v>56</v>
      </c>
      <c r="M31" s="34">
        <f t="shared" si="6"/>
        <v>0.21428571428571427</v>
      </c>
      <c r="N31" s="17">
        <v>674</v>
      </c>
      <c r="O31" s="35">
        <f t="shared" ref="O31:P31" si="38">D31/7</f>
        <v>1.7142857142857142</v>
      </c>
      <c r="P31" s="35">
        <f t="shared" si="38"/>
        <v>0.14285714285714285</v>
      </c>
      <c r="Q31" s="30">
        <f t="shared" si="8"/>
        <v>362</v>
      </c>
      <c r="R31" s="30"/>
      <c r="S31" s="22">
        <v>0.37625979843224999</v>
      </c>
      <c r="T31" s="15">
        <v>792</v>
      </c>
      <c r="U31" s="23" t="s">
        <v>56</v>
      </c>
      <c r="V31" s="1" t="s">
        <v>325</v>
      </c>
      <c r="W31" s="15">
        <v>3</v>
      </c>
      <c r="X31" s="39">
        <f t="shared" si="9"/>
        <v>0.25</v>
      </c>
      <c r="Y31" s="40">
        <f t="shared" si="10"/>
        <v>4.6081250000000011</v>
      </c>
      <c r="Z31" s="15">
        <v>13</v>
      </c>
      <c r="AA31" s="15" t="s">
        <v>58</v>
      </c>
      <c r="AB31" s="41">
        <f t="shared" si="11"/>
        <v>-0.69</v>
      </c>
      <c r="AC31" s="28">
        <v>0.27856040625</v>
      </c>
      <c r="AD31" s="40">
        <f t="shared" si="12"/>
        <v>-4.6129603274999997</v>
      </c>
      <c r="AE31" s="44">
        <v>-7.18</v>
      </c>
      <c r="AF31" s="44">
        <v>-6.7380162537499997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1"/>
        <v>19.990000000000002</v>
      </c>
      <c r="D32" s="17">
        <v>13</v>
      </c>
      <c r="E32" s="17">
        <v>0</v>
      </c>
      <c r="F32" s="18">
        <v>259.87</v>
      </c>
      <c r="G32" s="18">
        <v>-33.600000000000009</v>
      </c>
      <c r="H32" s="32">
        <f t="shared" si="2"/>
        <v>0.12929541693923888</v>
      </c>
      <c r="I32" s="32">
        <f t="shared" si="3"/>
        <v>5.2253627318465962E-3</v>
      </c>
      <c r="J32" s="33">
        <f t="shared" si="4"/>
        <v>1.3579150131249751</v>
      </c>
      <c r="K32" s="33">
        <f t="shared" si="5"/>
        <v>0.10445500100961347</v>
      </c>
      <c r="L32" s="17">
        <v>42</v>
      </c>
      <c r="M32" s="34">
        <f t="shared" si="6"/>
        <v>0.30952380952380953</v>
      </c>
      <c r="N32" s="17">
        <v>662</v>
      </c>
      <c r="O32" s="35">
        <f t="shared" ref="O32:P32" si="39">D32/7</f>
        <v>1.8571428571428572</v>
      </c>
      <c r="P32" s="35">
        <f t="shared" si="39"/>
        <v>0</v>
      </c>
      <c r="Q32" s="30">
        <f t="shared" si="8"/>
        <v>356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0.43528064146620848</v>
      </c>
      <c r="T32" s="15">
        <f ca="1">IFERROR(__xludf.DUMMYFUNCTION("IFERROR(VLOOKUP($B$2,IMPORTRANGE(""https://docs.google.com/spreadsheets/d/1KiWZV1ko8G7lnRucBRBd29jj3Be6ltMfljMDqzOkQmI/edit#gid=1381463014"",""Lookup!A:D""),4,FALSE),"""")"),792)</f>
        <v>792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792 At Factory 50-75 days from Earliest Arrival")</f>
        <v>No Transit, But 792 At Factory 50-75 days from Earliest Arrival</v>
      </c>
      <c r="W32" s="15">
        <v>4</v>
      </c>
      <c r="X32" s="39">
        <f t="shared" si="9"/>
        <v>0.30769230769230771</v>
      </c>
      <c r="Y32" s="40">
        <f t="shared" si="10"/>
        <v>6.7200000000000015</v>
      </c>
      <c r="Z32" s="15">
        <v>1</v>
      </c>
      <c r="AA32" s="15" t="s">
        <v>58</v>
      </c>
      <c r="AB32" s="41">
        <f t="shared" si="11"/>
        <v>-0.69</v>
      </c>
      <c r="AC32" s="28">
        <v>0.27856040625</v>
      </c>
      <c r="AD32" s="40">
        <f t="shared" si="12"/>
        <v>-4.9973736881250002</v>
      </c>
      <c r="AE32" s="26">
        <v>-7.18</v>
      </c>
      <c r="AF32" s="26">
        <v>-6.7380162537499997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R221" s="15"/>
      <c r="S221" s="22"/>
    </row>
    <row r="222" spans="1:33" ht="15.75" customHeight="1" x14ac:dyDescent="0.2">
      <c r="R222" s="15"/>
      <c r="S222" s="22"/>
    </row>
    <row r="223" spans="1:33" ht="15.75" customHeight="1" x14ac:dyDescent="0.2">
      <c r="R223" s="15"/>
      <c r="S223" s="22"/>
    </row>
    <row r="224" spans="1:33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30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Red and Grey")</f>
        <v>Corn Filled Cornhole Bags - Set of 8 Bean Bags for Corn Hole Game - Red and Grey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Info!B1:BJ7000""),2,FALSE),"""")"),"B07H5RVJBP")</f>
        <v>B07H5RVJBP</v>
      </c>
      <c r="B2" s="47" t="s">
        <v>326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15.476313239705883</v>
      </c>
      <c r="D3" s="5">
        <f>SUM(D4:D99765)</f>
        <v>0</v>
      </c>
      <c r="E3" s="5"/>
      <c r="F3" s="6">
        <f t="shared" ref="F3:G3" si="0">SUM(F4:F99765)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SUM(J4:J99765)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SUM(AD4:AD99765)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-5.5571024358974359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56</v>
      </c>
      <c r="V5" s="38" t="s">
        <v>56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 t="s">
        <v>257</v>
      </c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56</v>
      </c>
      <c r="V6" s="38" t="s">
        <v>63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56</v>
      </c>
      <c r="V7" s="38" t="s">
        <v>63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56</v>
      </c>
      <c r="V11" s="38" t="s">
        <v>56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56</v>
      </c>
      <c r="V12" s="38" t="s">
        <v>56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56</v>
      </c>
      <c r="V13" s="38" t="s">
        <v>56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56</v>
      </c>
      <c r="V14" s="38" t="s">
        <v>56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56</v>
      </c>
      <c r="V15" s="38" t="s">
        <v>56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56</v>
      </c>
      <c r="V16" s="38" t="s">
        <v>56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-6.196205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56</v>
      </c>
      <c r="V17" s="38" t="s">
        <v>56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-6.196205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56</v>
      </c>
      <c r="V18" s="38" t="s">
        <v>56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-6.196205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56</v>
      </c>
      <c r="V19" s="38" t="s">
        <v>56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56</v>
      </c>
      <c r="V20" s="38" t="s">
        <v>56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56</v>
      </c>
      <c r="V21" s="38" t="s">
        <v>56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56</v>
      </c>
      <c r="V22" s="38" t="s">
        <v>56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56</v>
      </c>
      <c r="V23" s="38" t="s">
        <v>56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56</v>
      </c>
      <c r="V24" s="38" t="s">
        <v>56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28">
        <v>0.22340740740740742</v>
      </c>
      <c r="AD24" s="40">
        <f t="shared" si="12"/>
        <v>0</v>
      </c>
      <c r="AE24" s="26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0.22340740740740742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0</v>
      </c>
      <c r="U26" s="23" t="s">
        <v>56</v>
      </c>
      <c r="V26" s="1" t="s">
        <v>56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0.22340740740740742</v>
      </c>
      <c r="AD26" s="40">
        <f t="shared" si="12"/>
        <v>0</v>
      </c>
      <c r="AE26" s="26">
        <v>-7.32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15">
        <v>0</v>
      </c>
      <c r="U27" s="23" t="s">
        <v>56</v>
      </c>
      <c r="V27" s="1" t="s">
        <v>56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0.22340740740740742</v>
      </c>
      <c r="AD27" s="40">
        <f t="shared" si="12"/>
        <v>0</v>
      </c>
      <c r="AE27" s="26">
        <v>-7.32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>
        <v>0</v>
      </c>
      <c r="U28" s="23" t="s">
        <v>56</v>
      </c>
      <c r="V28" s="1" t="s">
        <v>56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0.22340740740740742</v>
      </c>
      <c r="AD28" s="40">
        <f t="shared" si="12"/>
        <v>0</v>
      </c>
      <c r="AE28" s="26">
        <v>-7.32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0</v>
      </c>
      <c r="U29" s="23" t="s">
        <v>56</v>
      </c>
      <c r="V29" s="1" t="s">
        <v>56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0.22340740740740742</v>
      </c>
      <c r="AD29" s="40">
        <f t="shared" si="12"/>
        <v>0</v>
      </c>
      <c r="AE29" s="26">
        <v>-7.32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0.22340740740740742</v>
      </c>
      <c r="AD30" s="40">
        <f t="shared" si="12"/>
        <v>0</v>
      </c>
      <c r="AE30" s="26">
        <v>-7.32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56</v>
      </c>
      <c r="U31" s="23" t="s">
        <v>56</v>
      </c>
      <c r="V31" s="1" t="s">
        <v>56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0.22340740740740742</v>
      </c>
      <c r="AD31" s="40">
        <f t="shared" si="12"/>
        <v>0</v>
      </c>
      <c r="AE31" s="44">
        <v>-7.32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0.22340740740740742</v>
      </c>
      <c r="AD32" s="40">
        <f t="shared" si="12"/>
        <v>0</v>
      </c>
      <c r="AE32" s="26">
        <v>-7.32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7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Red and Gray")</f>
        <v>Corn Filled Cornhole Bags - Set of 8 Bean Bags for Corn Hole Game - Regulation Size &amp; Weight - Red and Gray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Info!B1:BJ7000""),2,FALSE),"""")"),"B087YW8GWD")</f>
        <v>B087YW8GWD</v>
      </c>
      <c r="B2" s="47" t="s">
        <v>327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16.374136769117648</v>
      </c>
      <c r="D3" s="5">
        <f>SUM(D4:D99765)</f>
        <v>65</v>
      </c>
      <c r="E3" s="5"/>
      <c r="F3" s="6">
        <f t="shared" ref="F3:G3" si="0">SUM(F4:F99765)</f>
        <v>1222.3500000000004</v>
      </c>
      <c r="G3" s="6">
        <f t="shared" si="0"/>
        <v>-19.75</v>
      </c>
      <c r="H3" s="7">
        <f>G3/F3*-1</f>
        <v>1.6157401726183167E-2</v>
      </c>
      <c r="I3" s="8">
        <f>J3/F3</f>
        <v>6.7197281016470364E-2</v>
      </c>
      <c r="J3" s="6">
        <f>SUM(J4:J99765)</f>
        <v>82.138596450482581</v>
      </c>
      <c r="K3" s="6">
        <f>J3/D3</f>
        <v>1.263670714622809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1.5 - April
1.5 - May
3 - June
1.5 - July
1.5 - Aug
1 - Sept
1 - Oct
0 - Nov
0 - Dec
0.1 - Jan
0.1 - Feb")</f>
        <v>0.5 - March
1.5 - April
1.5 - May
3 - June
1.5 - July
1.5 - Aug
1 - Sept
1 -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</v>
      </c>
      <c r="X3" s="7">
        <f>W3/D3</f>
        <v>1.5384615384615385E-2</v>
      </c>
      <c r="Y3" s="6"/>
      <c r="Z3" s="5"/>
      <c r="AA3" s="5"/>
      <c r="AB3" s="5"/>
      <c r="AC3" s="5"/>
      <c r="AD3" s="6">
        <f>SUM(AD4:AD99765)</f>
        <v>-25.103458689325031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hidden="1" customHeight="1" x14ac:dyDescent="0.2">
      <c r="A4" s="15"/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customHeight="1" x14ac:dyDescent="0.2">
      <c r="A5" s="29" t="s">
        <v>33</v>
      </c>
      <c r="B5" s="29" t="s">
        <v>301</v>
      </c>
      <c r="C5" s="16">
        <f t="shared" ref="C5:C32" si="1">IFERROR(F5/D5," - ")</f>
        <v>19.989999999999998</v>
      </c>
      <c r="D5" s="30">
        <v>2</v>
      </c>
      <c r="E5" s="30">
        <v>0</v>
      </c>
      <c r="F5" s="31">
        <v>39.979999999999997</v>
      </c>
      <c r="G5" s="31">
        <v>0</v>
      </c>
      <c r="H5" s="32">
        <f t="shared" ref="H5:H32" si="2">G5/F5*-1</f>
        <v>0</v>
      </c>
      <c r="I5" s="32">
        <f t="shared" ref="I5:I32" si="3">J5/F5</f>
        <v>0.18648107932416447</v>
      </c>
      <c r="J5" s="33">
        <f t="shared" ref="J5:J32" si="4">F5*0.85+G5+AF5*D5+D5*AE5+AG5+AD5</f>
        <v>7.4555135513800952</v>
      </c>
      <c r="K5" s="33">
        <f t="shared" ref="K5:K32" si="5">J5/D5</f>
        <v>3.7277567756900476</v>
      </c>
      <c r="L5" s="30">
        <v>18</v>
      </c>
      <c r="M5" s="34">
        <f t="shared" ref="M5:M32" si="6">IFERROR(D5/L5,"-")</f>
        <v>0.1111111111111111</v>
      </c>
      <c r="N5" s="30">
        <v>38</v>
      </c>
      <c r="O5" s="35">
        <f t="shared" ref="O5:P5" si="7">D5/7</f>
        <v>0.2857142857142857</v>
      </c>
      <c r="P5" s="35">
        <f t="shared" si="7"/>
        <v>0</v>
      </c>
      <c r="Q5" s="30">
        <f t="shared" ref="Q5:Q32" si="8">ROUNDDOWN(N5/(O5+P5),0)</f>
        <v>133</v>
      </c>
      <c r="R5" s="30"/>
      <c r="S5" s="36">
        <v>0.73118279569892397</v>
      </c>
      <c r="T5" s="29">
        <v>500</v>
      </c>
      <c r="U5" s="37">
        <v>140</v>
      </c>
      <c r="V5" s="38" t="s">
        <v>110</v>
      </c>
      <c r="W5" s="29">
        <v>0</v>
      </c>
      <c r="X5" s="39">
        <f t="shared" ref="X5:X32" si="9">IFERROR(W5/D5,0)</f>
        <v>0</v>
      </c>
      <c r="Y5" s="40">
        <f t="shared" ref="Y5:Y32" si="10">IFERROR(G5/(W5+Z5)*-1,0)</f>
        <v>0</v>
      </c>
      <c r="Z5" s="29">
        <v>0</v>
      </c>
      <c r="AA5" s="29" t="s">
        <v>58</v>
      </c>
      <c r="AB5" s="41">
        <f t="shared" ref="AB5:AB32" si="11">IF(OR(AA5="UsLargeStandardSize",AA5="UsSmallStandardSize"),-0.69,-0.48)</f>
        <v>-0.69</v>
      </c>
      <c r="AC5" s="42">
        <v>0.28017448435689457</v>
      </c>
      <c r="AD5" s="40">
        <f t="shared" ref="AD5:AD32" si="12">IFERROR(AB5*AC5*D5*2,0)</f>
        <v>-0.77328157682502896</v>
      </c>
      <c r="AE5" s="40">
        <v>-7.32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 t="s">
        <v>127</v>
      </c>
      <c r="C6" s="16">
        <f t="shared" si="1"/>
        <v>18.989999999999998</v>
      </c>
      <c r="D6" s="30">
        <v>1</v>
      </c>
      <c r="E6" s="30">
        <v>1</v>
      </c>
      <c r="F6" s="31">
        <v>18.989999999999998</v>
      </c>
      <c r="G6" s="31">
        <v>0</v>
      </c>
      <c r="H6" s="32">
        <f t="shared" si="2"/>
        <v>0</v>
      </c>
      <c r="I6" s="32">
        <f t="shared" si="3"/>
        <v>0.15156420624552719</v>
      </c>
      <c r="J6" s="33">
        <f t="shared" si="4"/>
        <v>2.8782042766025611</v>
      </c>
      <c r="K6" s="33">
        <f t="shared" si="5"/>
        <v>2.8782042766025611</v>
      </c>
      <c r="L6" s="30">
        <v>18</v>
      </c>
      <c r="M6" s="34">
        <f t="shared" si="6"/>
        <v>5.5555555555555552E-2</v>
      </c>
      <c r="N6" s="30">
        <v>36</v>
      </c>
      <c r="O6" s="35">
        <f t="shared" ref="O6:P6" si="13">D6/7</f>
        <v>0.14285714285714285</v>
      </c>
      <c r="P6" s="35">
        <f t="shared" si="13"/>
        <v>0.14285714285714285</v>
      </c>
      <c r="Q6" s="30">
        <f t="shared" si="8"/>
        <v>126</v>
      </c>
      <c r="R6" s="30"/>
      <c r="S6" s="36">
        <v>0.97435897435897401</v>
      </c>
      <c r="T6" s="29">
        <v>500</v>
      </c>
      <c r="U6" s="37">
        <v>140</v>
      </c>
      <c r="V6" s="38" t="s">
        <v>111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58</v>
      </c>
      <c r="AB6" s="41">
        <f t="shared" si="11"/>
        <v>-0.69</v>
      </c>
      <c r="AC6" s="42">
        <v>0.27985020833333335</v>
      </c>
      <c r="AD6" s="40">
        <f t="shared" si="12"/>
        <v>-0.38619328749999998</v>
      </c>
      <c r="AE6" s="40">
        <v>-7.32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 t="s">
        <v>127</v>
      </c>
      <c r="C7" s="16" t="str">
        <f t="shared" si="1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2"/>
        <v>#DIV/0!</v>
      </c>
      <c r="I7" s="32" t="e">
        <f t="shared" si="3"/>
        <v>#DIV/0!</v>
      </c>
      <c r="J7" s="33">
        <f t="shared" si="4"/>
        <v>0</v>
      </c>
      <c r="K7" s="33" t="e">
        <f t="shared" si="5"/>
        <v>#DIV/0!</v>
      </c>
      <c r="L7" s="30">
        <v>0</v>
      </c>
      <c r="M7" s="34" t="str">
        <f t="shared" si="6"/>
        <v>-</v>
      </c>
      <c r="N7" s="30">
        <v>36</v>
      </c>
      <c r="O7" s="35">
        <f t="shared" ref="O7:P7" si="14">D7/7</f>
        <v>0</v>
      </c>
      <c r="P7" s="35">
        <f t="shared" si="14"/>
        <v>0</v>
      </c>
      <c r="Q7" s="30" t="e">
        <f t="shared" si="8"/>
        <v>#DIV/0!</v>
      </c>
      <c r="R7" s="30"/>
      <c r="S7" s="36">
        <v>1.02564102564102</v>
      </c>
      <c r="T7" s="29">
        <v>500</v>
      </c>
      <c r="U7" s="37">
        <v>140</v>
      </c>
      <c r="V7" s="38" t="s">
        <v>112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58</v>
      </c>
      <c r="AB7" s="41">
        <f t="shared" si="11"/>
        <v>-0.69</v>
      </c>
      <c r="AC7" s="42">
        <v>0.27985020833333335</v>
      </c>
      <c r="AD7" s="40">
        <f t="shared" si="12"/>
        <v>0</v>
      </c>
      <c r="AE7" s="40">
        <v>-7.32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 t="s">
        <v>127</v>
      </c>
      <c r="C8" s="16">
        <f t="shared" si="1"/>
        <v>18.989999999999998</v>
      </c>
      <c r="D8" s="30">
        <v>2</v>
      </c>
      <c r="E8" s="30">
        <v>0</v>
      </c>
      <c r="F8" s="31">
        <v>37.979999999999997</v>
      </c>
      <c r="G8" s="31">
        <v>0</v>
      </c>
      <c r="H8" s="32">
        <f t="shared" si="2"/>
        <v>0</v>
      </c>
      <c r="I8" s="32">
        <f t="shared" si="3"/>
        <v>0.15141162256450755</v>
      </c>
      <c r="J8" s="33">
        <f t="shared" si="4"/>
        <v>5.7506134249999965</v>
      </c>
      <c r="K8" s="33">
        <f t="shared" si="5"/>
        <v>2.8753067124999983</v>
      </c>
      <c r="L8" s="30">
        <v>6</v>
      </c>
      <c r="M8" s="34">
        <f t="shared" si="6"/>
        <v>0.33333333333333331</v>
      </c>
      <c r="N8" s="30">
        <v>35</v>
      </c>
      <c r="O8" s="35">
        <f t="shared" ref="O8:P8" si="15">D8/7</f>
        <v>0.2857142857142857</v>
      </c>
      <c r="P8" s="35">
        <f t="shared" si="15"/>
        <v>0</v>
      </c>
      <c r="Q8" s="30">
        <f t="shared" si="8"/>
        <v>122</v>
      </c>
      <c r="R8" s="30"/>
      <c r="S8" s="36">
        <v>0.58394160583941601</v>
      </c>
      <c r="T8" s="29">
        <v>360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58</v>
      </c>
      <c r="AB8" s="41">
        <f t="shared" si="11"/>
        <v>-0.69</v>
      </c>
      <c r="AC8" s="42">
        <v>0.27985020833333335</v>
      </c>
      <c r="AD8" s="40">
        <f t="shared" si="12"/>
        <v>-0.77238657499999996</v>
      </c>
      <c r="AE8" s="40">
        <v>-7.32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 t="s">
        <v>127</v>
      </c>
      <c r="C9" s="16" t="str">
        <f t="shared" si="1"/>
        <v xml:space="preserve"> - </v>
      </c>
      <c r="D9" s="30">
        <v>0</v>
      </c>
      <c r="E9" s="30">
        <v>1</v>
      </c>
      <c r="F9" s="31">
        <v>0</v>
      </c>
      <c r="G9" s="31">
        <v>0</v>
      </c>
      <c r="H9" s="32" t="e">
        <f t="shared" si="2"/>
        <v>#DIV/0!</v>
      </c>
      <c r="I9" s="32" t="e">
        <f t="shared" si="3"/>
        <v>#DIV/0!</v>
      </c>
      <c r="J9" s="33">
        <f t="shared" si="4"/>
        <v>0</v>
      </c>
      <c r="K9" s="33" t="e">
        <f t="shared" si="5"/>
        <v>#DIV/0!</v>
      </c>
      <c r="L9" s="30">
        <v>0</v>
      </c>
      <c r="M9" s="34" t="str">
        <f t="shared" si="6"/>
        <v>-</v>
      </c>
      <c r="N9" s="30">
        <v>33</v>
      </c>
      <c r="O9" s="35">
        <f t="shared" ref="O9:P9" si="16">D9/7</f>
        <v>0</v>
      </c>
      <c r="P9" s="35">
        <f t="shared" si="16"/>
        <v>0.14285714285714285</v>
      </c>
      <c r="Q9" s="30">
        <f t="shared" si="8"/>
        <v>231</v>
      </c>
      <c r="R9" s="30"/>
      <c r="S9" s="36">
        <v>0.71875</v>
      </c>
      <c r="T9" s="29">
        <v>360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58</v>
      </c>
      <c r="AB9" s="41">
        <f t="shared" si="11"/>
        <v>-0.69</v>
      </c>
      <c r="AC9" s="42">
        <v>0.27985020833333335</v>
      </c>
      <c r="AD9" s="40">
        <f t="shared" si="12"/>
        <v>0</v>
      </c>
      <c r="AE9" s="40">
        <v>-7.32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 t="s">
        <v>328</v>
      </c>
      <c r="C10" s="16" t="str">
        <f t="shared" si="1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2"/>
        <v>#DIV/0!</v>
      </c>
      <c r="I10" s="32" t="e">
        <f t="shared" si="3"/>
        <v>#DIV/0!</v>
      </c>
      <c r="J10" s="33">
        <f t="shared" si="4"/>
        <v>0</v>
      </c>
      <c r="K10" s="33" t="e">
        <f t="shared" si="5"/>
        <v>#DIV/0!</v>
      </c>
      <c r="L10" s="30">
        <v>0</v>
      </c>
      <c r="M10" s="34" t="str">
        <f t="shared" si="6"/>
        <v>-</v>
      </c>
      <c r="N10" s="30">
        <v>33</v>
      </c>
      <c r="O10" s="35">
        <f t="shared" ref="O10:P10" si="17">D10/7</f>
        <v>0</v>
      </c>
      <c r="P10" s="35">
        <f t="shared" si="17"/>
        <v>0</v>
      </c>
      <c r="Q10" s="30" t="e">
        <f t="shared" si="8"/>
        <v>#DIV/0!</v>
      </c>
      <c r="R10" s="30"/>
      <c r="S10" s="36">
        <v>0.82882882882882802</v>
      </c>
      <c r="T10" s="29">
        <v>360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58</v>
      </c>
      <c r="AB10" s="41">
        <f t="shared" si="11"/>
        <v>-0.69</v>
      </c>
      <c r="AC10" s="42">
        <v>0.27985020833333335</v>
      </c>
      <c r="AD10" s="40">
        <f t="shared" si="12"/>
        <v>0</v>
      </c>
      <c r="AE10" s="40">
        <v>-7.32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1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2"/>
        <v>#DIV/0!</v>
      </c>
      <c r="I11" s="32" t="e">
        <f t="shared" si="3"/>
        <v>#DIV/0!</v>
      </c>
      <c r="J11" s="33">
        <f t="shared" si="4"/>
        <v>0</v>
      </c>
      <c r="K11" s="33" t="e">
        <f t="shared" si="5"/>
        <v>#DIV/0!</v>
      </c>
      <c r="L11" s="30">
        <v>0</v>
      </c>
      <c r="M11" s="34" t="str">
        <f t="shared" si="6"/>
        <v>-</v>
      </c>
      <c r="N11" s="30">
        <v>37</v>
      </c>
      <c r="O11" s="35">
        <f t="shared" ref="O11:P11" si="18">D11/7</f>
        <v>0</v>
      </c>
      <c r="P11" s="35">
        <f t="shared" si="18"/>
        <v>0</v>
      </c>
      <c r="Q11" s="30" t="e">
        <f t="shared" si="8"/>
        <v>#DIV/0!</v>
      </c>
      <c r="R11" s="30"/>
      <c r="S11" s="36">
        <v>0.79310344827586199</v>
      </c>
      <c r="T11" s="29">
        <v>548</v>
      </c>
      <c r="U11" s="37">
        <v>140</v>
      </c>
      <c r="V11" s="38" t="s">
        <v>329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58</v>
      </c>
      <c r="AB11" s="41">
        <f t="shared" si="11"/>
        <v>-0.69</v>
      </c>
      <c r="AC11" s="42">
        <v>0.27985020833333335</v>
      </c>
      <c r="AD11" s="40">
        <f t="shared" si="12"/>
        <v>0</v>
      </c>
      <c r="AE11" s="40">
        <v>-7.32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1"/>
        <v xml:space="preserve"> - </v>
      </c>
      <c r="D12" s="30">
        <v>0</v>
      </c>
      <c r="E12" s="30">
        <v>1</v>
      </c>
      <c r="F12" s="31">
        <v>0</v>
      </c>
      <c r="G12" s="31">
        <v>0</v>
      </c>
      <c r="H12" s="32" t="e">
        <f t="shared" si="2"/>
        <v>#DIV/0!</v>
      </c>
      <c r="I12" s="32" t="e">
        <f t="shared" si="3"/>
        <v>#DIV/0!</v>
      </c>
      <c r="J12" s="33">
        <f t="shared" si="4"/>
        <v>0</v>
      </c>
      <c r="K12" s="33" t="e">
        <f t="shared" si="5"/>
        <v>#DIV/0!</v>
      </c>
      <c r="L12" s="30">
        <v>0</v>
      </c>
      <c r="M12" s="34" t="str">
        <f t="shared" si="6"/>
        <v>-</v>
      </c>
      <c r="N12" s="30">
        <v>36</v>
      </c>
      <c r="O12" s="35">
        <f t="shared" ref="O12:P12" si="19">D12/7</f>
        <v>0</v>
      </c>
      <c r="P12" s="35">
        <f t="shared" si="19"/>
        <v>0.14285714285714285</v>
      </c>
      <c r="Q12" s="30">
        <f t="shared" si="8"/>
        <v>252</v>
      </c>
      <c r="R12" s="30"/>
      <c r="S12" s="36">
        <v>0.52873563218390796</v>
      </c>
      <c r="T12" s="29">
        <v>188</v>
      </c>
      <c r="U12" s="37">
        <v>140</v>
      </c>
      <c r="V12" s="38" t="s">
        <v>330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58</v>
      </c>
      <c r="AB12" s="41">
        <f t="shared" si="11"/>
        <v>-0.69</v>
      </c>
      <c r="AC12" s="42">
        <v>0.27985020833333335</v>
      </c>
      <c r="AD12" s="40">
        <f t="shared" si="12"/>
        <v>0</v>
      </c>
      <c r="AE12" s="40">
        <v>-7.32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1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2"/>
        <v>#DIV/0!</v>
      </c>
      <c r="I13" s="32" t="e">
        <f t="shared" si="3"/>
        <v>#DIV/0!</v>
      </c>
      <c r="J13" s="33">
        <f t="shared" si="4"/>
        <v>0</v>
      </c>
      <c r="K13" s="33" t="e">
        <f t="shared" si="5"/>
        <v>#DIV/0!</v>
      </c>
      <c r="L13" s="30">
        <v>0</v>
      </c>
      <c r="M13" s="34" t="str">
        <f t="shared" si="6"/>
        <v>-</v>
      </c>
      <c r="N13" s="30">
        <v>36</v>
      </c>
      <c r="O13" s="35">
        <f t="shared" ref="O13:P13" si="20">D13/7</f>
        <v>0</v>
      </c>
      <c r="P13" s="35">
        <f t="shared" si="20"/>
        <v>0</v>
      </c>
      <c r="Q13" s="30" t="e">
        <f t="shared" si="8"/>
        <v>#DIV/0!</v>
      </c>
      <c r="R13" s="30"/>
      <c r="S13" s="36">
        <v>0.55491329479768703</v>
      </c>
      <c r="T13" s="29">
        <v>188</v>
      </c>
      <c r="U13" s="37">
        <v>140</v>
      </c>
      <c r="V13" s="38" t="s">
        <v>331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58</v>
      </c>
      <c r="AB13" s="41">
        <f t="shared" si="11"/>
        <v>-0.69</v>
      </c>
      <c r="AC13" s="42">
        <v>0.27985020833333335</v>
      </c>
      <c r="AD13" s="40">
        <f t="shared" si="12"/>
        <v>0</v>
      </c>
      <c r="AE13" s="40">
        <v>-7.32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 t="s">
        <v>332</v>
      </c>
      <c r="C14" s="16">
        <f t="shared" si="1"/>
        <v>16.989999999999998</v>
      </c>
      <c r="D14" s="30">
        <v>3</v>
      </c>
      <c r="E14" s="30">
        <v>2</v>
      </c>
      <c r="F14" s="33">
        <v>50.97</v>
      </c>
      <c r="G14" s="31">
        <v>0</v>
      </c>
      <c r="H14" s="32">
        <f t="shared" si="2"/>
        <v>0</v>
      </c>
      <c r="I14" s="32">
        <f t="shared" si="3"/>
        <v>3.1730530459093562E-2</v>
      </c>
      <c r="J14" s="33">
        <f t="shared" si="4"/>
        <v>1.6173051374999989</v>
      </c>
      <c r="K14" s="33">
        <f t="shared" si="5"/>
        <v>0.53910171249999961</v>
      </c>
      <c r="L14" s="30">
        <v>10</v>
      </c>
      <c r="M14" s="34">
        <f t="shared" si="6"/>
        <v>0.3</v>
      </c>
      <c r="N14" s="30">
        <v>32</v>
      </c>
      <c r="O14" s="35">
        <f t="shared" ref="O14:P14" si="21">D14/7</f>
        <v>0.42857142857142855</v>
      </c>
      <c r="P14" s="35">
        <f t="shared" si="21"/>
        <v>0.2857142857142857</v>
      </c>
      <c r="Q14" s="30">
        <f t="shared" si="8"/>
        <v>44</v>
      </c>
      <c r="R14" s="30"/>
      <c r="S14" s="36">
        <v>0.50331125827814505</v>
      </c>
      <c r="T14" s="29">
        <v>188</v>
      </c>
      <c r="U14" s="37">
        <v>140</v>
      </c>
      <c r="V14" s="38" t="s">
        <v>333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58</v>
      </c>
      <c r="AB14" s="41">
        <f t="shared" si="11"/>
        <v>-0.69</v>
      </c>
      <c r="AC14" s="42">
        <v>0.27985020833333335</v>
      </c>
      <c r="AD14" s="40">
        <f t="shared" si="12"/>
        <v>-1.1585798624999999</v>
      </c>
      <c r="AE14" s="40">
        <v>-7.32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 t="s">
        <v>334</v>
      </c>
      <c r="C15" s="16">
        <f t="shared" si="1"/>
        <v>17.048823529411763</v>
      </c>
      <c r="D15" s="30">
        <v>17</v>
      </c>
      <c r="E15" s="30">
        <v>4</v>
      </c>
      <c r="F15" s="33">
        <v>289.83</v>
      </c>
      <c r="G15" s="31">
        <v>0</v>
      </c>
      <c r="H15" s="32">
        <f t="shared" si="2"/>
        <v>0</v>
      </c>
      <c r="I15" s="32">
        <f t="shared" si="3"/>
        <v>3.4553804342200511E-2</v>
      </c>
      <c r="J15" s="33">
        <f t="shared" si="4"/>
        <v>10.014729112499975</v>
      </c>
      <c r="K15" s="33">
        <f t="shared" si="5"/>
        <v>0.58910171249999854</v>
      </c>
      <c r="L15" s="30">
        <v>9</v>
      </c>
      <c r="M15" s="34">
        <f t="shared" si="6"/>
        <v>1.8888888888888888</v>
      </c>
      <c r="N15" s="30">
        <v>11</v>
      </c>
      <c r="O15" s="35">
        <f t="shared" ref="O15:P15" si="22">D15/7</f>
        <v>2.4285714285714284</v>
      </c>
      <c r="P15" s="35">
        <f t="shared" si="22"/>
        <v>0.5714285714285714</v>
      </c>
      <c r="Q15" s="30">
        <f t="shared" si="8"/>
        <v>3</v>
      </c>
      <c r="R15" s="30"/>
      <c r="S15" s="36">
        <v>1.0992366412213701</v>
      </c>
      <c r="T15" s="29">
        <v>188</v>
      </c>
      <c r="U15" s="37">
        <v>140</v>
      </c>
      <c r="V15" s="38" t="s">
        <v>335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58</v>
      </c>
      <c r="AB15" s="41">
        <f t="shared" si="11"/>
        <v>-0.69</v>
      </c>
      <c r="AC15" s="42">
        <v>0.27985020833333335</v>
      </c>
      <c r="AD15" s="40">
        <f t="shared" si="12"/>
        <v>-6.5652858875</v>
      </c>
      <c r="AE15" s="40">
        <v>-7.32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>
        <f t="shared" si="1"/>
        <v>17.989999999999998</v>
      </c>
      <c r="D16" s="30">
        <v>2</v>
      </c>
      <c r="E16" s="30">
        <v>1</v>
      </c>
      <c r="F16" s="33">
        <v>35.979999999999997</v>
      </c>
      <c r="G16" s="31">
        <v>0</v>
      </c>
      <c r="H16" s="32">
        <f t="shared" si="2"/>
        <v>0</v>
      </c>
      <c r="I16" s="32">
        <f t="shared" si="3"/>
        <v>5.8155482212338475E-3</v>
      </c>
      <c r="J16" s="33">
        <f t="shared" si="4"/>
        <v>0.20924342499999382</v>
      </c>
      <c r="K16" s="33">
        <f t="shared" si="5"/>
        <v>0.10462171249999691</v>
      </c>
      <c r="L16" s="30">
        <v>5</v>
      </c>
      <c r="M16" s="34">
        <f t="shared" si="6"/>
        <v>0.4</v>
      </c>
      <c r="N16" s="30">
        <v>7</v>
      </c>
      <c r="O16" s="35">
        <f t="shared" ref="O16:P16" si="23">D16/7</f>
        <v>0.2857142857142857</v>
      </c>
      <c r="P16" s="35">
        <f t="shared" si="23"/>
        <v>0.14285714285714285</v>
      </c>
      <c r="Q16" s="30">
        <f t="shared" si="8"/>
        <v>16</v>
      </c>
      <c r="R16" s="30"/>
      <c r="S16" s="36">
        <v>1.1519999999999999</v>
      </c>
      <c r="T16" s="29">
        <v>188</v>
      </c>
      <c r="U16" s="37">
        <v>140</v>
      </c>
      <c r="V16" s="38" t="s">
        <v>335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58</v>
      </c>
      <c r="AB16" s="41">
        <f t="shared" si="11"/>
        <v>-0.69</v>
      </c>
      <c r="AC16" s="42">
        <v>0.27985020833333335</v>
      </c>
      <c r="AD16" s="40">
        <f t="shared" si="12"/>
        <v>-0.77238657499999996</v>
      </c>
      <c r="AE16" s="40">
        <v>-7.32</v>
      </c>
      <c r="AF16" s="40">
        <v>-7.4806850000000003</v>
      </c>
      <c r="AG16" s="40">
        <v>0</v>
      </c>
    </row>
    <row r="17" spans="1:33" ht="15.75" customHeight="1" x14ac:dyDescent="0.2">
      <c r="A17" s="29" t="s">
        <v>45</v>
      </c>
      <c r="B17" s="29"/>
      <c r="C17" s="16">
        <f t="shared" si="1"/>
        <v>18.656666666666666</v>
      </c>
      <c r="D17" s="30">
        <v>3</v>
      </c>
      <c r="E17" s="30">
        <v>0</v>
      </c>
      <c r="F17" s="33">
        <v>55.97</v>
      </c>
      <c r="G17" s="31">
        <v>0</v>
      </c>
      <c r="H17" s="32">
        <f t="shared" si="2"/>
        <v>0</v>
      </c>
      <c r="I17" s="32">
        <f t="shared" si="3"/>
        <v>3.598115307307486E-2</v>
      </c>
      <c r="J17" s="33">
        <f t="shared" si="4"/>
        <v>2.0138651374999998</v>
      </c>
      <c r="K17" s="33">
        <f t="shared" si="5"/>
        <v>0.67128837916666662</v>
      </c>
      <c r="L17" s="30">
        <v>24</v>
      </c>
      <c r="M17" s="34">
        <f t="shared" si="6"/>
        <v>0.125</v>
      </c>
      <c r="N17" s="30">
        <v>6</v>
      </c>
      <c r="O17" s="35">
        <f t="shared" ref="O17:P17" si="24">D17/7</f>
        <v>0.42857142857142855</v>
      </c>
      <c r="P17" s="35">
        <f t="shared" si="24"/>
        <v>0</v>
      </c>
      <c r="Q17" s="30">
        <f t="shared" si="8"/>
        <v>14</v>
      </c>
      <c r="R17" s="30"/>
      <c r="S17" s="36">
        <v>1.3333333333333299</v>
      </c>
      <c r="T17" s="29">
        <v>188</v>
      </c>
      <c r="U17" s="37">
        <v>140</v>
      </c>
      <c r="V17" s="38" t="s">
        <v>335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58</v>
      </c>
      <c r="AB17" s="41">
        <f t="shared" si="11"/>
        <v>-0.69</v>
      </c>
      <c r="AC17" s="42">
        <v>0.27985020833333335</v>
      </c>
      <c r="AD17" s="40">
        <f t="shared" si="12"/>
        <v>-1.1585798624999999</v>
      </c>
      <c r="AE17" s="40">
        <v>-7.32</v>
      </c>
      <c r="AF17" s="40">
        <v>-7.4806850000000003</v>
      </c>
      <c r="AG17" s="40">
        <v>0</v>
      </c>
    </row>
    <row r="18" spans="1:33" ht="15.75" customHeight="1" x14ac:dyDescent="0.2">
      <c r="A18" s="29" t="s">
        <v>46</v>
      </c>
      <c r="B18" s="29"/>
      <c r="C18" s="16">
        <f t="shared" si="1"/>
        <v>18.989999999999998</v>
      </c>
      <c r="D18" s="30">
        <v>4</v>
      </c>
      <c r="E18" s="30">
        <v>0</v>
      </c>
      <c r="F18" s="33">
        <v>75.959999999999994</v>
      </c>
      <c r="G18" s="31">
        <v>0</v>
      </c>
      <c r="H18" s="32">
        <f t="shared" si="2"/>
        <v>0</v>
      </c>
      <c r="I18" s="32">
        <f t="shared" si="3"/>
        <v>5.0269705766192503E-2</v>
      </c>
      <c r="J18" s="33">
        <f t="shared" si="4"/>
        <v>3.8184868499999824</v>
      </c>
      <c r="K18" s="33">
        <f t="shared" si="5"/>
        <v>0.95462171249999561</v>
      </c>
      <c r="L18" s="30">
        <v>17</v>
      </c>
      <c r="M18" s="34">
        <f t="shared" si="6"/>
        <v>0.23529411764705882</v>
      </c>
      <c r="N18" s="30">
        <v>0</v>
      </c>
      <c r="O18" s="35">
        <f t="shared" ref="O18:P18" si="25">D18/7</f>
        <v>0.5714285714285714</v>
      </c>
      <c r="P18" s="35">
        <f t="shared" si="25"/>
        <v>0</v>
      </c>
      <c r="Q18" s="30">
        <f t="shared" si="8"/>
        <v>0</v>
      </c>
      <c r="R18" s="30"/>
      <c r="S18" s="36" t="e">
        <v>#N/A</v>
      </c>
      <c r="T18" s="29">
        <v>500</v>
      </c>
      <c r="U18" s="37">
        <v>140</v>
      </c>
      <c r="V18" s="38" t="s">
        <v>336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58</v>
      </c>
      <c r="AB18" s="41">
        <f t="shared" si="11"/>
        <v>-0.69</v>
      </c>
      <c r="AC18" s="42">
        <v>0.27985020833333335</v>
      </c>
      <c r="AD18" s="40">
        <f t="shared" si="12"/>
        <v>-1.5447731499999999</v>
      </c>
      <c r="AE18" s="40">
        <v>-7.32</v>
      </c>
      <c r="AF18" s="40">
        <v>-7.4806850000000003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1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2"/>
        <v>#DIV/0!</v>
      </c>
      <c r="I19" s="32" t="e">
        <f t="shared" si="3"/>
        <v>#DIV/0!</v>
      </c>
      <c r="J19" s="33">
        <f t="shared" si="4"/>
        <v>0</v>
      </c>
      <c r="K19" s="33" t="e">
        <f t="shared" si="5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6">D19/7</f>
        <v>0</v>
      </c>
      <c r="P19" s="35">
        <f t="shared" si="26"/>
        <v>0</v>
      </c>
      <c r="Q19" s="30" t="e">
        <f t="shared" si="8"/>
        <v>#DIV/0!</v>
      </c>
      <c r="R19" s="30"/>
      <c r="S19" s="36" t="e">
        <v>#N/A</v>
      </c>
      <c r="T19" s="29">
        <v>500</v>
      </c>
      <c r="U19" s="37">
        <v>140</v>
      </c>
      <c r="V19" s="38" t="s">
        <v>337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-7.4806850000000003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1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2"/>
        <v>#DIV/0!</v>
      </c>
      <c r="I20" s="32" t="e">
        <f t="shared" si="3"/>
        <v>#DIV/0!</v>
      </c>
      <c r="J20" s="33">
        <f t="shared" si="4"/>
        <v>0</v>
      </c>
      <c r="K20" s="33" t="e">
        <f t="shared" si="5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7">D20/7</f>
        <v>0</v>
      </c>
      <c r="P20" s="35">
        <f t="shared" si="27"/>
        <v>0</v>
      </c>
      <c r="Q20" s="30" t="e">
        <f t="shared" si="8"/>
        <v>#DIV/0!</v>
      </c>
      <c r="R20" s="30"/>
      <c r="S20" s="36" t="e">
        <v>#N/A</v>
      </c>
      <c r="T20" s="29">
        <v>500</v>
      </c>
      <c r="U20" s="37">
        <v>140</v>
      </c>
      <c r="V20" s="38" t="s">
        <v>337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-7.4806850000000003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1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2"/>
        <v>#DIV/0!</v>
      </c>
      <c r="I21" s="32" t="e">
        <f t="shared" si="3"/>
        <v>#DIV/0!</v>
      </c>
      <c r="J21" s="33">
        <f t="shared" si="4"/>
        <v>0</v>
      </c>
      <c r="K21" s="33" t="e">
        <f t="shared" si="5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8">D21/7</f>
        <v>0</v>
      </c>
      <c r="P21" s="35">
        <f t="shared" si="28"/>
        <v>0</v>
      </c>
      <c r="Q21" s="30" t="e">
        <f t="shared" si="8"/>
        <v>#DIV/0!</v>
      </c>
      <c r="R21" s="30"/>
      <c r="S21" s="36" t="e">
        <v>#N/A</v>
      </c>
      <c r="T21" s="29">
        <v>500</v>
      </c>
      <c r="U21" s="37">
        <v>140</v>
      </c>
      <c r="V21" s="38" t="s">
        <v>338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-7.4806850000000003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1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2"/>
        <v>#DIV/0!</v>
      </c>
      <c r="I22" s="32" t="e">
        <f t="shared" si="3"/>
        <v>#DIV/0!</v>
      </c>
      <c r="J22" s="33">
        <f t="shared" si="4"/>
        <v>0</v>
      </c>
      <c r="K22" s="33" t="e">
        <f t="shared" si="5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29">D22/7</f>
        <v>0</v>
      </c>
      <c r="P22" s="35">
        <f t="shared" si="29"/>
        <v>0</v>
      </c>
      <c r="Q22" s="30" t="e">
        <f t="shared" si="8"/>
        <v>#DIV/0!</v>
      </c>
      <c r="R22" s="30"/>
      <c r="S22" s="36" t="e">
        <v>#N/A</v>
      </c>
      <c r="T22" s="29">
        <v>500</v>
      </c>
      <c r="U22" s="37">
        <v>140</v>
      </c>
      <c r="V22" s="38" t="s">
        <v>339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-7.4806850000000003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1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2"/>
        <v>#DIV/0!</v>
      </c>
      <c r="I23" s="32" t="e">
        <f t="shared" si="3"/>
        <v>#DIV/0!</v>
      </c>
      <c r="J23" s="33">
        <f t="shared" si="4"/>
        <v>0</v>
      </c>
      <c r="K23" s="33" t="e">
        <f t="shared" si="5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0">D23/7</f>
        <v>0</v>
      </c>
      <c r="P23" s="35">
        <f t="shared" si="30"/>
        <v>0</v>
      </c>
      <c r="Q23" s="30" t="e">
        <f t="shared" si="8"/>
        <v>#DIV/0!</v>
      </c>
      <c r="R23" s="30"/>
      <c r="S23" s="36" t="e">
        <v>#N/A</v>
      </c>
      <c r="T23" s="29">
        <v>500</v>
      </c>
      <c r="U23" s="37">
        <v>140</v>
      </c>
      <c r="V23" s="38" t="s">
        <v>340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-7.4806850000000003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1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2"/>
        <v>#DIV/0!</v>
      </c>
      <c r="I24" s="32" t="e">
        <f t="shared" si="3"/>
        <v>#DIV/0!</v>
      </c>
      <c r="J24" s="33">
        <f t="shared" si="4"/>
        <v>0</v>
      </c>
      <c r="K24" s="33" t="e">
        <f t="shared" si="5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1">D24/7</f>
        <v>0</v>
      </c>
      <c r="P24" s="35">
        <f t="shared" si="31"/>
        <v>0</v>
      </c>
      <c r="Q24" s="30" t="e">
        <f t="shared" si="8"/>
        <v>#DIV/0!</v>
      </c>
      <c r="R24" s="30"/>
      <c r="S24" s="36" t="e">
        <v>#N/A</v>
      </c>
      <c r="T24" s="29">
        <v>500</v>
      </c>
      <c r="U24" s="37">
        <v>140</v>
      </c>
      <c r="V24" s="38" t="s">
        <v>341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42">
        <v>0.27985020833333335</v>
      </c>
      <c r="AD24" s="40">
        <f t="shared" si="12"/>
        <v>0</v>
      </c>
      <c r="AE24" s="40">
        <v>-7.32</v>
      </c>
      <c r="AF24" s="40">
        <v>-7.4806850000000003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1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2"/>
        <v>#DIV/0!</v>
      </c>
      <c r="I25" s="32" t="e">
        <f t="shared" si="3"/>
        <v>#DIV/0!</v>
      </c>
      <c r="J25" s="33">
        <f t="shared" si="4"/>
        <v>0</v>
      </c>
      <c r="K25" s="33" t="e">
        <f t="shared" si="5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2">D25/7</f>
        <v>0</v>
      </c>
      <c r="P25" s="35">
        <f t="shared" si="32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0.27985020833333335</v>
      </c>
      <c r="AD25" s="40">
        <f t="shared" si="12"/>
        <v>0</v>
      </c>
      <c r="AE25" s="40">
        <v>-7.32</v>
      </c>
      <c r="AF25" s="40">
        <v>-7.48</v>
      </c>
      <c r="AG25" s="40">
        <v>0</v>
      </c>
    </row>
    <row r="26" spans="1:33" ht="15.75" customHeight="1" x14ac:dyDescent="0.2">
      <c r="A26" s="15" t="s">
        <v>54</v>
      </c>
      <c r="B26" s="15" t="s">
        <v>342</v>
      </c>
      <c r="C26" s="16">
        <f t="shared" si="1"/>
        <v>18.989999999999998</v>
      </c>
      <c r="D26" s="17">
        <v>1</v>
      </c>
      <c r="E26" s="17">
        <v>0</v>
      </c>
      <c r="F26" s="18">
        <v>18.989999999999998</v>
      </c>
      <c r="G26" s="18">
        <v>0</v>
      </c>
      <c r="H26" s="32">
        <f t="shared" si="2"/>
        <v>0</v>
      </c>
      <c r="I26" s="32">
        <f t="shared" si="3"/>
        <v>5.764200697735631E-2</v>
      </c>
      <c r="J26" s="33">
        <f t="shared" si="4"/>
        <v>1.0946217124999962</v>
      </c>
      <c r="K26" s="33">
        <f t="shared" si="5"/>
        <v>1.0946217124999962</v>
      </c>
      <c r="L26" s="17">
        <v>1</v>
      </c>
      <c r="M26" s="34">
        <f t="shared" si="6"/>
        <v>1</v>
      </c>
      <c r="N26" s="17">
        <v>140</v>
      </c>
      <c r="O26" s="35">
        <f t="shared" ref="O26:P26" si="33">D26/7</f>
        <v>0.14285714285714285</v>
      </c>
      <c r="P26" s="35">
        <f t="shared" si="33"/>
        <v>0</v>
      </c>
      <c r="Q26" s="30">
        <f t="shared" si="8"/>
        <v>980</v>
      </c>
      <c r="R26" s="30"/>
      <c r="S26" s="22">
        <v>0.79558011049723754</v>
      </c>
      <c r="T26" s="15">
        <v>360</v>
      </c>
      <c r="U26" s="23">
        <v>48</v>
      </c>
      <c r="V26" s="1" t="s">
        <v>343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0.27985020833333335</v>
      </c>
      <c r="AD26" s="40">
        <f t="shared" si="12"/>
        <v>-0.38619328749999998</v>
      </c>
      <c r="AE26" s="26">
        <v>-7.18</v>
      </c>
      <c r="AF26" s="26">
        <v>-7.4806850000000003</v>
      </c>
      <c r="AG26" s="26">
        <v>0</v>
      </c>
    </row>
    <row r="27" spans="1:33" ht="15.75" customHeight="1" x14ac:dyDescent="0.2">
      <c r="A27" s="15" t="s">
        <v>74</v>
      </c>
      <c r="B27" s="15" t="s">
        <v>344</v>
      </c>
      <c r="C27" s="16">
        <f t="shared" si="1"/>
        <v>19.989999999999998</v>
      </c>
      <c r="D27" s="17">
        <v>6</v>
      </c>
      <c r="E27" s="17">
        <v>1</v>
      </c>
      <c r="F27" s="18">
        <v>119.94</v>
      </c>
      <c r="G27" s="18">
        <v>-19.75</v>
      </c>
      <c r="H27" s="32">
        <f t="shared" si="2"/>
        <v>0.16466566616641654</v>
      </c>
      <c r="I27" s="32">
        <f t="shared" si="3"/>
        <v>-6.7385940678672665E-2</v>
      </c>
      <c r="J27" s="33">
        <f t="shared" si="4"/>
        <v>-8.0822697249999997</v>
      </c>
      <c r="K27" s="33">
        <f t="shared" si="5"/>
        <v>-1.3470449541666667</v>
      </c>
      <c r="L27" s="17">
        <v>14</v>
      </c>
      <c r="M27" s="34">
        <f t="shared" si="6"/>
        <v>0.42857142857142855</v>
      </c>
      <c r="N27" s="17">
        <v>134</v>
      </c>
      <c r="O27" s="35">
        <f t="shared" ref="O27:P27" si="34">D27/7</f>
        <v>0.8571428571428571</v>
      </c>
      <c r="P27" s="35">
        <f t="shared" si="34"/>
        <v>0.14285714285714285</v>
      </c>
      <c r="Q27" s="30">
        <f t="shared" si="8"/>
        <v>134</v>
      </c>
      <c r="R27" s="30"/>
      <c r="S27" s="22">
        <v>0.84705882352941175</v>
      </c>
      <c r="T27" s="15">
        <v>360</v>
      </c>
      <c r="U27" s="23">
        <v>48</v>
      </c>
      <c r="V27" s="1" t="s">
        <v>343</v>
      </c>
      <c r="W27" s="15">
        <v>1</v>
      </c>
      <c r="X27" s="39">
        <f t="shared" si="9"/>
        <v>0.16666666666666666</v>
      </c>
      <c r="Y27" s="40">
        <f t="shared" si="10"/>
        <v>19.75</v>
      </c>
      <c r="Z27" s="15">
        <v>0</v>
      </c>
      <c r="AA27" s="29" t="s">
        <v>58</v>
      </c>
      <c r="AB27" s="41">
        <f t="shared" si="11"/>
        <v>-0.69</v>
      </c>
      <c r="AC27" s="42">
        <v>0.27985020833333335</v>
      </c>
      <c r="AD27" s="40">
        <f t="shared" si="12"/>
        <v>-2.3171597249999998</v>
      </c>
      <c r="AE27" s="26">
        <v>-7.18</v>
      </c>
      <c r="AF27" s="26">
        <v>-7.4806850000000003</v>
      </c>
      <c r="AG27" s="26">
        <v>0</v>
      </c>
    </row>
    <row r="28" spans="1:33" ht="15.75" customHeight="1" x14ac:dyDescent="0.2">
      <c r="A28" s="15" t="s">
        <v>75</v>
      </c>
      <c r="B28" s="15" t="s">
        <v>344</v>
      </c>
      <c r="C28" s="16">
        <f t="shared" si="1"/>
        <v>19.989999999999998</v>
      </c>
      <c r="D28" s="17">
        <v>4</v>
      </c>
      <c r="E28" s="17">
        <v>0</v>
      </c>
      <c r="F28" s="18">
        <v>79.959999999999994</v>
      </c>
      <c r="G28" s="18">
        <v>0</v>
      </c>
      <c r="H28" s="32">
        <f t="shared" si="2"/>
        <v>0</v>
      </c>
      <c r="I28" s="32">
        <f t="shared" si="3"/>
        <v>9.7279725487743759E-2</v>
      </c>
      <c r="J28" s="33">
        <f t="shared" si="4"/>
        <v>7.7784868499999904</v>
      </c>
      <c r="K28" s="33">
        <f t="shared" si="5"/>
        <v>1.9446217124999976</v>
      </c>
      <c r="L28" s="17">
        <v>9</v>
      </c>
      <c r="M28" s="34">
        <f t="shared" si="6"/>
        <v>0.44444444444444442</v>
      </c>
      <c r="N28" s="17">
        <v>97</v>
      </c>
      <c r="O28" s="35">
        <f t="shared" ref="O28:P28" si="35">D28/7</f>
        <v>0.5714285714285714</v>
      </c>
      <c r="P28" s="35">
        <f t="shared" si="35"/>
        <v>0</v>
      </c>
      <c r="Q28" s="30">
        <f t="shared" si="8"/>
        <v>169</v>
      </c>
      <c r="R28" s="30"/>
      <c r="S28" s="22">
        <v>0.76033057851239672</v>
      </c>
      <c r="T28" s="15">
        <v>360</v>
      </c>
      <c r="U28" s="23">
        <v>48</v>
      </c>
      <c r="V28" s="1" t="s">
        <v>343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0.27985020833333335</v>
      </c>
      <c r="AD28" s="40">
        <f t="shared" si="12"/>
        <v>-1.5447731499999999</v>
      </c>
      <c r="AE28" s="26">
        <v>-7.18</v>
      </c>
      <c r="AF28" s="26">
        <v>-7.4806850000000003</v>
      </c>
      <c r="AG28" s="26">
        <v>0</v>
      </c>
    </row>
    <row r="29" spans="1:33" ht="15.75" customHeight="1" x14ac:dyDescent="0.2">
      <c r="A29" s="15" t="s">
        <v>77</v>
      </c>
      <c r="B29" s="15" t="s">
        <v>344</v>
      </c>
      <c r="C29" s="16">
        <f t="shared" si="1"/>
        <v>19.989999999999998</v>
      </c>
      <c r="D29" s="17">
        <v>6</v>
      </c>
      <c r="E29" s="17">
        <v>0</v>
      </c>
      <c r="F29" s="18">
        <v>119.94</v>
      </c>
      <c r="G29" s="18">
        <v>0</v>
      </c>
      <c r="H29" s="32">
        <f t="shared" si="2"/>
        <v>0</v>
      </c>
      <c r="I29" s="32">
        <f t="shared" si="3"/>
        <v>9.7279725487743871E-2</v>
      </c>
      <c r="J29" s="33">
        <f t="shared" si="4"/>
        <v>11.667730275</v>
      </c>
      <c r="K29" s="33">
        <f t="shared" si="5"/>
        <v>1.9446217125</v>
      </c>
      <c r="L29" s="17">
        <v>4</v>
      </c>
      <c r="M29" s="34">
        <f t="shared" si="6"/>
        <v>1.5</v>
      </c>
      <c r="N29" s="17">
        <v>107</v>
      </c>
      <c r="O29" s="35">
        <f t="shared" ref="O29:P29" si="36">D29/7</f>
        <v>0.8571428571428571</v>
      </c>
      <c r="P29" s="35">
        <f t="shared" si="36"/>
        <v>0</v>
      </c>
      <c r="Q29" s="30">
        <f t="shared" si="8"/>
        <v>124</v>
      </c>
      <c r="R29" s="30"/>
      <c r="S29" s="22">
        <v>0.85185185185185186</v>
      </c>
      <c r="T29" s="15">
        <v>360</v>
      </c>
      <c r="U29" s="23">
        <v>48</v>
      </c>
      <c r="V29" s="1" t="s">
        <v>345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0.27985020833333335</v>
      </c>
      <c r="AD29" s="40">
        <f t="shared" si="12"/>
        <v>-2.3171597249999998</v>
      </c>
      <c r="AE29" s="26">
        <v>-7.18</v>
      </c>
      <c r="AF29" s="26">
        <v>-7.4806850000000003</v>
      </c>
      <c r="AG29" s="26">
        <v>0</v>
      </c>
    </row>
    <row r="30" spans="1:33" ht="15.75" customHeight="1" x14ac:dyDescent="0.2">
      <c r="A30" s="15" t="s">
        <v>78</v>
      </c>
      <c r="B30" s="15" t="s">
        <v>344</v>
      </c>
      <c r="C30" s="16">
        <f t="shared" si="1"/>
        <v>19.989999999999998</v>
      </c>
      <c r="D30" s="17">
        <v>4</v>
      </c>
      <c r="E30" s="17">
        <v>0</v>
      </c>
      <c r="F30" s="18">
        <v>79.959999999999994</v>
      </c>
      <c r="G30" s="18">
        <v>0</v>
      </c>
      <c r="H30" s="32">
        <f t="shared" si="2"/>
        <v>0</v>
      </c>
      <c r="I30" s="32">
        <f t="shared" si="3"/>
        <v>0.13443173880690337</v>
      </c>
      <c r="J30" s="33">
        <f t="shared" si="4"/>
        <v>10.749161834999994</v>
      </c>
      <c r="K30" s="33">
        <f t="shared" si="5"/>
        <v>2.6872904587499984</v>
      </c>
      <c r="L30" s="17">
        <v>6</v>
      </c>
      <c r="M30" s="34">
        <f t="shared" si="6"/>
        <v>0.66666666666666663</v>
      </c>
      <c r="N30" s="17">
        <v>102</v>
      </c>
      <c r="O30" s="35">
        <f t="shared" ref="O30:P30" si="37">D30/7</f>
        <v>0.5714285714285714</v>
      </c>
      <c r="P30" s="35">
        <f t="shared" si="37"/>
        <v>0</v>
      </c>
      <c r="Q30" s="30">
        <f t="shared" si="8"/>
        <v>178</v>
      </c>
      <c r="R30" s="30"/>
      <c r="S30" s="22">
        <v>1</v>
      </c>
      <c r="T30" s="29">
        <v>360</v>
      </c>
      <c r="U30" s="37">
        <v>48</v>
      </c>
      <c r="V30" s="38" t="s">
        <v>345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0.27985020833333335</v>
      </c>
      <c r="AD30" s="40">
        <f t="shared" si="12"/>
        <v>-1.5447731499999999</v>
      </c>
      <c r="AE30" s="26">
        <v>-7.18</v>
      </c>
      <c r="AF30" s="26">
        <v>-6.7380162537499997</v>
      </c>
      <c r="AG30" s="26">
        <v>0</v>
      </c>
    </row>
    <row r="31" spans="1:33" ht="15.75" customHeight="1" x14ac:dyDescent="0.2">
      <c r="A31" s="15" t="s">
        <v>55</v>
      </c>
      <c r="B31" s="48">
        <v>17.989999999999998</v>
      </c>
      <c r="C31" s="16">
        <f t="shared" si="1"/>
        <v>19.989999999999998</v>
      </c>
      <c r="D31" s="17">
        <v>4</v>
      </c>
      <c r="E31" s="17">
        <v>0</v>
      </c>
      <c r="F31" s="18">
        <v>79.959999999999994</v>
      </c>
      <c r="G31" s="43">
        <v>0</v>
      </c>
      <c r="H31" s="32">
        <f t="shared" si="2"/>
        <v>0</v>
      </c>
      <c r="I31" s="32">
        <f t="shared" si="3"/>
        <v>0.13443173880690337</v>
      </c>
      <c r="J31" s="33">
        <f t="shared" si="4"/>
        <v>10.749161834999994</v>
      </c>
      <c r="K31" s="33">
        <f t="shared" si="5"/>
        <v>2.6872904587499984</v>
      </c>
      <c r="L31" s="17">
        <v>6</v>
      </c>
      <c r="M31" s="34">
        <f t="shared" si="6"/>
        <v>0.66666666666666663</v>
      </c>
      <c r="N31" s="17">
        <v>98</v>
      </c>
      <c r="O31" s="35">
        <f t="shared" ref="O31:P31" si="38">D31/7</f>
        <v>0.5714285714285714</v>
      </c>
      <c r="P31" s="35">
        <f t="shared" si="38"/>
        <v>0</v>
      </c>
      <c r="Q31" s="30">
        <f t="shared" si="8"/>
        <v>171</v>
      </c>
      <c r="R31" s="30"/>
      <c r="S31" s="22">
        <v>0.418410041841004</v>
      </c>
      <c r="T31" s="15">
        <v>360</v>
      </c>
      <c r="U31" s="23">
        <v>48</v>
      </c>
      <c r="V31" s="1" t="s">
        <v>346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0.27985020833333335</v>
      </c>
      <c r="AD31" s="40">
        <f t="shared" si="12"/>
        <v>-1.5447731499999999</v>
      </c>
      <c r="AE31" s="44">
        <v>-7.18</v>
      </c>
      <c r="AF31" s="44">
        <v>-6.7380162537499997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1"/>
        <v>19.656666666666666</v>
      </c>
      <c r="D32" s="17">
        <v>6</v>
      </c>
      <c r="E32" s="17">
        <v>0</v>
      </c>
      <c r="F32" s="18">
        <v>117.94</v>
      </c>
      <c r="G32" s="18">
        <v>0</v>
      </c>
      <c r="H32" s="32">
        <f t="shared" si="2"/>
        <v>0</v>
      </c>
      <c r="I32" s="32">
        <f t="shared" si="3"/>
        <v>0.12229729313634052</v>
      </c>
      <c r="J32" s="33">
        <f t="shared" si="4"/>
        <v>14.423742752500001</v>
      </c>
      <c r="K32" s="33">
        <f t="shared" si="5"/>
        <v>2.403957125416667</v>
      </c>
      <c r="L32" s="17">
        <v>15</v>
      </c>
      <c r="M32" s="34">
        <f t="shared" si="6"/>
        <v>0.4</v>
      </c>
      <c r="N32" s="17">
        <v>140</v>
      </c>
      <c r="O32" s="35">
        <f t="shared" ref="O32:P32" si="39">D32/7</f>
        <v>0.8571428571428571</v>
      </c>
      <c r="P32" s="35">
        <f t="shared" si="39"/>
        <v>0</v>
      </c>
      <c r="Q32" s="30">
        <f t="shared" si="8"/>
        <v>163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0.45925925925925931</v>
      </c>
      <c r="T32" s="15">
        <f ca="1">IFERROR(__xludf.DUMMYFUNCTION("IFERROR(VLOOKUP($B$2,IMPORTRANGE(""https://docs.google.com/spreadsheets/d/1KiWZV1ko8G7lnRucBRBd29jj3Be6ltMfljMDqzOkQmI/edit#gid=1381463014"",""Lookup!A:D""),4,FALSE),"""")"),360)</f>
        <v>360</v>
      </c>
      <c r="U32" s="23">
        <f ca="1">IFERROR(__xludf.DUMMYFUNCTION("IFERROR(VLOOKUP($B$2,IMPORTRANGE(""https://docs.google.com/spreadsheets/d/1KiWZV1ko8G7lnRucBRBd29jj3Be6ltMfljMDqzOkQmI/edit#gid=1381463014"",""Lookup!A:D""),3,FALSE),"""")"),48)</f>
        <v>48</v>
      </c>
      <c r="V32" s="1" t="str">
        <f ca="1">IFERROR(__xludf.DUMMYFUNCTION("IFERROR(VLOOKUP($B$2,IMPORTRANGE(""https://docs.google.com/spreadsheets/d/1KiWZV1ko8G7lnRucBRBd29jj3Be6ltMfljMDqzOkQmI/edit#gid=1381463014"",""Lookup!A:D""),2,FALSE),"""")"),"| 376-2  - 48 units 07/10")</f>
        <v>| 376-2  - 48 units 07/10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0.27985020833333335</v>
      </c>
      <c r="AD32" s="40">
        <f t="shared" si="12"/>
        <v>-2.3171597249999998</v>
      </c>
      <c r="AE32" s="26">
        <v>-7.18</v>
      </c>
      <c r="AF32" s="26">
        <v>-6.7380162537499997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R221" s="15"/>
      <c r="S221" s="22"/>
    </row>
    <row r="222" spans="1:33" ht="15.75" customHeight="1" x14ac:dyDescent="0.2">
      <c r="R222" s="15"/>
      <c r="S222" s="22"/>
    </row>
    <row r="223" spans="1:33" ht="15.75" customHeight="1" x14ac:dyDescent="0.2">
      <c r="R223" s="15"/>
      <c r="S223" s="22"/>
    </row>
    <row r="224" spans="1:33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8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Red &amp; Navy Blue")</f>
        <v>Corn Filled Cornhole Bags - Set of 8 Bean Bags for Corn Hole Game - Red &amp; Navy Blue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Info!B1:BJ7000""),2,FALSE),"""")"),"B07MWJKQHJ")</f>
        <v>B07MWJKQHJ</v>
      </c>
      <c r="B2" s="47" t="s">
        <v>347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16.374136769117648</v>
      </c>
      <c r="D3" s="5">
        <f>SUM(D4:D99765)</f>
        <v>67</v>
      </c>
      <c r="E3" s="5"/>
      <c r="F3" s="6">
        <f t="shared" ref="F3:G3" si="0">SUM(F4:F99765)</f>
        <v>1250.8300000000002</v>
      </c>
      <c r="G3" s="6">
        <f t="shared" si="0"/>
        <v>-12.040000000000001</v>
      </c>
      <c r="H3" s="7">
        <f t="shared" ref="H3:H32" si="1">G3/F3*-1</f>
        <v>9.6256085958923276E-3</v>
      </c>
      <c r="I3" s="8">
        <f t="shared" ref="I3:I32" si="2">J3/F3</f>
        <v>5.8652315930472196E-2</v>
      </c>
      <c r="J3" s="6">
        <f>SUM(J4:J99765)</f>
        <v>73.364076335312546</v>
      </c>
      <c r="K3" s="6">
        <f t="shared" ref="K3:K32" si="3">J3/D3</f>
        <v>1.0949862139598887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1.5 - April
5.5 - May
6.5 - June
5 - July
4.5 - Aug
3.5 - Sept
1.5 - Oct
0 - Nov
0 - Dec
0.1 - Jan
0.1 - Feb")</f>
        <v>0.5 - March
1.5 - April
5.5 - May
6.5 - June
5 - July
4.5 - Aug
3.5 - Sept
1.5 -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</v>
      </c>
      <c r="X3" s="7">
        <f>W3/D3</f>
        <v>1.4925373134328358E-2</v>
      </c>
      <c r="Y3" s="6"/>
      <c r="Z3" s="5"/>
      <c r="AA3" s="5"/>
      <c r="AB3" s="5"/>
      <c r="AC3" s="5"/>
      <c r="AD3" s="6">
        <f>SUM(AD4:AD99765)</f>
        <v>-17.815591052187493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400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-5.8782224358974364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600</v>
      </c>
      <c r="U5" s="37">
        <v>200</v>
      </c>
      <c r="V5" s="38" t="s">
        <v>150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-5.8782224358974364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600</v>
      </c>
      <c r="U6" s="37">
        <v>200</v>
      </c>
      <c r="V6" s="38" t="s">
        <v>151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-5.8782224358974364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600</v>
      </c>
      <c r="U7" s="37">
        <v>200</v>
      </c>
      <c r="V7" s="38" t="s">
        <v>152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-5.8782224358974364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400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-5.88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400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-6.2314275641025603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400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-6.2314275641025603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876</v>
      </c>
      <c r="U11" s="37">
        <v>200</v>
      </c>
      <c r="V11" s="38" t="s">
        <v>348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-6.2314275641025603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476</v>
      </c>
      <c r="U12" s="37">
        <v>200</v>
      </c>
      <c r="V12" s="38" t="s">
        <v>349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-6.3186070512820498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476</v>
      </c>
      <c r="U13" s="37">
        <v>200</v>
      </c>
      <c r="V13" s="38" t="s">
        <v>350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-6.5173249999999996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476</v>
      </c>
      <c r="U14" s="37">
        <v>200</v>
      </c>
      <c r="V14" s="38" t="s">
        <v>351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-6.5173249999999996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476</v>
      </c>
      <c r="U15" s="37">
        <v>200</v>
      </c>
      <c r="V15" s="38" t="s">
        <v>352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-6.5173249999999996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476</v>
      </c>
      <c r="U16" s="37">
        <v>200</v>
      </c>
      <c r="V16" s="38" t="s">
        <v>352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-7.4806850000000003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476</v>
      </c>
      <c r="U17" s="37">
        <v>200</v>
      </c>
      <c r="V17" s="38" t="s">
        <v>352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-7.4806850000000003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856</v>
      </c>
      <c r="U18" s="37">
        <v>180</v>
      </c>
      <c r="V18" s="38" t="s">
        <v>353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-7.4806850000000003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856</v>
      </c>
      <c r="U19" s="37">
        <v>180</v>
      </c>
      <c r="V19" s="38" t="s">
        <v>354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-7.4806850000000003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856</v>
      </c>
      <c r="U20" s="37">
        <v>180</v>
      </c>
      <c r="V20" s="38" t="s">
        <v>354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-7.4806850000000003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856</v>
      </c>
      <c r="U21" s="37">
        <v>180</v>
      </c>
      <c r="V21" s="38" t="s">
        <v>355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-7.4806850000000003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856</v>
      </c>
      <c r="U22" s="37">
        <v>180</v>
      </c>
      <c r="V22" s="38" t="s">
        <v>356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-7.4806850000000003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856</v>
      </c>
      <c r="U23" s="37">
        <v>180</v>
      </c>
      <c r="V23" s="38" t="s">
        <v>357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-7.4806850000000003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856</v>
      </c>
      <c r="U24" s="37">
        <v>180</v>
      </c>
      <c r="V24" s="38" t="s">
        <v>358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28">
        <v>0.19268430729166663</v>
      </c>
      <c r="AD24" s="40">
        <f t="shared" si="12"/>
        <v>0</v>
      </c>
      <c r="AE24" s="26">
        <v>-7.32</v>
      </c>
      <c r="AF24" s="40">
        <v>-7.4806850000000003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0.19268430729166663</v>
      </c>
      <c r="AD25" s="40">
        <f t="shared" si="12"/>
        <v>0</v>
      </c>
      <c r="AE25" s="40">
        <v>-7.32</v>
      </c>
      <c r="AF25" s="40">
        <v>-7.48</v>
      </c>
      <c r="AG25" s="40">
        <v>0</v>
      </c>
    </row>
    <row r="26" spans="1:33" ht="15.75" customHeight="1" x14ac:dyDescent="0.2">
      <c r="A26" s="15" t="s">
        <v>54</v>
      </c>
      <c r="B26" s="15" t="s">
        <v>359</v>
      </c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180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676</v>
      </c>
      <c r="U26" s="23">
        <v>276</v>
      </c>
      <c r="V26" s="1" t="s">
        <v>360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0.19268430729166663</v>
      </c>
      <c r="AD26" s="40">
        <f t="shared" si="12"/>
        <v>0</v>
      </c>
      <c r="AE26" s="26">
        <v>-7.32</v>
      </c>
      <c r="AF26" s="26">
        <v>-7.4806850000000003</v>
      </c>
      <c r="AG26" s="26">
        <v>0</v>
      </c>
    </row>
    <row r="27" spans="1:33" ht="15.75" customHeight="1" x14ac:dyDescent="0.2">
      <c r="A27" s="15" t="s">
        <v>74</v>
      </c>
      <c r="B27" s="48">
        <v>18.489999999999998</v>
      </c>
      <c r="C27" s="16">
        <f t="shared" si="4"/>
        <v>19.990000000000002</v>
      </c>
      <c r="D27" s="17">
        <v>7</v>
      </c>
      <c r="E27" s="17">
        <v>0</v>
      </c>
      <c r="F27" s="18">
        <v>139.93</v>
      </c>
      <c r="G27" s="18">
        <v>-11.35</v>
      </c>
      <c r="H27" s="32">
        <f t="shared" si="1"/>
        <v>8.1111984563710424E-2</v>
      </c>
      <c r="I27" s="32">
        <f t="shared" si="2"/>
        <v>2.2185196823858409E-2</v>
      </c>
      <c r="J27" s="33">
        <f t="shared" si="5"/>
        <v>3.1043745915625074</v>
      </c>
      <c r="K27" s="33">
        <f t="shared" si="3"/>
        <v>0.44348208450892962</v>
      </c>
      <c r="L27" s="17">
        <v>21</v>
      </c>
      <c r="M27" s="34">
        <f t="shared" si="6"/>
        <v>0.33333333333333331</v>
      </c>
      <c r="N27" s="17">
        <v>172</v>
      </c>
      <c r="O27" s="35">
        <f t="shared" ref="O27:P27" si="35">D27/7</f>
        <v>1</v>
      </c>
      <c r="P27" s="35">
        <f t="shared" si="35"/>
        <v>0</v>
      </c>
      <c r="Q27" s="30">
        <f t="shared" si="8"/>
        <v>172</v>
      </c>
      <c r="R27" s="30"/>
      <c r="S27" s="22">
        <v>0.13793103448275859</v>
      </c>
      <c r="T27" s="15">
        <v>676</v>
      </c>
      <c r="U27" s="23">
        <v>276</v>
      </c>
      <c r="V27" s="1" t="s">
        <v>360</v>
      </c>
      <c r="W27" s="15">
        <v>0</v>
      </c>
      <c r="X27" s="39">
        <f t="shared" si="9"/>
        <v>0</v>
      </c>
      <c r="Y27" s="40">
        <f t="shared" si="10"/>
        <v>11.35</v>
      </c>
      <c r="Z27" s="15">
        <v>1</v>
      </c>
      <c r="AA27" s="29" t="s">
        <v>58</v>
      </c>
      <c r="AB27" s="41">
        <f t="shared" si="11"/>
        <v>-0.69</v>
      </c>
      <c r="AC27" s="42">
        <v>0.19268430729166663</v>
      </c>
      <c r="AD27" s="40">
        <f t="shared" si="12"/>
        <v>-1.8613304084374993</v>
      </c>
      <c r="AE27" s="26">
        <v>-7.18</v>
      </c>
      <c r="AF27" s="26">
        <v>-7.4806850000000003</v>
      </c>
      <c r="AG27" s="26">
        <v>0</v>
      </c>
    </row>
    <row r="28" spans="1:33" ht="15.75" customHeight="1" x14ac:dyDescent="0.2">
      <c r="A28" s="15" t="s">
        <v>75</v>
      </c>
      <c r="B28" s="15"/>
      <c r="C28" s="16">
        <f t="shared" si="4"/>
        <v>18.677499999999998</v>
      </c>
      <c r="D28" s="17">
        <v>8</v>
      </c>
      <c r="E28" s="17">
        <v>8</v>
      </c>
      <c r="F28" s="18">
        <v>149.41999999999999</v>
      </c>
      <c r="G28" s="18">
        <v>-0.13</v>
      </c>
      <c r="H28" s="32">
        <f t="shared" si="1"/>
        <v>8.7003078570472507E-4</v>
      </c>
      <c r="I28" s="32">
        <f t="shared" si="2"/>
        <v>4.9955061220050889E-2</v>
      </c>
      <c r="J28" s="33">
        <f t="shared" si="5"/>
        <v>7.464285247500003</v>
      </c>
      <c r="K28" s="33">
        <f t="shared" si="3"/>
        <v>0.93303565593750037</v>
      </c>
      <c r="L28" s="17">
        <v>11</v>
      </c>
      <c r="M28" s="34">
        <f t="shared" si="6"/>
        <v>0.72727272727272729</v>
      </c>
      <c r="N28" s="17">
        <v>131</v>
      </c>
      <c r="O28" s="35">
        <f t="shared" ref="O28:P28" si="36">D28/7</f>
        <v>1.1428571428571428</v>
      </c>
      <c r="P28" s="35">
        <f t="shared" si="36"/>
        <v>1.1428571428571428</v>
      </c>
      <c r="Q28" s="30">
        <f t="shared" si="8"/>
        <v>57</v>
      </c>
      <c r="R28" s="30"/>
      <c r="S28" s="22">
        <v>0.38400000000000001</v>
      </c>
      <c r="T28" s="15">
        <v>676</v>
      </c>
      <c r="U28" s="23">
        <v>276</v>
      </c>
      <c r="V28" s="1" t="s">
        <v>360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0.19268430729166663</v>
      </c>
      <c r="AD28" s="40">
        <f t="shared" si="12"/>
        <v>-2.1272347524999993</v>
      </c>
      <c r="AE28" s="26">
        <v>-7.18</v>
      </c>
      <c r="AF28" s="26">
        <v>-7.4806850000000003</v>
      </c>
      <c r="AG28" s="26">
        <v>0</v>
      </c>
    </row>
    <row r="29" spans="1:33" ht="15.75" customHeight="1" x14ac:dyDescent="0.2">
      <c r="A29" s="15" t="s">
        <v>77</v>
      </c>
      <c r="B29" s="15"/>
      <c r="C29" s="16">
        <f t="shared" si="4"/>
        <v>18.489999999999998</v>
      </c>
      <c r="D29" s="17">
        <v>22</v>
      </c>
      <c r="E29" s="17">
        <v>7</v>
      </c>
      <c r="F29" s="18">
        <v>406.78</v>
      </c>
      <c r="G29" s="18">
        <v>-0.34</v>
      </c>
      <c r="H29" s="32">
        <f t="shared" si="1"/>
        <v>8.3583263680613615E-4</v>
      </c>
      <c r="I29" s="32">
        <f t="shared" si="2"/>
        <v>4.188513307100894E-2</v>
      </c>
      <c r="J29" s="33">
        <f t="shared" si="5"/>
        <v>17.038034430625014</v>
      </c>
      <c r="K29" s="33">
        <f t="shared" si="3"/>
        <v>0.77445611048295515</v>
      </c>
      <c r="L29" s="17">
        <v>18</v>
      </c>
      <c r="M29" s="34">
        <f t="shared" si="6"/>
        <v>1.2222222222222223</v>
      </c>
      <c r="N29" s="17">
        <v>116</v>
      </c>
      <c r="O29" s="35">
        <f t="shared" ref="O29:P29" si="37">D29/7</f>
        <v>3.1428571428571428</v>
      </c>
      <c r="P29" s="35">
        <f t="shared" si="37"/>
        <v>1</v>
      </c>
      <c r="Q29" s="30">
        <f t="shared" si="8"/>
        <v>28</v>
      </c>
      <c r="R29" s="30"/>
      <c r="S29" s="22">
        <v>1.2682926829268291</v>
      </c>
      <c r="T29" s="15">
        <v>676</v>
      </c>
      <c r="U29" s="23">
        <v>276</v>
      </c>
      <c r="V29" s="1" t="s">
        <v>361</v>
      </c>
      <c r="W29" s="15">
        <v>0</v>
      </c>
      <c r="X29" s="39">
        <f t="shared" si="9"/>
        <v>0</v>
      </c>
      <c r="Y29" s="40">
        <f t="shared" si="10"/>
        <v>0.17</v>
      </c>
      <c r="Z29" s="15">
        <v>2</v>
      </c>
      <c r="AA29" s="29" t="s">
        <v>58</v>
      </c>
      <c r="AB29" s="41">
        <f t="shared" si="11"/>
        <v>-0.69</v>
      </c>
      <c r="AC29" s="42">
        <v>0.19268430729166663</v>
      </c>
      <c r="AD29" s="40">
        <f t="shared" si="12"/>
        <v>-5.8498955693749979</v>
      </c>
      <c r="AE29" s="26">
        <v>-7.18</v>
      </c>
      <c r="AF29" s="26">
        <v>-7.4806850000000003</v>
      </c>
      <c r="AG29" s="26">
        <v>0</v>
      </c>
    </row>
    <row r="30" spans="1:33" ht="15.75" customHeight="1" x14ac:dyDescent="0.2">
      <c r="A30" s="15" t="s">
        <v>78</v>
      </c>
      <c r="B30" s="15"/>
      <c r="C30" s="16">
        <f t="shared" si="4"/>
        <v>18.490000000000002</v>
      </c>
      <c r="D30" s="17">
        <v>11</v>
      </c>
      <c r="E30" s="17">
        <v>5</v>
      </c>
      <c r="F30" s="18">
        <v>203.39000000000001</v>
      </c>
      <c r="G30" s="18">
        <v>0</v>
      </c>
      <c r="H30" s="32">
        <f t="shared" si="1"/>
        <v>0</v>
      </c>
      <c r="I30" s="32">
        <f t="shared" si="2"/>
        <v>8.2886933595862744E-2</v>
      </c>
      <c r="J30" s="33">
        <f t="shared" si="5"/>
        <v>16.858373424062524</v>
      </c>
      <c r="K30" s="33">
        <f t="shared" si="3"/>
        <v>1.5325794021875021</v>
      </c>
      <c r="L30" s="17">
        <v>19</v>
      </c>
      <c r="M30" s="34">
        <f t="shared" si="6"/>
        <v>0.57894736842105265</v>
      </c>
      <c r="N30" s="17">
        <v>94</v>
      </c>
      <c r="O30" s="35">
        <f t="shared" ref="O30:P30" si="38">D30/7</f>
        <v>1.5714285714285714</v>
      </c>
      <c r="P30" s="35">
        <f t="shared" si="38"/>
        <v>0.7142857142857143</v>
      </c>
      <c r="Q30" s="30">
        <f t="shared" si="8"/>
        <v>41</v>
      </c>
      <c r="R30" s="30"/>
      <c r="S30" s="22">
        <v>2.0363636363636362</v>
      </c>
      <c r="T30" s="29">
        <v>676</v>
      </c>
      <c r="U30" s="37">
        <v>276</v>
      </c>
      <c r="V30" s="38" t="s">
        <v>361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0.19268430729166663</v>
      </c>
      <c r="AD30" s="40">
        <f t="shared" si="12"/>
        <v>-2.9249477846874989</v>
      </c>
      <c r="AE30" s="26">
        <v>-7.18</v>
      </c>
      <c r="AF30" s="26">
        <v>-6.7380162537499997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4"/>
        <v>18.490000000000002</v>
      </c>
      <c r="D31" s="17">
        <v>13</v>
      </c>
      <c r="E31" s="17">
        <v>3</v>
      </c>
      <c r="F31" s="18">
        <v>240.37000000000003</v>
      </c>
      <c r="G31" s="43">
        <v>-0.22</v>
      </c>
      <c r="H31" s="32">
        <f t="shared" si="1"/>
        <v>9.1525564754337051E-4</v>
      </c>
      <c r="I31" s="32">
        <f t="shared" si="2"/>
        <v>8.1971677948319291E-2</v>
      </c>
      <c r="J31" s="33">
        <f t="shared" si="5"/>
        <v>19.70353222843751</v>
      </c>
      <c r="K31" s="33">
        <f t="shared" si="3"/>
        <v>1.5156563252644237</v>
      </c>
      <c r="L31" s="17">
        <v>14</v>
      </c>
      <c r="M31" s="34">
        <f t="shared" si="6"/>
        <v>0.9285714285714286</v>
      </c>
      <c r="N31" s="17">
        <v>86</v>
      </c>
      <c r="O31" s="35">
        <f t="shared" ref="O31:P31" si="39">D31/7</f>
        <v>1.8571428571428572</v>
      </c>
      <c r="P31" s="35">
        <f t="shared" si="39"/>
        <v>0.42857142857142855</v>
      </c>
      <c r="Q31" s="30">
        <f t="shared" si="8"/>
        <v>37</v>
      </c>
      <c r="R31" s="30"/>
      <c r="S31" s="22">
        <v>1.0327272727272701</v>
      </c>
      <c r="T31" s="15">
        <v>676</v>
      </c>
      <c r="U31" s="23">
        <v>176</v>
      </c>
      <c r="V31" s="1" t="s">
        <v>362</v>
      </c>
      <c r="W31" s="15">
        <v>1</v>
      </c>
      <c r="X31" s="39">
        <f t="shared" si="9"/>
        <v>7.6923076923076927E-2</v>
      </c>
      <c r="Y31" s="40">
        <f t="shared" si="10"/>
        <v>0.22</v>
      </c>
      <c r="Z31" s="15">
        <v>0</v>
      </c>
      <c r="AA31" s="15" t="s">
        <v>58</v>
      </c>
      <c r="AB31" s="41">
        <f t="shared" si="11"/>
        <v>-0.69</v>
      </c>
      <c r="AC31" s="28">
        <v>0.19268430729166663</v>
      </c>
      <c r="AD31" s="40">
        <f t="shared" si="12"/>
        <v>-3.4567564728124989</v>
      </c>
      <c r="AE31" s="44">
        <v>-7.18</v>
      </c>
      <c r="AF31" s="44">
        <v>-6.7380162537499997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18.489999999999998</v>
      </c>
      <c r="D32" s="17">
        <v>6</v>
      </c>
      <c r="E32" s="17">
        <v>3</v>
      </c>
      <c r="F32" s="18">
        <v>110.94</v>
      </c>
      <c r="G32" s="18">
        <v>0</v>
      </c>
      <c r="H32" s="32">
        <f t="shared" si="1"/>
        <v>0</v>
      </c>
      <c r="I32" s="32">
        <f t="shared" si="2"/>
        <v>8.2886933595862619E-2</v>
      </c>
      <c r="J32" s="33">
        <f t="shared" si="5"/>
        <v>9.1954764131249984</v>
      </c>
      <c r="K32" s="33">
        <f t="shared" si="3"/>
        <v>1.5325794021874997</v>
      </c>
      <c r="L32" s="17">
        <v>18</v>
      </c>
      <c r="M32" s="34">
        <f t="shared" si="6"/>
        <v>0.33333333333333331</v>
      </c>
      <c r="N32" s="17">
        <v>350</v>
      </c>
      <c r="O32" s="35">
        <f t="shared" ref="O32:P32" si="40">D32/7</f>
        <v>0.8571428571428571</v>
      </c>
      <c r="P32" s="35">
        <f t="shared" si="40"/>
        <v>0.42857142857142855</v>
      </c>
      <c r="Q32" s="30">
        <f t="shared" si="8"/>
        <v>272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0.68571428571428572</v>
      </c>
      <c r="T32" s="15">
        <f ca="1">IFERROR(__xludf.DUMMYFUNCTION("IFERROR(VLOOKUP($B$2,IMPORTRANGE(""https://docs.google.com/spreadsheets/d/1KiWZV1ko8G7lnRucBRBd29jj3Be6ltMfljMDqzOkQmI/edit#gid=1381463014"",""Lookup!A:D""),4,FALSE),"""")"),676)</f>
        <v>676</v>
      </c>
      <c r="U32" s="23">
        <f ca="1">IFERROR(__xludf.DUMMYFUNCTION("IFERROR(VLOOKUP($B$2,IMPORTRANGE(""https://docs.google.com/spreadsheets/d/1KiWZV1ko8G7lnRucBRBd29jj3Be6ltMfljMDqzOkQmI/edit#gid=1381463014"",""Lookup!A:D""),3,FALSE),"""")"),176)</f>
        <v>176</v>
      </c>
      <c r="V32" s="1" t="str">
        <f ca="1">IFERROR(__xludf.DUMMYFUNCTION("IFERROR(VLOOKUP($B$2,IMPORTRANGE(""https://docs.google.com/spreadsheets/d/1KiWZV1ko8G7lnRucBRBd29jj3Be6ltMfljMDqzOkQmI/edit#gid=1381463014"",""Lookup!A:D""),2,FALSE),"""")"),"| 376-2  - 176 units 07/10")</f>
        <v>| 376-2  - 176 units 07/10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0.19268430729166663</v>
      </c>
      <c r="AD32" s="40">
        <f t="shared" si="12"/>
        <v>-1.5954260643749993</v>
      </c>
      <c r="AE32" s="26">
        <v>-7.18</v>
      </c>
      <c r="AF32" s="26">
        <v>-6.7380162537499997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Red &amp; Yellow")</f>
        <v>Corn Filled Cornhole Bags - Set of 8 Bean Bags for Corn Hole Game - Regulation Size &amp; Weight - Red &amp; Yellow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Info!B1:BJ7000""),2,FALSE),"""")"),"B07ZTPKF4G")</f>
        <v>B07ZTPKF4G</v>
      </c>
      <c r="B2" s="47" t="s">
        <v>363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15.311607357352942</v>
      </c>
      <c r="D3" s="5">
        <f>SUM(D4:D99765)</f>
        <v>21</v>
      </c>
      <c r="E3" s="5"/>
      <c r="F3" s="6">
        <f t="shared" ref="F3:G3" si="0">SUM(F4:F99765)</f>
        <v>398.78999999999996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0.12547476251598577</v>
      </c>
      <c r="J3" s="6">
        <f>SUM(J4:J99765)</f>
        <v>50.038080543749956</v>
      </c>
      <c r="K3" s="6">
        <f t="shared" ref="K3:K32" si="3">J3/D3</f>
        <v>2.3827657401785691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2.5 - May
3 - June
2 - July
2.5 - Aug
1.5 - Sept
1 - Oct
0 - Nov
0 - Dec
0.1 - Jan
0.1 - Feb")</f>
        <v>0.5 - March
0.5 - April
2.5 - May
3 - June
2 - July
2.5 - Aug
1.5 - Sept
1 -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-7.4518719187499993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48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-5.5571024358974359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148</v>
      </c>
      <c r="U5" s="37">
        <v>100</v>
      </c>
      <c r="V5" s="38" t="s">
        <v>81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148</v>
      </c>
      <c r="U6" s="37">
        <v>100</v>
      </c>
      <c r="V6" s="38" t="s">
        <v>82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148</v>
      </c>
      <c r="U7" s="37">
        <v>100</v>
      </c>
      <c r="V7" s="38" t="s">
        <v>83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48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48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48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196</v>
      </c>
      <c r="U11" s="37">
        <v>100</v>
      </c>
      <c r="V11" s="38" t="s">
        <v>85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100</v>
      </c>
      <c r="U12" s="37">
        <v>100</v>
      </c>
      <c r="V12" s="38" t="s">
        <v>86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100</v>
      </c>
      <c r="U13" s="37">
        <v>100</v>
      </c>
      <c r="V13" s="38" t="s">
        <v>87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100</v>
      </c>
      <c r="U14" s="37">
        <v>100</v>
      </c>
      <c r="V14" s="38" t="s">
        <v>88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100</v>
      </c>
      <c r="U15" s="37">
        <v>100</v>
      </c>
      <c r="V15" s="38" t="s">
        <v>89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100</v>
      </c>
      <c r="U16" s="37">
        <v>100</v>
      </c>
      <c r="V16" s="38" t="s">
        <v>89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-6.5775350000000001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100</v>
      </c>
      <c r="U17" s="37">
        <v>100</v>
      </c>
      <c r="V17" s="38" t="s">
        <v>89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-6.5775350000000001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328</v>
      </c>
      <c r="U18" s="37">
        <v>80</v>
      </c>
      <c r="V18" s="38" t="s">
        <v>226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-6.5775350000000001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328</v>
      </c>
      <c r="U19" s="37">
        <v>80</v>
      </c>
      <c r="V19" s="38" t="s">
        <v>226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328</v>
      </c>
      <c r="U20" s="37">
        <v>80</v>
      </c>
      <c r="V20" s="38" t="s">
        <v>226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328</v>
      </c>
      <c r="U21" s="37">
        <v>80</v>
      </c>
      <c r="V21" s="38" t="s">
        <v>226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328</v>
      </c>
      <c r="U22" s="37">
        <v>80</v>
      </c>
      <c r="V22" s="38" t="s">
        <v>227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328</v>
      </c>
      <c r="U23" s="37">
        <v>80</v>
      </c>
      <c r="V23" s="38" t="s">
        <v>227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328</v>
      </c>
      <c r="U24" s="37">
        <v>80</v>
      </c>
      <c r="V24" s="38" t="s">
        <v>228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28">
        <v>0.25713843749999998</v>
      </c>
      <c r="AD24" s="40">
        <f t="shared" si="12"/>
        <v>0</v>
      </c>
      <c r="AE24" s="26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0.25713843749999998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 t="s">
        <v>364</v>
      </c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80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296</v>
      </c>
      <c r="U26" s="23">
        <v>48</v>
      </c>
      <c r="V26" s="1" t="s">
        <v>343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0.25713843749999998</v>
      </c>
      <c r="AD26" s="40">
        <f t="shared" si="12"/>
        <v>0</v>
      </c>
      <c r="AE26" s="26">
        <v>-7.18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15" t="s">
        <v>96</v>
      </c>
      <c r="C27" s="16">
        <f t="shared" si="4"/>
        <v>18.989999999999998</v>
      </c>
      <c r="D27" s="17">
        <v>1</v>
      </c>
      <c r="E27" s="17">
        <v>0</v>
      </c>
      <c r="F27" s="18">
        <v>18.989999999999998</v>
      </c>
      <c r="G27" s="18">
        <v>0</v>
      </c>
      <c r="H27" s="32">
        <f t="shared" si="1"/>
        <v>0</v>
      </c>
      <c r="I27" s="32">
        <f t="shared" si="2"/>
        <v>0.10685170912322256</v>
      </c>
      <c r="J27" s="33">
        <f t="shared" si="5"/>
        <v>2.0291139562499962</v>
      </c>
      <c r="K27" s="33">
        <f t="shared" si="3"/>
        <v>2.0291139562499962</v>
      </c>
      <c r="L27" s="17">
        <v>3</v>
      </c>
      <c r="M27" s="34">
        <f t="shared" si="6"/>
        <v>0.33333333333333331</v>
      </c>
      <c r="N27" s="17">
        <v>79</v>
      </c>
      <c r="O27" s="35">
        <f t="shared" ref="O27:P27" si="35">D27/7</f>
        <v>0.14285714285714285</v>
      </c>
      <c r="P27" s="35">
        <f t="shared" si="35"/>
        <v>0</v>
      </c>
      <c r="Q27" s="30">
        <f t="shared" si="8"/>
        <v>553</v>
      </c>
      <c r="R27" s="30"/>
      <c r="S27" s="22">
        <v>0</v>
      </c>
      <c r="T27" s="15">
        <v>296</v>
      </c>
      <c r="U27" s="23">
        <v>48</v>
      </c>
      <c r="V27" s="1" t="s">
        <v>343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0.25713843749999998</v>
      </c>
      <c r="AD27" s="40">
        <f t="shared" si="12"/>
        <v>-0.35485104374999993</v>
      </c>
      <c r="AE27" s="26">
        <v>-7.18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/>
      <c r="C28" s="16">
        <f t="shared" si="4"/>
        <v>18.989999999999998</v>
      </c>
      <c r="D28" s="17">
        <v>4</v>
      </c>
      <c r="E28" s="17">
        <v>0</v>
      </c>
      <c r="F28" s="18">
        <v>75.959999999999994</v>
      </c>
      <c r="G28" s="18">
        <v>0</v>
      </c>
      <c r="H28" s="32">
        <f t="shared" si="1"/>
        <v>0</v>
      </c>
      <c r="I28" s="32">
        <f t="shared" si="2"/>
        <v>0.10685170912322256</v>
      </c>
      <c r="J28" s="33">
        <f t="shared" si="5"/>
        <v>8.116455824999985</v>
      </c>
      <c r="K28" s="33">
        <f t="shared" si="3"/>
        <v>2.0291139562499962</v>
      </c>
      <c r="L28" s="17">
        <v>13</v>
      </c>
      <c r="M28" s="34">
        <f t="shared" si="6"/>
        <v>0.30769230769230771</v>
      </c>
      <c r="N28" s="17">
        <v>65</v>
      </c>
      <c r="O28" s="35">
        <f t="shared" ref="O28:P28" si="36">D28/7</f>
        <v>0.5714285714285714</v>
      </c>
      <c r="P28" s="35">
        <f t="shared" si="36"/>
        <v>0</v>
      </c>
      <c r="Q28" s="30">
        <f t="shared" si="8"/>
        <v>113</v>
      </c>
      <c r="R28" s="30"/>
      <c r="S28" s="22">
        <v>0.26229508196721307</v>
      </c>
      <c r="T28" s="15">
        <v>296</v>
      </c>
      <c r="U28" s="23">
        <v>48</v>
      </c>
      <c r="V28" s="1" t="s">
        <v>343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0.25713843749999998</v>
      </c>
      <c r="AD28" s="40">
        <f t="shared" si="12"/>
        <v>-1.4194041749999997</v>
      </c>
      <c r="AE28" s="26">
        <v>-7.18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/>
      <c r="C29" s="16">
        <f t="shared" si="4"/>
        <v>18.989999999999998</v>
      </c>
      <c r="D29" s="17">
        <v>6</v>
      </c>
      <c r="E29" s="17">
        <v>0</v>
      </c>
      <c r="F29" s="18">
        <v>113.94</v>
      </c>
      <c r="G29" s="18">
        <v>0</v>
      </c>
      <c r="H29" s="32">
        <f t="shared" si="1"/>
        <v>0</v>
      </c>
      <c r="I29" s="32">
        <f t="shared" si="2"/>
        <v>0.1068517091232227</v>
      </c>
      <c r="J29" s="33">
        <f t="shared" si="5"/>
        <v>12.174683737499993</v>
      </c>
      <c r="K29" s="33">
        <f t="shared" si="3"/>
        <v>2.0291139562499989</v>
      </c>
      <c r="L29" s="17">
        <v>8</v>
      </c>
      <c r="M29" s="34">
        <f t="shared" si="6"/>
        <v>0.75</v>
      </c>
      <c r="N29" s="17">
        <v>65</v>
      </c>
      <c r="O29" s="35">
        <f t="shared" ref="O29:P29" si="37">D29/7</f>
        <v>0.8571428571428571</v>
      </c>
      <c r="P29" s="35">
        <f t="shared" si="37"/>
        <v>0</v>
      </c>
      <c r="Q29" s="30">
        <f t="shared" si="8"/>
        <v>75</v>
      </c>
      <c r="R29" s="30"/>
      <c r="S29" s="22">
        <v>0.67692307692307696</v>
      </c>
      <c r="T29" s="15">
        <v>296</v>
      </c>
      <c r="U29" s="23">
        <v>48</v>
      </c>
      <c r="V29" s="1" t="s">
        <v>345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0.25713843749999998</v>
      </c>
      <c r="AD29" s="40">
        <f t="shared" si="12"/>
        <v>-2.1291062624999997</v>
      </c>
      <c r="AE29" s="26">
        <v>-7.18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15"/>
      <c r="C30" s="16">
        <f t="shared" si="4"/>
        <v>18.989999999999998</v>
      </c>
      <c r="D30" s="17">
        <v>2</v>
      </c>
      <c r="E30" s="17">
        <v>0</v>
      </c>
      <c r="F30" s="18">
        <v>37.979999999999997</v>
      </c>
      <c r="G30" s="18">
        <v>0</v>
      </c>
      <c r="H30" s="32">
        <f t="shared" si="1"/>
        <v>0</v>
      </c>
      <c r="I30" s="32">
        <f t="shared" si="2"/>
        <v>0.14596012124802513</v>
      </c>
      <c r="J30" s="33">
        <f t="shared" si="5"/>
        <v>5.5435654049999936</v>
      </c>
      <c r="K30" s="33">
        <f t="shared" si="3"/>
        <v>2.7717827024999968</v>
      </c>
      <c r="L30" s="17">
        <v>8</v>
      </c>
      <c r="M30" s="34">
        <f t="shared" si="6"/>
        <v>0.25</v>
      </c>
      <c r="N30" s="17">
        <v>63</v>
      </c>
      <c r="O30" s="35">
        <f t="shared" ref="O30:P30" si="38">D30/7</f>
        <v>0.2857142857142857</v>
      </c>
      <c r="P30" s="35">
        <f t="shared" si="38"/>
        <v>0</v>
      </c>
      <c r="Q30" s="30">
        <f t="shared" si="8"/>
        <v>220</v>
      </c>
      <c r="R30" s="30"/>
      <c r="S30" s="22">
        <v>0.67692307692307696</v>
      </c>
      <c r="T30" s="29">
        <v>296</v>
      </c>
      <c r="U30" s="37">
        <v>48</v>
      </c>
      <c r="V30" s="38" t="s">
        <v>345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0.25713843749999998</v>
      </c>
      <c r="AD30" s="40">
        <f t="shared" si="12"/>
        <v>-0.70970208749999986</v>
      </c>
      <c r="AE30" s="26">
        <v>-7.18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4"/>
        <v>18.989999999999998</v>
      </c>
      <c r="D31" s="17">
        <v>5</v>
      </c>
      <c r="E31" s="17">
        <v>1</v>
      </c>
      <c r="F31" s="18">
        <v>94.949999999999989</v>
      </c>
      <c r="G31" s="43">
        <v>0</v>
      </c>
      <c r="H31" s="32">
        <f t="shared" si="1"/>
        <v>0</v>
      </c>
      <c r="I31" s="32">
        <f t="shared" si="2"/>
        <v>0.14596012124802518</v>
      </c>
      <c r="J31" s="33">
        <f t="shared" si="5"/>
        <v>13.858913512499988</v>
      </c>
      <c r="K31" s="33">
        <f t="shared" si="3"/>
        <v>2.7717827024999977</v>
      </c>
      <c r="L31" s="17">
        <v>12</v>
      </c>
      <c r="M31" s="34">
        <f t="shared" si="6"/>
        <v>0.41666666666666669</v>
      </c>
      <c r="N31" s="17">
        <v>57</v>
      </c>
      <c r="O31" s="35">
        <f t="shared" ref="O31:P31" si="39">D31/7</f>
        <v>0.7142857142857143</v>
      </c>
      <c r="P31" s="35">
        <f t="shared" si="39"/>
        <v>0.14285714285714285</v>
      </c>
      <c r="Q31" s="30">
        <f t="shared" si="8"/>
        <v>66</v>
      </c>
      <c r="R31" s="30"/>
      <c r="S31" s="22">
        <v>0.45714285714285702</v>
      </c>
      <c r="T31" s="15">
        <v>248</v>
      </c>
      <c r="U31" s="23" t="s">
        <v>56</v>
      </c>
      <c r="V31" s="1" t="s">
        <v>240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0.25713843749999998</v>
      </c>
      <c r="AD31" s="40">
        <f t="shared" si="12"/>
        <v>-1.7742552187499996</v>
      </c>
      <c r="AE31" s="44">
        <v>-7.18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18.989999999999998</v>
      </c>
      <c r="D32" s="17">
        <v>3</v>
      </c>
      <c r="E32" s="17">
        <v>0</v>
      </c>
      <c r="F32" s="18">
        <v>56.97</v>
      </c>
      <c r="G32" s="18">
        <v>0</v>
      </c>
      <c r="H32" s="32">
        <f t="shared" si="1"/>
        <v>0</v>
      </c>
      <c r="I32" s="32">
        <f t="shared" si="2"/>
        <v>0.14596012124802527</v>
      </c>
      <c r="J32" s="33">
        <f t="shared" si="5"/>
        <v>8.3153481074999984</v>
      </c>
      <c r="K32" s="33">
        <f t="shared" si="3"/>
        <v>2.7717827024999995</v>
      </c>
      <c r="L32" s="17">
        <v>19</v>
      </c>
      <c r="M32" s="34">
        <f t="shared" si="6"/>
        <v>0.15789473684210525</v>
      </c>
      <c r="N32" s="17">
        <v>55</v>
      </c>
      <c r="O32" s="35">
        <f t="shared" ref="O32:P32" si="40">D32/7</f>
        <v>0.42857142857142855</v>
      </c>
      <c r="P32" s="35">
        <f t="shared" si="40"/>
        <v>0</v>
      </c>
      <c r="Q32" s="30">
        <f t="shared" si="8"/>
        <v>128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0.46927374301675978</v>
      </c>
      <c r="T32" s="15">
        <f ca="1">IFERROR(__xludf.DUMMYFUNCTION("IFERROR(VLOOKUP($B$2,IMPORTRANGE(""https://docs.google.com/spreadsheets/d/1KiWZV1ko8G7lnRucBRBd29jj3Be6ltMfljMDqzOkQmI/edit#gid=1381463014"",""Lookup!A:D""),4,FALSE),"""")"),248)</f>
        <v>248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248 At Factory 50-75 days from Earliest Arrival")</f>
        <v>No Transit, But 248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0.25713843749999998</v>
      </c>
      <c r="AD32" s="40">
        <f t="shared" si="12"/>
        <v>-1.0645531312499998</v>
      </c>
      <c r="AE32" s="26">
        <v>-7.18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6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Silver and Black")</f>
        <v>Corn Filled Cornhole Bags - Set of 8 Bean Bags for Corn Hole Game - Silver and Black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Info!B1:BJ7000""),2,FALSE),"""")"),"B07H5RS3VG")</f>
        <v>B07H5RS3VG</v>
      </c>
      <c r="B2" s="47" t="s">
        <v>365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15.476313239705883</v>
      </c>
      <c r="D3" s="5">
        <f>SUM(D4:D99765)</f>
        <v>0</v>
      </c>
      <c r="E3" s="5"/>
      <c r="F3" s="6">
        <f t="shared" ref="F3:G3" si="0">SUM(F4:F99765)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SUM(J4:J99765)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SUM(AD4:AD99765)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-5.5571024358974359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56</v>
      </c>
      <c r="V5" s="38" t="s">
        <v>56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 t="s">
        <v>257</v>
      </c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56</v>
      </c>
      <c r="V6" s="38" t="s">
        <v>63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56</v>
      </c>
      <c r="V7" s="38" t="s">
        <v>63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56</v>
      </c>
      <c r="V11" s="38" t="s">
        <v>56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56</v>
      </c>
      <c r="V12" s="38" t="s">
        <v>56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56</v>
      </c>
      <c r="V13" s="38" t="s">
        <v>56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56</v>
      </c>
      <c r="V14" s="38" t="s">
        <v>56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56</v>
      </c>
      <c r="V15" s="38" t="s">
        <v>56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56</v>
      </c>
      <c r="V16" s="38" t="s">
        <v>56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-6.196205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56</v>
      </c>
      <c r="V17" s="38" t="s">
        <v>56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-6.196205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56</v>
      </c>
      <c r="V18" s="38" t="s">
        <v>56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-6.196205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56</v>
      </c>
      <c r="V19" s="38" t="s">
        <v>56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56</v>
      </c>
      <c r="V20" s="38" t="s">
        <v>56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56</v>
      </c>
      <c r="V21" s="38" t="s">
        <v>56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56</v>
      </c>
      <c r="V22" s="38" t="s">
        <v>56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56</v>
      </c>
      <c r="V23" s="38" t="s">
        <v>56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56</v>
      </c>
      <c r="V24" s="38" t="s">
        <v>56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28">
        <v>0.21481481481481485</v>
      </c>
      <c r="AD24" s="40">
        <f t="shared" si="12"/>
        <v>0</v>
      </c>
      <c r="AE24" s="26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0.21481481481481485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0</v>
      </c>
      <c r="U26" s="23" t="s">
        <v>56</v>
      </c>
      <c r="V26" s="1" t="s">
        <v>56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0.21481481481481485</v>
      </c>
      <c r="AD26" s="40">
        <f t="shared" si="12"/>
        <v>0</v>
      </c>
      <c r="AE26" s="26">
        <v>-7.32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15">
        <v>0</v>
      </c>
      <c r="U27" s="23" t="s">
        <v>56</v>
      </c>
      <c r="V27" s="1" t="s">
        <v>56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0.21481481481481485</v>
      </c>
      <c r="AD27" s="40">
        <f t="shared" si="12"/>
        <v>0</v>
      </c>
      <c r="AE27" s="26">
        <v>-7.32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>
        <v>0</v>
      </c>
      <c r="U28" s="23" t="s">
        <v>56</v>
      </c>
      <c r="V28" s="1" t="s">
        <v>56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0.21481481481481485</v>
      </c>
      <c r="AD28" s="40">
        <f t="shared" si="12"/>
        <v>0</v>
      </c>
      <c r="AE28" s="26">
        <v>-7.32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0</v>
      </c>
      <c r="U29" s="23" t="s">
        <v>56</v>
      </c>
      <c r="V29" s="1" t="s">
        <v>56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0.21481481481481485</v>
      </c>
      <c r="AD29" s="40">
        <f t="shared" si="12"/>
        <v>0</v>
      </c>
      <c r="AE29" s="26">
        <v>-7.32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0.21481481481481485</v>
      </c>
      <c r="AD30" s="40">
        <f t="shared" si="12"/>
        <v>0</v>
      </c>
      <c r="AE30" s="26">
        <v>-7.32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56</v>
      </c>
      <c r="U31" s="23" t="s">
        <v>56</v>
      </c>
      <c r="V31" s="1" t="s">
        <v>56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0.21481481481481485</v>
      </c>
      <c r="AD31" s="40">
        <f t="shared" si="12"/>
        <v>0</v>
      </c>
      <c r="AE31" s="44">
        <v>-7.32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0.21481481481481485</v>
      </c>
      <c r="AD32" s="40">
        <f t="shared" si="12"/>
        <v>0</v>
      </c>
      <c r="AE32" s="26">
        <v>-7.32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61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Silver and Black")</f>
        <v>Corn Filled Cornhole Bags - Set of 8 Bean Bags for Corn Hole Game - Regulation Size &amp; Weight - Silver and Black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Info!B1:BJ7000""),2,FALSE),"""")"),"B087YYHKD5")</f>
        <v>B087YYHKD5</v>
      </c>
      <c r="B2" s="47" t="s">
        <v>366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16.374136769117648</v>
      </c>
      <c r="D3" s="5">
        <f>SUM(D4:D99765)</f>
        <v>73</v>
      </c>
      <c r="E3" s="5"/>
      <c r="F3" s="6">
        <f t="shared" ref="F3:G3" si="0">SUM(F4:F99765)</f>
        <v>1322</v>
      </c>
      <c r="G3" s="6">
        <f t="shared" si="0"/>
        <v>-29.07</v>
      </c>
      <c r="H3" s="7">
        <f t="shared" ref="H3:H32" si="1">G3/F3*-1</f>
        <v>2.1989409984871408E-2</v>
      </c>
      <c r="I3" s="8">
        <f t="shared" ref="I3:I32" si="2">J3/F3</f>
        <v>5.1179198365690994E-2</v>
      </c>
      <c r="J3" s="6">
        <f>SUM(J4:J99765)</f>
        <v>67.658900239443497</v>
      </c>
      <c r="K3" s="6">
        <f t="shared" ref="K3:K32" si="3">J3/D3</f>
        <v>0.92683424985539042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2 - April
3 - May
3.5 - June
2.5 - July
2.5 - Aug
0.5 - Sept
0.5 - Oct
0 - Nov
0 - Dec
0.5 - Jan
0.5 - Feb")</f>
        <v>0.5 - March
2 - April
3 - May
3.5 - June
2.5 - July
2.5 - Aug
0.5 - Sept
0.5 - Oct
0 - Nov
0 -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4</v>
      </c>
      <c r="X3" s="7">
        <f>W3/D3</f>
        <v>5.4794520547945202E-2</v>
      </c>
      <c r="Y3" s="6"/>
      <c r="Z3" s="5"/>
      <c r="AA3" s="5"/>
      <c r="AB3" s="5"/>
      <c r="AC3" s="5"/>
      <c r="AD3" s="6">
        <f>SUM(AD4:AD99765)</f>
        <v>-30.864665413184632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367</v>
      </c>
      <c r="C4" s="16">
        <f t="shared" ref="C4:C32" si="4">IFERROR(F4/D4," - ")</f>
        <v>18.989999999999998</v>
      </c>
      <c r="D4" s="17">
        <v>2</v>
      </c>
      <c r="E4" s="17">
        <v>0</v>
      </c>
      <c r="F4" s="18">
        <v>37.979999999999997</v>
      </c>
      <c r="G4" s="18">
        <v>0</v>
      </c>
      <c r="H4" s="19">
        <f t="shared" si="1"/>
        <v>0</v>
      </c>
      <c r="I4" s="19">
        <f t="shared" si="2"/>
        <v>0.14963809805261863</v>
      </c>
      <c r="J4" s="18">
        <f t="shared" ref="J4:J32" si="5">F4*0.85+G4+AF4*D4+D4*AE4+AG4+AD4</f>
        <v>5.6832549640384551</v>
      </c>
      <c r="K4" s="18">
        <f t="shared" si="3"/>
        <v>2.8416274820192275</v>
      </c>
      <c r="L4" s="17">
        <v>4</v>
      </c>
      <c r="M4" s="20">
        <f t="shared" ref="M4:M32" si="6">IFERROR(D4/L4,"-")</f>
        <v>0.5</v>
      </c>
      <c r="N4" s="17">
        <v>44</v>
      </c>
      <c r="O4" s="21">
        <f t="shared" ref="O4:P4" si="7">D4/7</f>
        <v>0.2857142857142857</v>
      </c>
      <c r="P4" s="21">
        <f t="shared" si="7"/>
        <v>0</v>
      </c>
      <c r="Q4" s="17">
        <f t="shared" ref="Q4:Q32" si="8">ROUNDDOWN(N4/(O4+P4),0)</f>
        <v>154</v>
      </c>
      <c r="R4" s="17"/>
      <c r="S4" s="22">
        <v>1.37777777777777</v>
      </c>
      <c r="T4" s="15">
        <v>320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0.30635513194444453</v>
      </c>
      <c r="AD4" s="26">
        <f t="shared" ref="AD4:AD32" si="12">IFERROR(AB4*AC4*D4*2,0)</f>
        <v>-0.84554016416666677</v>
      </c>
      <c r="AE4" s="26">
        <v>-7.32</v>
      </c>
      <c r="AF4" s="26">
        <v>-5.5571024358974359</v>
      </c>
      <c r="AG4" s="26">
        <v>0</v>
      </c>
    </row>
    <row r="5" spans="1:33" ht="15.75" customHeight="1" x14ac:dyDescent="0.2">
      <c r="A5" s="29" t="s">
        <v>33</v>
      </c>
      <c r="B5" s="29" t="s">
        <v>301</v>
      </c>
      <c r="C5" s="16">
        <f t="shared" si="4"/>
        <v>18.569999999999997</v>
      </c>
      <c r="D5" s="30">
        <v>5</v>
      </c>
      <c r="E5" s="30">
        <v>0</v>
      </c>
      <c r="F5" s="31">
        <v>92.84999999999998</v>
      </c>
      <c r="G5" s="31">
        <v>0</v>
      </c>
      <c r="H5" s="32">
        <f t="shared" si="1"/>
        <v>0</v>
      </c>
      <c r="I5" s="32">
        <f t="shared" si="2"/>
        <v>0.13377154538497413</v>
      </c>
      <c r="J5" s="33">
        <f t="shared" si="5"/>
        <v>12.420687988994846</v>
      </c>
      <c r="K5" s="33">
        <f t="shared" si="3"/>
        <v>2.484137597798969</v>
      </c>
      <c r="L5" s="30">
        <v>10</v>
      </c>
      <c r="M5" s="34">
        <f t="shared" si="6"/>
        <v>0.5</v>
      </c>
      <c r="N5" s="30">
        <v>39</v>
      </c>
      <c r="O5" s="35">
        <f t="shared" ref="O5:P5" si="13">D5/7</f>
        <v>0.7142857142857143</v>
      </c>
      <c r="P5" s="35">
        <f t="shared" si="13"/>
        <v>0</v>
      </c>
      <c r="Q5" s="30">
        <f t="shared" si="8"/>
        <v>54</v>
      </c>
      <c r="R5" s="30"/>
      <c r="S5" s="36">
        <v>1.2523364485981301</v>
      </c>
      <c r="T5" s="29">
        <v>460</v>
      </c>
      <c r="U5" s="37">
        <v>140</v>
      </c>
      <c r="V5" s="38" t="s">
        <v>110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58</v>
      </c>
      <c r="AB5" s="41">
        <f t="shared" si="11"/>
        <v>-0.69</v>
      </c>
      <c r="AC5" s="42">
        <v>0.30671012050984942</v>
      </c>
      <c r="AD5" s="40">
        <f t="shared" si="12"/>
        <v>-2.1162998315179609</v>
      </c>
      <c r="AE5" s="40">
        <v>-7.32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 t="s">
        <v>127</v>
      </c>
      <c r="C6" s="16">
        <f t="shared" si="4"/>
        <v>16.989999999999998</v>
      </c>
      <c r="D6" s="30">
        <v>4</v>
      </c>
      <c r="E6" s="30">
        <v>0</v>
      </c>
      <c r="F6" s="31">
        <v>67.959999999999994</v>
      </c>
      <c r="G6" s="31">
        <v>0</v>
      </c>
      <c r="H6" s="32">
        <f t="shared" si="1"/>
        <v>0</v>
      </c>
      <c r="I6" s="32">
        <f t="shared" si="2"/>
        <v>6.7194083697423676E-2</v>
      </c>
      <c r="J6" s="33">
        <f t="shared" si="5"/>
        <v>4.566509928076913</v>
      </c>
      <c r="K6" s="33">
        <f t="shared" si="3"/>
        <v>1.1416274820192283</v>
      </c>
      <c r="L6" s="30">
        <v>16</v>
      </c>
      <c r="M6" s="34">
        <f t="shared" si="6"/>
        <v>0.25</v>
      </c>
      <c r="N6" s="30">
        <v>36</v>
      </c>
      <c r="O6" s="35">
        <f t="shared" ref="O6:P6" si="14">D6/7</f>
        <v>0.5714285714285714</v>
      </c>
      <c r="P6" s="35">
        <f t="shared" si="14"/>
        <v>0</v>
      </c>
      <c r="Q6" s="30">
        <f t="shared" si="8"/>
        <v>63</v>
      </c>
      <c r="R6" s="30"/>
      <c r="S6" s="36">
        <v>1.3333333333333299</v>
      </c>
      <c r="T6" s="29">
        <v>460</v>
      </c>
      <c r="U6" s="37">
        <v>140</v>
      </c>
      <c r="V6" s="38" t="s">
        <v>111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58</v>
      </c>
      <c r="AB6" s="41">
        <f t="shared" si="11"/>
        <v>-0.69</v>
      </c>
      <c r="AC6" s="42">
        <v>0.30635513194444453</v>
      </c>
      <c r="AD6" s="40">
        <f t="shared" si="12"/>
        <v>-1.6910803283333335</v>
      </c>
      <c r="AE6" s="40">
        <v>-7.32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 t="s">
        <v>127</v>
      </c>
      <c r="C7" s="16">
        <f t="shared" si="4"/>
        <v>18.989999999999998</v>
      </c>
      <c r="D7" s="30">
        <v>2</v>
      </c>
      <c r="E7" s="30">
        <v>0</v>
      </c>
      <c r="F7" s="31">
        <v>37.979999999999997</v>
      </c>
      <c r="G7" s="31">
        <v>0</v>
      </c>
      <c r="H7" s="32">
        <f t="shared" si="1"/>
        <v>0</v>
      </c>
      <c r="I7" s="32">
        <f t="shared" si="2"/>
        <v>0.14963809805261863</v>
      </c>
      <c r="J7" s="33">
        <f t="shared" si="5"/>
        <v>5.6832549640384551</v>
      </c>
      <c r="K7" s="33">
        <f t="shared" si="3"/>
        <v>2.8416274820192275</v>
      </c>
      <c r="L7" s="30">
        <v>8</v>
      </c>
      <c r="M7" s="34">
        <f t="shared" si="6"/>
        <v>0.25</v>
      </c>
      <c r="N7" s="30">
        <v>35</v>
      </c>
      <c r="O7" s="35">
        <f t="shared" ref="O7:P7" si="15">D7/7</f>
        <v>0.2857142857142857</v>
      </c>
      <c r="P7" s="35">
        <f t="shared" si="15"/>
        <v>0</v>
      </c>
      <c r="Q7" s="30">
        <f t="shared" si="8"/>
        <v>122</v>
      </c>
      <c r="R7" s="30"/>
      <c r="S7" s="36">
        <v>1.4179894179894099</v>
      </c>
      <c r="T7" s="29">
        <v>460</v>
      </c>
      <c r="U7" s="37">
        <v>140</v>
      </c>
      <c r="V7" s="38" t="s">
        <v>112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58</v>
      </c>
      <c r="AB7" s="41">
        <f t="shared" si="11"/>
        <v>-0.69</v>
      </c>
      <c r="AC7" s="42">
        <v>0.30635513194444453</v>
      </c>
      <c r="AD7" s="40">
        <f t="shared" si="12"/>
        <v>-0.84554016416666677</v>
      </c>
      <c r="AE7" s="40">
        <v>-7.32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 t="s">
        <v>127</v>
      </c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34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>
        <v>1.23364485981308</v>
      </c>
      <c r="T8" s="29">
        <v>320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58</v>
      </c>
      <c r="AB8" s="41">
        <f t="shared" si="11"/>
        <v>-0.69</v>
      </c>
      <c r="AC8" s="42">
        <v>0.30635513194444453</v>
      </c>
      <c r="AD8" s="40">
        <f t="shared" si="12"/>
        <v>0</v>
      </c>
      <c r="AE8" s="40">
        <v>-7.32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 t="s">
        <v>127</v>
      </c>
      <c r="C9" s="16">
        <f t="shared" si="4"/>
        <v>17.11</v>
      </c>
      <c r="D9" s="30">
        <v>1</v>
      </c>
      <c r="E9" s="30">
        <v>0</v>
      </c>
      <c r="F9" s="31">
        <v>17.11</v>
      </c>
      <c r="G9" s="31">
        <v>0</v>
      </c>
      <c r="H9" s="32">
        <f t="shared" si="1"/>
        <v>0</v>
      </c>
      <c r="I9" s="32">
        <f t="shared" si="2"/>
        <v>5.2041049317013824E-2</v>
      </c>
      <c r="J9" s="33">
        <f t="shared" si="5"/>
        <v>0.8904223538141065</v>
      </c>
      <c r="K9" s="33">
        <f t="shared" si="3"/>
        <v>0.8904223538141065</v>
      </c>
      <c r="L9" s="30">
        <v>6</v>
      </c>
      <c r="M9" s="34">
        <f t="shared" si="6"/>
        <v>0.16666666666666666</v>
      </c>
      <c r="N9" s="30">
        <v>33</v>
      </c>
      <c r="O9" s="35">
        <f t="shared" ref="O9:P9" si="17">D9/7</f>
        <v>0.14285714285714285</v>
      </c>
      <c r="P9" s="35">
        <f t="shared" si="17"/>
        <v>0</v>
      </c>
      <c r="Q9" s="30">
        <f t="shared" si="8"/>
        <v>231</v>
      </c>
      <c r="R9" s="30"/>
      <c r="S9" s="36">
        <v>1.3265306122448901</v>
      </c>
      <c r="T9" s="29">
        <v>320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58</v>
      </c>
      <c r="AB9" s="41">
        <f t="shared" si="11"/>
        <v>-0.69</v>
      </c>
      <c r="AC9" s="42">
        <v>0.30635513194444453</v>
      </c>
      <c r="AD9" s="40">
        <f t="shared" si="12"/>
        <v>-0.42277008208333339</v>
      </c>
      <c r="AE9" s="40">
        <v>-7.32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 t="s">
        <v>368</v>
      </c>
      <c r="C10" s="16">
        <f t="shared" si="4"/>
        <v>15.545000000000002</v>
      </c>
      <c r="D10" s="30">
        <v>2</v>
      </c>
      <c r="E10" s="30">
        <v>0</v>
      </c>
      <c r="F10" s="31">
        <v>31.090000000000003</v>
      </c>
      <c r="G10" s="31">
        <v>0</v>
      </c>
      <c r="H10" s="32">
        <f t="shared" si="1"/>
        <v>0</v>
      </c>
      <c r="I10" s="32">
        <f t="shared" si="2"/>
        <v>-2.8293833784875714E-2</v>
      </c>
      <c r="J10" s="33">
        <f t="shared" si="5"/>
        <v>-0.87965529237178608</v>
      </c>
      <c r="K10" s="33">
        <f t="shared" si="3"/>
        <v>-0.43982764618589304</v>
      </c>
      <c r="L10" s="30">
        <v>8</v>
      </c>
      <c r="M10" s="34">
        <f t="shared" si="6"/>
        <v>0.25</v>
      </c>
      <c r="N10" s="30">
        <v>31</v>
      </c>
      <c r="O10" s="35">
        <f t="shared" ref="O10:P10" si="18">D10/7</f>
        <v>0.2857142857142857</v>
      </c>
      <c r="P10" s="35">
        <f t="shared" si="18"/>
        <v>0</v>
      </c>
      <c r="Q10" s="30">
        <f t="shared" si="8"/>
        <v>108</v>
      </c>
      <c r="R10" s="30"/>
      <c r="S10" s="36">
        <v>1.4301675977653601</v>
      </c>
      <c r="T10" s="29">
        <v>320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58</v>
      </c>
      <c r="AB10" s="41">
        <f t="shared" si="11"/>
        <v>-0.69</v>
      </c>
      <c r="AC10" s="42">
        <v>0.30635513194444453</v>
      </c>
      <c r="AD10" s="40">
        <f t="shared" si="12"/>
        <v>-0.84554016416666677</v>
      </c>
      <c r="AE10" s="40">
        <v>-7.32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 t="s">
        <v>334</v>
      </c>
      <c r="C11" s="16">
        <f t="shared" si="4"/>
        <v>17.106666666666666</v>
      </c>
      <c r="D11" s="30">
        <v>6</v>
      </c>
      <c r="E11" s="30">
        <v>6</v>
      </c>
      <c r="F11" s="31">
        <v>102.63999999999999</v>
      </c>
      <c r="G11" s="31">
        <v>0</v>
      </c>
      <c r="H11" s="32">
        <f t="shared" si="1"/>
        <v>0</v>
      </c>
      <c r="I11" s="32">
        <f t="shared" si="2"/>
        <v>5.1885562381962444E-2</v>
      </c>
      <c r="J11" s="33">
        <f t="shared" si="5"/>
        <v>5.3255341228846245</v>
      </c>
      <c r="K11" s="33">
        <f t="shared" si="3"/>
        <v>0.88758902048077071</v>
      </c>
      <c r="L11" s="30">
        <v>12</v>
      </c>
      <c r="M11" s="34">
        <f t="shared" si="6"/>
        <v>0.5</v>
      </c>
      <c r="N11" s="30">
        <v>23</v>
      </c>
      <c r="O11" s="35">
        <f t="shared" ref="O11:P11" si="19">D11/7</f>
        <v>0.8571428571428571</v>
      </c>
      <c r="P11" s="35">
        <f t="shared" si="19"/>
        <v>0.8571428571428571</v>
      </c>
      <c r="Q11" s="30">
        <f t="shared" si="8"/>
        <v>13</v>
      </c>
      <c r="R11" s="30"/>
      <c r="S11" s="36">
        <v>1.7834394904458599</v>
      </c>
      <c r="T11" s="29">
        <v>608</v>
      </c>
      <c r="U11" s="37">
        <v>140</v>
      </c>
      <c r="V11" s="38" t="s">
        <v>369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58</v>
      </c>
      <c r="AB11" s="41">
        <f t="shared" si="11"/>
        <v>-0.69</v>
      </c>
      <c r="AC11" s="42">
        <v>0.30635513194444453</v>
      </c>
      <c r="AD11" s="40">
        <f t="shared" si="12"/>
        <v>-2.5366204925000004</v>
      </c>
      <c r="AE11" s="40">
        <v>-7.32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 t="s">
        <v>370</v>
      </c>
      <c r="C12" s="16">
        <f t="shared" si="4"/>
        <v>17.989999999999998</v>
      </c>
      <c r="D12" s="30">
        <v>1</v>
      </c>
      <c r="E12" s="30">
        <v>0</v>
      </c>
      <c r="F12" s="31">
        <v>17.989999999999998</v>
      </c>
      <c r="G12" s="31">
        <v>0</v>
      </c>
      <c r="H12" s="32">
        <f t="shared" si="1"/>
        <v>0</v>
      </c>
      <c r="I12" s="32">
        <f t="shared" si="2"/>
        <v>8.6228063737332619E-2</v>
      </c>
      <c r="J12" s="33">
        <f t="shared" si="5"/>
        <v>1.5512428666346136</v>
      </c>
      <c r="K12" s="33">
        <f t="shared" si="3"/>
        <v>1.5512428666346136</v>
      </c>
      <c r="L12" s="30">
        <v>2</v>
      </c>
      <c r="M12" s="34">
        <f t="shared" si="6"/>
        <v>0.5</v>
      </c>
      <c r="N12" s="30">
        <v>22</v>
      </c>
      <c r="O12" s="35">
        <f t="shared" ref="O12:P12" si="20">D12/7</f>
        <v>0.14285714285714285</v>
      </c>
      <c r="P12" s="35">
        <f t="shared" si="20"/>
        <v>0</v>
      </c>
      <c r="Q12" s="30">
        <f t="shared" si="8"/>
        <v>154</v>
      </c>
      <c r="R12" s="30"/>
      <c r="S12" s="36">
        <v>1.31111111111111</v>
      </c>
      <c r="T12" s="29">
        <v>288</v>
      </c>
      <c r="U12" s="37">
        <v>140</v>
      </c>
      <c r="V12" s="38" t="s">
        <v>371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58</v>
      </c>
      <c r="AB12" s="41">
        <f t="shared" si="11"/>
        <v>-0.69</v>
      </c>
      <c r="AC12" s="42">
        <v>0.30635513194444453</v>
      </c>
      <c r="AD12" s="40">
        <f t="shared" si="12"/>
        <v>-0.42277008208333339</v>
      </c>
      <c r="AE12" s="40">
        <v>-7.32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 t="s">
        <v>372</v>
      </c>
      <c r="C13" s="16">
        <f t="shared" si="4"/>
        <v>18.017142857142854</v>
      </c>
      <c r="D13" s="30">
        <v>7</v>
      </c>
      <c r="E13" s="30">
        <v>0</v>
      </c>
      <c r="F13" s="33">
        <v>126.11999999999998</v>
      </c>
      <c r="G13" s="31">
        <v>-26.91</v>
      </c>
      <c r="H13" s="32">
        <f t="shared" si="1"/>
        <v>0.21336822074215037</v>
      </c>
      <c r="I13" s="32">
        <f t="shared" si="2"/>
        <v>-0.13701891511721656</v>
      </c>
      <c r="J13" s="33">
        <f t="shared" si="5"/>
        <v>-17.28082557458335</v>
      </c>
      <c r="K13" s="33">
        <f t="shared" si="3"/>
        <v>-2.4686893677976216</v>
      </c>
      <c r="L13" s="30">
        <v>14</v>
      </c>
      <c r="M13" s="34">
        <f t="shared" si="6"/>
        <v>0.5</v>
      </c>
      <c r="N13" s="30">
        <v>15</v>
      </c>
      <c r="O13" s="35">
        <f t="shared" ref="O13:P13" si="21">D13/7</f>
        <v>1</v>
      </c>
      <c r="P13" s="35">
        <f t="shared" si="21"/>
        <v>0</v>
      </c>
      <c r="Q13" s="30">
        <f t="shared" si="8"/>
        <v>15</v>
      </c>
      <c r="R13" s="30"/>
      <c r="S13" s="36">
        <v>1.24855491329479</v>
      </c>
      <c r="T13" s="29">
        <v>288</v>
      </c>
      <c r="U13" s="37">
        <v>140</v>
      </c>
      <c r="V13" s="38" t="s">
        <v>373</v>
      </c>
      <c r="W13" s="29">
        <v>4</v>
      </c>
      <c r="X13" s="39">
        <f t="shared" si="9"/>
        <v>0.5714285714285714</v>
      </c>
      <c r="Y13" s="40">
        <f t="shared" si="10"/>
        <v>6.7275</v>
      </c>
      <c r="Z13" s="29">
        <v>0</v>
      </c>
      <c r="AA13" s="29" t="s">
        <v>58</v>
      </c>
      <c r="AB13" s="41">
        <f t="shared" si="11"/>
        <v>-0.69</v>
      </c>
      <c r="AC13" s="42">
        <v>0.30635513194444453</v>
      </c>
      <c r="AD13" s="40">
        <f t="shared" si="12"/>
        <v>-2.9593905745833338</v>
      </c>
      <c r="AE13" s="40">
        <v>-7.32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 t="s">
        <v>96</v>
      </c>
      <c r="C14" s="16">
        <f t="shared" si="4"/>
        <v>16.387272727272727</v>
      </c>
      <c r="D14" s="30">
        <v>11</v>
      </c>
      <c r="E14" s="30">
        <v>0</v>
      </c>
      <c r="F14" s="33">
        <v>180.26</v>
      </c>
      <c r="G14" s="31">
        <v>-2.16</v>
      </c>
      <c r="H14" s="32">
        <f t="shared" si="1"/>
        <v>1.1982691667591258E-2</v>
      </c>
      <c r="I14" s="32">
        <f t="shared" si="2"/>
        <v>-1.2580305685768865E-2</v>
      </c>
      <c r="J14" s="33">
        <f t="shared" si="5"/>
        <v>-2.2677259029166956</v>
      </c>
      <c r="K14" s="33">
        <f t="shared" si="3"/>
        <v>-0.20615690026515415</v>
      </c>
      <c r="L14" s="30">
        <v>19</v>
      </c>
      <c r="M14" s="34">
        <f t="shared" si="6"/>
        <v>0.57894736842105265</v>
      </c>
      <c r="N14" s="30">
        <v>8</v>
      </c>
      <c r="O14" s="35">
        <f t="shared" ref="O14:P14" si="22">D14/7</f>
        <v>1.5714285714285714</v>
      </c>
      <c r="P14" s="35">
        <f t="shared" si="22"/>
        <v>0</v>
      </c>
      <c r="Q14" s="30">
        <f t="shared" si="8"/>
        <v>5</v>
      </c>
      <c r="R14" s="30"/>
      <c r="S14" s="36">
        <v>1.5939849624060101</v>
      </c>
      <c r="T14" s="29">
        <v>288</v>
      </c>
      <c r="U14" s="37">
        <v>140</v>
      </c>
      <c r="V14" s="38" t="s">
        <v>374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58</v>
      </c>
      <c r="AB14" s="41">
        <f t="shared" si="11"/>
        <v>-0.69</v>
      </c>
      <c r="AC14" s="42">
        <v>0.30635513194444453</v>
      </c>
      <c r="AD14" s="40">
        <f t="shared" si="12"/>
        <v>-4.6504709029166671</v>
      </c>
      <c r="AE14" s="40">
        <v>-7.32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 t="s">
        <v>179</v>
      </c>
      <c r="C15" s="16">
        <f t="shared" si="4"/>
        <v>17.989999999999998</v>
      </c>
      <c r="D15" s="30">
        <v>5</v>
      </c>
      <c r="E15" s="30">
        <v>0</v>
      </c>
      <c r="F15" s="33">
        <v>89.949999999999989</v>
      </c>
      <c r="G15" s="31">
        <v>0</v>
      </c>
      <c r="H15" s="32">
        <f t="shared" si="1"/>
        <v>0</v>
      </c>
      <c r="I15" s="32">
        <f t="shared" si="2"/>
        <v>7.5182041018157994E-2</v>
      </c>
      <c r="J15" s="33">
        <f t="shared" si="5"/>
        <v>6.7626245895833108</v>
      </c>
      <c r="K15" s="33">
        <f t="shared" si="3"/>
        <v>1.3525249179166621</v>
      </c>
      <c r="L15" s="30">
        <v>10</v>
      </c>
      <c r="M15" s="34">
        <f t="shared" si="6"/>
        <v>0.5</v>
      </c>
      <c r="N15" s="30">
        <v>0</v>
      </c>
      <c r="O15" s="35">
        <f t="shared" ref="O15:P15" si="23">D15/7</f>
        <v>0.7142857142857143</v>
      </c>
      <c r="P15" s="35">
        <f t="shared" si="23"/>
        <v>0</v>
      </c>
      <c r="Q15" s="30">
        <f t="shared" si="8"/>
        <v>0</v>
      </c>
      <c r="R15" s="30"/>
      <c r="S15" s="36" t="e">
        <v>#N/A</v>
      </c>
      <c r="T15" s="29">
        <v>288</v>
      </c>
      <c r="U15" s="37">
        <v>140</v>
      </c>
      <c r="V15" s="38" t="s">
        <v>375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58</v>
      </c>
      <c r="AB15" s="41">
        <f t="shared" si="11"/>
        <v>-0.69</v>
      </c>
      <c r="AC15" s="42">
        <v>0.30635513194444453</v>
      </c>
      <c r="AD15" s="40">
        <f t="shared" si="12"/>
        <v>-2.1138504104166671</v>
      </c>
      <c r="AE15" s="40">
        <v>-7.32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288</v>
      </c>
      <c r="U16" s="37">
        <v>140</v>
      </c>
      <c r="V16" s="38" t="s">
        <v>375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-7.4806850000000003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288</v>
      </c>
      <c r="U17" s="37">
        <v>140</v>
      </c>
      <c r="V17" s="38" t="s">
        <v>375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-7.4806850000000003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492</v>
      </c>
      <c r="U18" s="37">
        <v>140</v>
      </c>
      <c r="V18" s="38" t="s">
        <v>376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-7.4806850000000003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492</v>
      </c>
      <c r="U19" s="37">
        <v>140</v>
      </c>
      <c r="V19" s="38" t="s">
        <v>377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-7.4806850000000003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492</v>
      </c>
      <c r="U20" s="37">
        <v>140</v>
      </c>
      <c r="V20" s="38" t="s">
        <v>377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-7.4806850000000003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492</v>
      </c>
      <c r="U21" s="37">
        <v>140</v>
      </c>
      <c r="V21" s="38" t="s">
        <v>378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-7.4806850000000003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492</v>
      </c>
      <c r="U22" s="37">
        <v>140</v>
      </c>
      <c r="V22" s="38" t="s">
        <v>379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-7.4806850000000003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492</v>
      </c>
      <c r="U23" s="37">
        <v>140</v>
      </c>
      <c r="V23" s="38" t="s">
        <v>380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-7.4806850000000003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492</v>
      </c>
      <c r="U24" s="37">
        <v>140</v>
      </c>
      <c r="V24" s="38" t="s">
        <v>381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42">
        <v>0.30635513194444453</v>
      </c>
      <c r="AD24" s="40">
        <f t="shared" si="12"/>
        <v>0</v>
      </c>
      <c r="AE24" s="40">
        <v>-7.32</v>
      </c>
      <c r="AF24" s="40">
        <v>-7.4806850000000003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0.30635513194444453</v>
      </c>
      <c r="AD25" s="40">
        <f t="shared" si="12"/>
        <v>0</v>
      </c>
      <c r="AE25" s="40">
        <v>-7.32</v>
      </c>
      <c r="AF25" s="40">
        <v>-7.48</v>
      </c>
      <c r="AG25" s="40">
        <v>0</v>
      </c>
    </row>
    <row r="26" spans="1:33" ht="15.75" customHeight="1" x14ac:dyDescent="0.2">
      <c r="A26" s="15" t="s">
        <v>54</v>
      </c>
      <c r="B26" s="15" t="s">
        <v>382</v>
      </c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140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0.41025641025641019</v>
      </c>
      <c r="T26" s="15">
        <v>352</v>
      </c>
      <c r="U26" s="23">
        <v>148</v>
      </c>
      <c r="V26" s="1" t="s">
        <v>383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0.30635513194444453</v>
      </c>
      <c r="AD26" s="40">
        <f t="shared" si="12"/>
        <v>0</v>
      </c>
      <c r="AE26" s="26">
        <v>-7.18</v>
      </c>
      <c r="AF26" s="26">
        <v>-7.4806850000000003</v>
      </c>
      <c r="AG26" s="26">
        <v>0</v>
      </c>
    </row>
    <row r="27" spans="1:33" ht="15.75" customHeight="1" x14ac:dyDescent="0.2">
      <c r="A27" s="15" t="s">
        <v>74</v>
      </c>
      <c r="B27" s="15" t="s">
        <v>96</v>
      </c>
      <c r="C27" s="16">
        <f t="shared" si="4"/>
        <v>19.989999999999998</v>
      </c>
      <c r="D27" s="17">
        <v>4</v>
      </c>
      <c r="E27" s="17">
        <v>1</v>
      </c>
      <c r="F27" s="18">
        <v>79.959999999999994</v>
      </c>
      <c r="G27" s="18">
        <v>0</v>
      </c>
      <c r="H27" s="32">
        <f t="shared" si="1"/>
        <v>0</v>
      </c>
      <c r="I27" s="32">
        <f t="shared" si="2"/>
        <v>9.5449970881273855E-2</v>
      </c>
      <c r="J27" s="33">
        <f t="shared" si="5"/>
        <v>7.6321796716666572</v>
      </c>
      <c r="K27" s="33">
        <f t="shared" si="3"/>
        <v>1.9080449179166643</v>
      </c>
      <c r="L27" s="17">
        <v>14</v>
      </c>
      <c r="M27" s="34">
        <f t="shared" si="6"/>
        <v>0.2857142857142857</v>
      </c>
      <c r="N27" s="17">
        <v>135</v>
      </c>
      <c r="O27" s="35">
        <f t="shared" ref="O27:P27" si="35">D27/7</f>
        <v>0.5714285714285714</v>
      </c>
      <c r="P27" s="35">
        <f t="shared" si="35"/>
        <v>0.14285714285714285</v>
      </c>
      <c r="Q27" s="30">
        <f t="shared" si="8"/>
        <v>189</v>
      </c>
      <c r="R27" s="30"/>
      <c r="S27" s="22">
        <v>0.24657534246575341</v>
      </c>
      <c r="T27" s="15">
        <v>352</v>
      </c>
      <c r="U27" s="23">
        <v>148</v>
      </c>
      <c r="V27" s="1" t="s">
        <v>383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0.30635513194444453</v>
      </c>
      <c r="AD27" s="40">
        <f t="shared" si="12"/>
        <v>-1.6910803283333335</v>
      </c>
      <c r="AE27" s="26">
        <v>-7.18</v>
      </c>
      <c r="AF27" s="26">
        <v>-7.4806850000000003</v>
      </c>
      <c r="AG27" s="26">
        <v>0</v>
      </c>
    </row>
    <row r="28" spans="1:33" ht="15.75" customHeight="1" x14ac:dyDescent="0.2">
      <c r="A28" s="15" t="s">
        <v>75</v>
      </c>
      <c r="B28" s="15" t="s">
        <v>96</v>
      </c>
      <c r="C28" s="16">
        <f t="shared" si="4"/>
        <v>19.989999999999998</v>
      </c>
      <c r="D28" s="17">
        <v>3</v>
      </c>
      <c r="E28" s="17">
        <v>0</v>
      </c>
      <c r="F28" s="18">
        <v>59.97</v>
      </c>
      <c r="G28" s="18">
        <v>0</v>
      </c>
      <c r="H28" s="32">
        <f t="shared" si="1"/>
        <v>0</v>
      </c>
      <c r="I28" s="32">
        <f t="shared" si="2"/>
        <v>9.5449970881273966E-2</v>
      </c>
      <c r="J28" s="33">
        <f t="shared" si="5"/>
        <v>5.7241347537499996</v>
      </c>
      <c r="K28" s="33">
        <f t="shared" si="3"/>
        <v>1.9080449179166665</v>
      </c>
      <c r="L28" s="17">
        <v>12</v>
      </c>
      <c r="M28" s="34">
        <f t="shared" si="6"/>
        <v>0.25</v>
      </c>
      <c r="N28" s="17">
        <v>88</v>
      </c>
      <c r="O28" s="35">
        <f t="shared" ref="O28:P28" si="36">D28/7</f>
        <v>0.42857142857142855</v>
      </c>
      <c r="P28" s="35">
        <f t="shared" si="36"/>
        <v>0</v>
      </c>
      <c r="Q28" s="30">
        <f t="shared" si="8"/>
        <v>205</v>
      </c>
      <c r="R28" s="30"/>
      <c r="S28" s="22">
        <v>0.23140495867768601</v>
      </c>
      <c r="T28" s="15">
        <v>352</v>
      </c>
      <c r="U28" s="23">
        <v>148</v>
      </c>
      <c r="V28" s="1" t="s">
        <v>383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0.30635513194444453</v>
      </c>
      <c r="AD28" s="40">
        <f t="shared" si="12"/>
        <v>-1.2683102462500002</v>
      </c>
      <c r="AE28" s="26">
        <v>-7.18</v>
      </c>
      <c r="AF28" s="26">
        <v>-7.4806850000000003</v>
      </c>
      <c r="AG28" s="26">
        <v>0</v>
      </c>
    </row>
    <row r="29" spans="1:33" ht="15.75" customHeight="1" x14ac:dyDescent="0.2">
      <c r="A29" s="15" t="s">
        <v>77</v>
      </c>
      <c r="B29" s="15" t="s">
        <v>96</v>
      </c>
      <c r="C29" s="16">
        <f t="shared" si="4"/>
        <v>19.989999999999998</v>
      </c>
      <c r="D29" s="17">
        <v>6</v>
      </c>
      <c r="E29" s="17">
        <v>0</v>
      </c>
      <c r="F29" s="18">
        <v>119.94</v>
      </c>
      <c r="G29" s="18">
        <v>0</v>
      </c>
      <c r="H29" s="32">
        <f t="shared" si="1"/>
        <v>0</v>
      </c>
      <c r="I29" s="32">
        <f t="shared" si="2"/>
        <v>9.5449970881273966E-2</v>
      </c>
      <c r="J29" s="33">
        <f t="shared" si="5"/>
        <v>11.448269507499999</v>
      </c>
      <c r="K29" s="33">
        <f t="shared" si="3"/>
        <v>1.9080449179166665</v>
      </c>
      <c r="L29" s="17">
        <v>9</v>
      </c>
      <c r="M29" s="34">
        <f t="shared" si="6"/>
        <v>0.66666666666666663</v>
      </c>
      <c r="N29" s="17">
        <v>120</v>
      </c>
      <c r="O29" s="35">
        <f t="shared" ref="O29:P29" si="37">D29/7</f>
        <v>0.8571428571428571</v>
      </c>
      <c r="P29" s="35">
        <f t="shared" si="37"/>
        <v>0</v>
      </c>
      <c r="Q29" s="30">
        <f t="shared" si="8"/>
        <v>140</v>
      </c>
      <c r="R29" s="30"/>
      <c r="S29" s="22">
        <v>0.40366972477064222</v>
      </c>
      <c r="T29" s="15">
        <v>352</v>
      </c>
      <c r="U29" s="23">
        <v>148</v>
      </c>
      <c r="V29" s="1" t="s">
        <v>384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0.30635513194444453</v>
      </c>
      <c r="AD29" s="40">
        <f t="shared" si="12"/>
        <v>-2.5366204925000004</v>
      </c>
      <c r="AE29" s="26">
        <v>-7.18</v>
      </c>
      <c r="AF29" s="26">
        <v>-7.4806850000000003</v>
      </c>
      <c r="AG29" s="26">
        <v>0</v>
      </c>
    </row>
    <row r="30" spans="1:33" ht="15.75" customHeight="1" x14ac:dyDescent="0.2">
      <c r="A30" s="15" t="s">
        <v>78</v>
      </c>
      <c r="B30" s="15" t="s">
        <v>385</v>
      </c>
      <c r="C30" s="16">
        <f t="shared" si="4"/>
        <v>14.9925</v>
      </c>
      <c r="D30" s="17">
        <v>4</v>
      </c>
      <c r="E30" s="17">
        <v>0</v>
      </c>
      <c r="F30" s="18">
        <v>59.97</v>
      </c>
      <c r="G30" s="18">
        <v>0</v>
      </c>
      <c r="H30" s="32">
        <f t="shared" si="1"/>
        <v>0</v>
      </c>
      <c r="I30" s="32">
        <f t="shared" si="2"/>
        <v>-0.10653068773275524</v>
      </c>
      <c r="J30" s="33">
        <f t="shared" si="5"/>
        <v>-6.3886453433333319</v>
      </c>
      <c r="K30" s="33">
        <f t="shared" si="3"/>
        <v>-1.597161335833333</v>
      </c>
      <c r="L30" s="17">
        <v>8</v>
      </c>
      <c r="M30" s="34">
        <f t="shared" si="6"/>
        <v>0.5</v>
      </c>
      <c r="N30" s="17">
        <v>114</v>
      </c>
      <c r="O30" s="35">
        <f t="shared" ref="O30:P30" si="38">D30/7</f>
        <v>0.5714285714285714</v>
      </c>
      <c r="P30" s="35">
        <f t="shared" si="38"/>
        <v>0</v>
      </c>
      <c r="Q30" s="30">
        <f t="shared" si="8"/>
        <v>199</v>
      </c>
      <c r="R30" s="30"/>
      <c r="S30" s="22">
        <v>0.55652173913043479</v>
      </c>
      <c r="T30" s="29">
        <v>352</v>
      </c>
      <c r="U30" s="37">
        <v>148</v>
      </c>
      <c r="V30" s="38" t="s">
        <v>384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0.30635513194444453</v>
      </c>
      <c r="AD30" s="40">
        <f t="shared" si="12"/>
        <v>-1.6910803283333335</v>
      </c>
      <c r="AE30" s="26">
        <v>-7.18</v>
      </c>
      <c r="AF30" s="26">
        <v>-6.7380162537499997</v>
      </c>
      <c r="AG30" s="26">
        <v>0</v>
      </c>
    </row>
    <row r="31" spans="1:33" ht="15.75" customHeight="1" x14ac:dyDescent="0.2">
      <c r="A31" s="15" t="s">
        <v>55</v>
      </c>
      <c r="B31" s="15" t="s">
        <v>386</v>
      </c>
      <c r="C31" s="16">
        <f t="shared" si="4"/>
        <v>20.03125</v>
      </c>
      <c r="D31" s="17">
        <v>8</v>
      </c>
      <c r="E31" s="17">
        <v>1</v>
      </c>
      <c r="F31" s="18">
        <v>160.25</v>
      </c>
      <c r="G31" s="43">
        <v>0</v>
      </c>
      <c r="H31" s="32">
        <f t="shared" si="1"/>
        <v>0</v>
      </c>
      <c r="I31" s="32">
        <f t="shared" si="2"/>
        <v>0.13407930928757153</v>
      </c>
      <c r="J31" s="33">
        <f t="shared" si="5"/>
        <v>21.486209313333337</v>
      </c>
      <c r="K31" s="33">
        <f t="shared" si="3"/>
        <v>2.6857761641666671</v>
      </c>
      <c r="L31" s="17">
        <v>15</v>
      </c>
      <c r="M31" s="34">
        <f t="shared" si="6"/>
        <v>0.53333333333333333</v>
      </c>
      <c r="N31" s="17">
        <v>105</v>
      </c>
      <c r="O31" s="35">
        <f t="shared" ref="O31:P31" si="39">D31/7</f>
        <v>1.1428571428571428</v>
      </c>
      <c r="P31" s="35">
        <f t="shared" si="39"/>
        <v>0.14285714285714285</v>
      </c>
      <c r="Q31" s="30">
        <f t="shared" si="8"/>
        <v>81</v>
      </c>
      <c r="R31" s="30"/>
      <c r="S31" s="22">
        <v>0.28346456692913302</v>
      </c>
      <c r="T31" s="15">
        <v>352</v>
      </c>
      <c r="U31" s="23">
        <v>148</v>
      </c>
      <c r="V31" s="1" t="s">
        <v>387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0.30635513194444453</v>
      </c>
      <c r="AD31" s="40">
        <f t="shared" si="12"/>
        <v>-3.3821606566666671</v>
      </c>
      <c r="AE31" s="44">
        <v>-7.18</v>
      </c>
      <c r="AF31" s="44">
        <v>-6.7380162537499997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19.989999999999998</v>
      </c>
      <c r="D32" s="17">
        <v>2</v>
      </c>
      <c r="E32" s="17">
        <v>0</v>
      </c>
      <c r="F32" s="18">
        <v>39.979999999999997</v>
      </c>
      <c r="G32" s="18">
        <v>0</v>
      </c>
      <c r="H32" s="32">
        <f t="shared" si="1"/>
        <v>0</v>
      </c>
      <c r="I32" s="32">
        <f t="shared" si="2"/>
        <v>0.13260198420043348</v>
      </c>
      <c r="J32" s="33">
        <f t="shared" si="5"/>
        <v>5.3014273283333297</v>
      </c>
      <c r="K32" s="33">
        <f t="shared" si="3"/>
        <v>2.6507136641666649</v>
      </c>
      <c r="L32" s="17">
        <v>5</v>
      </c>
      <c r="M32" s="34">
        <f t="shared" si="6"/>
        <v>0.4</v>
      </c>
      <c r="N32" s="17">
        <v>252</v>
      </c>
      <c r="O32" s="35">
        <f t="shared" ref="O32:P32" si="40">D32/7</f>
        <v>0.2857142857142857</v>
      </c>
      <c r="P32" s="35">
        <f t="shared" si="40"/>
        <v>0</v>
      </c>
      <c r="Q32" s="30">
        <f t="shared" si="8"/>
        <v>882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0.27979274611398958</v>
      </c>
      <c r="T32" s="15">
        <f ca="1">IFERROR(__xludf.DUMMYFUNCTION("IFERROR(VLOOKUP($B$2,IMPORTRANGE(""https://docs.google.com/spreadsheets/d/1KiWZV1ko8G7lnRucBRBd29jj3Be6ltMfljMDqzOkQmI/edit#gid=1381463014"",""Lookup!A:D""),4,FALSE),"""")"),352)</f>
        <v>352</v>
      </c>
      <c r="U32" s="23">
        <f ca="1">IFERROR(__xludf.DUMMYFUNCTION("IFERROR(VLOOKUP($B$2,IMPORTRANGE(""https://docs.google.com/spreadsheets/d/1KiWZV1ko8G7lnRucBRBd29jj3Be6ltMfljMDqzOkQmI/edit#gid=1381463014"",""Lookup!A:D""),3,FALSE),"""")"),148)</f>
        <v>148</v>
      </c>
      <c r="V32" s="1" t="str">
        <f ca="1">IFERROR(__xludf.DUMMYFUNCTION("IFERROR(VLOOKUP($B$2,IMPORTRANGE(""https://docs.google.com/spreadsheets/d/1KiWZV1ko8G7lnRucBRBd29jj3Be6ltMfljMDqzOkQmI/edit#gid=1381463014"",""Lookup!A:D""),2,FALSE),"""")"),"| 376-2  - 148 units 07/10")</f>
        <v>| 376-2  - 148 units 07/10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0.30635513194444453</v>
      </c>
      <c r="AD32" s="40">
        <f t="shared" si="12"/>
        <v>-0.84554016416666677</v>
      </c>
      <c r="AE32" s="26">
        <v>-7.18</v>
      </c>
      <c r="AF32" s="26">
        <v>-6.7380162537499997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1:33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1:33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1:33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1:33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1:33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1:33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1:33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1:33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1:33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1:33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1:33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1:33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1:33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1:33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84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Stars and Stripes")</f>
        <v>Corn Filled Cornhole Bags - Set of 8 Bean Bags for Corn Hole Game - Stars and Stripes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Info!B1:BJ7000""),2,FALSE),"""")"),"B07H5NS9M5")</f>
        <v>B07H5NS9M5</v>
      </c>
      <c r="B2" s="47" t="s">
        <v>388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15.476313239705883</v>
      </c>
      <c r="D3" s="5">
        <f>SUM(D4:D99765)</f>
        <v>0</v>
      </c>
      <c r="E3" s="5"/>
      <c r="F3" s="6">
        <f t="shared" ref="F3:G3" si="0">SUM(F4:F99765)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SUM(J4:J99765)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SUM(AD4:AD99765)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389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 t="s">
        <v>56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-5.8782224358974364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 t="s">
        <v>56</v>
      </c>
      <c r="U5" s="37" t="s">
        <v>56</v>
      </c>
      <c r="V5" s="38" t="s">
        <v>56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-5.8782224358974364</v>
      </c>
      <c r="AG5" s="40">
        <v>0</v>
      </c>
    </row>
    <row r="6" spans="1:33" ht="15.75" customHeight="1" x14ac:dyDescent="0.2">
      <c r="A6" s="29" t="s">
        <v>34</v>
      </c>
      <c r="B6" s="29" t="s">
        <v>257</v>
      </c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56</v>
      </c>
      <c r="V6" s="38" t="s">
        <v>63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-5.8782224358974364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56</v>
      </c>
      <c r="V7" s="38" t="s">
        <v>63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-5.8782224358974364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-5.88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-6.2314275641025603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-6.2314275641025603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56</v>
      </c>
      <c r="V11" s="38" t="s">
        <v>56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-6.2314275641025603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56</v>
      </c>
      <c r="V12" s="38" t="s">
        <v>56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-6.3186070512820498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56</v>
      </c>
      <c r="V13" s="38" t="s">
        <v>56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-6.5173249999999996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56</v>
      </c>
      <c r="V14" s="38" t="s">
        <v>56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-6.5173249999999996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56</v>
      </c>
      <c r="V15" s="38" t="s">
        <v>56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-6.5173249999999996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56</v>
      </c>
      <c r="V16" s="38" t="s">
        <v>56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-6.5173250000000005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56</v>
      </c>
      <c r="V17" s="38" t="s">
        <v>56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-6.5173249999999996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56</v>
      </c>
      <c r="V18" s="38" t="s">
        <v>56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-6.5173249999999996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56</v>
      </c>
      <c r="V19" s="38" t="s">
        <v>56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56</v>
      </c>
      <c r="V20" s="38" t="s">
        <v>56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56</v>
      </c>
      <c r="V21" s="38" t="s">
        <v>56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56</v>
      </c>
      <c r="V22" s="38" t="s">
        <v>56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56</v>
      </c>
      <c r="V23" s="38" t="s">
        <v>56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56</v>
      </c>
      <c r="V24" s="38" t="s">
        <v>56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58</v>
      </c>
      <c r="AB24" s="41">
        <f t="shared" si="11"/>
        <v>-0.69</v>
      </c>
      <c r="AC24" s="28">
        <v>0.23445138888888889</v>
      </c>
      <c r="AD24" s="40">
        <f t="shared" si="12"/>
        <v>0</v>
      </c>
      <c r="AE24" s="26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0.23445138888888889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0</v>
      </c>
      <c r="U26" s="23" t="s">
        <v>56</v>
      </c>
      <c r="V26" s="1" t="s">
        <v>56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0.23445138888888889</v>
      </c>
      <c r="AD26" s="40">
        <f t="shared" si="12"/>
        <v>0</v>
      </c>
      <c r="AE26" s="26">
        <v>-7.32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15">
        <v>0</v>
      </c>
      <c r="U27" s="23" t="s">
        <v>56</v>
      </c>
      <c r="V27" s="1" t="s">
        <v>56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0.23445138888888889</v>
      </c>
      <c r="AD27" s="40">
        <f t="shared" si="12"/>
        <v>0</v>
      </c>
      <c r="AE27" s="26">
        <v>-7.32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>
        <v>0</v>
      </c>
      <c r="U28" s="23" t="s">
        <v>56</v>
      </c>
      <c r="V28" s="1" t="s">
        <v>56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0.23445138888888889</v>
      </c>
      <c r="AD28" s="40">
        <f t="shared" si="12"/>
        <v>0</v>
      </c>
      <c r="AE28" s="26">
        <v>-7.32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0</v>
      </c>
      <c r="U29" s="23" t="s">
        <v>56</v>
      </c>
      <c r="V29" s="1" t="s">
        <v>56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0.23445138888888889</v>
      </c>
      <c r="AD29" s="40">
        <f t="shared" si="12"/>
        <v>0</v>
      </c>
      <c r="AE29" s="26">
        <v>-7.32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0.23445138888888889</v>
      </c>
      <c r="AD30" s="40">
        <f t="shared" si="12"/>
        <v>0</v>
      </c>
      <c r="AE30" s="26">
        <v>-7.32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56</v>
      </c>
      <c r="U31" s="23" t="s">
        <v>56</v>
      </c>
      <c r="V31" s="1" t="s">
        <v>56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0.23445138888888889</v>
      </c>
      <c r="AD31" s="40">
        <f t="shared" si="12"/>
        <v>0</v>
      </c>
      <c r="AE31" s="44">
        <v>-7.32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0.23445138888888889</v>
      </c>
      <c r="AD32" s="40">
        <f t="shared" si="12"/>
        <v>0</v>
      </c>
      <c r="AE32" s="26">
        <v>-7.32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Teal &amp; Orange")</f>
        <v>Corn Filled Cornhole Bags - Set of 8 Bean Bags for Corn Hole Game - Regulation Size &amp; Weight - Teal &amp; Orange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Info!B1:BJ7000""),2,FALSE),"""")"),"B07ZTQ9NFG")</f>
        <v>B07ZTQ9NFG</v>
      </c>
      <c r="B2" s="47" t="s">
        <v>390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16.729411764705883</v>
      </c>
      <c r="D3" s="5">
        <f>SUM(D4:D99765)</f>
        <v>2</v>
      </c>
      <c r="E3" s="5"/>
      <c r="F3" s="6">
        <f t="shared" ref="F3:G3" si="0">SUM(F4:F99765)</f>
        <v>47.98</v>
      </c>
      <c r="G3" s="6">
        <f t="shared" si="0"/>
        <v>0</v>
      </c>
      <c r="H3" s="7">
        <f>G3/F3*-1</f>
        <v>0</v>
      </c>
      <c r="I3" s="8">
        <f>J3/F3</f>
        <v>0.23899497480142173</v>
      </c>
      <c r="J3" s="6">
        <f>SUM(J4:J99765)</f>
        <v>11.466978890972214</v>
      </c>
      <c r="K3" s="6">
        <f>J3/D3</f>
        <v>5.7334894454861072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-0.87602110902777786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hidden="1" customHeight="1" x14ac:dyDescent="0.2">
      <c r="A4" s="15" t="s">
        <v>32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35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36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37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38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39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40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41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42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43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44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45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46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47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48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49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50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51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52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"/>
      <c r="AB24" s="41"/>
      <c r="AC24" s="28"/>
      <c r="AD24" s="40"/>
      <c r="AE24" s="26"/>
      <c r="AF24" s="40"/>
      <c r="AG24" s="40"/>
    </row>
    <row r="25" spans="1:33" ht="15.75" hidden="1" customHeight="1" x14ac:dyDescent="0.2">
      <c r="A25" s="29" t="s">
        <v>53</v>
      </c>
      <c r="B25" s="15"/>
      <c r="C25" s="16"/>
      <c r="D25" s="30"/>
      <c r="E25" s="30"/>
      <c r="F25" s="33"/>
      <c r="G25" s="33"/>
      <c r="H25" s="32"/>
      <c r="I25" s="32"/>
      <c r="J25" s="33"/>
      <c r="K25" s="33"/>
      <c r="L25" s="30"/>
      <c r="M25" s="34"/>
      <c r="N25" s="30"/>
      <c r="O25" s="35"/>
      <c r="P25" s="35"/>
      <c r="Q25" s="30"/>
      <c r="R25" s="30"/>
      <c r="S25" s="36"/>
      <c r="T25" s="15"/>
      <c r="U25" s="23"/>
      <c r="V25" s="1"/>
      <c r="W25" s="15"/>
      <c r="X25" s="39"/>
      <c r="Y25" s="40"/>
      <c r="Z25" s="15"/>
      <c r="AA25" s="29"/>
      <c r="AB25" s="41"/>
      <c r="AC25" s="42"/>
      <c r="AD25" s="40"/>
      <c r="AE25" s="40"/>
      <c r="AF25" s="40"/>
      <c r="AG25" s="40"/>
    </row>
    <row r="26" spans="1:33" ht="15.75" hidden="1" customHeight="1" x14ac:dyDescent="0.2">
      <c r="A26" s="15" t="s">
        <v>54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15"/>
      <c r="U26" s="23"/>
      <c r="V26" s="1"/>
      <c r="W26" s="15"/>
      <c r="X26" s="39"/>
      <c r="Y26" s="40"/>
      <c r="Z26" s="15"/>
      <c r="AA26" s="29"/>
      <c r="AB26" s="41"/>
      <c r="AC26" s="42"/>
      <c r="AD26" s="40"/>
      <c r="AE26" s="26"/>
      <c r="AF26" s="26"/>
      <c r="AG26" s="26"/>
    </row>
    <row r="27" spans="1:33" ht="15.75" hidden="1" customHeight="1" x14ac:dyDescent="0.2">
      <c r="A27" s="15" t="s">
        <v>74</v>
      </c>
      <c r="B27" s="15"/>
      <c r="C27" s="16"/>
      <c r="D27" s="17"/>
      <c r="E27" s="17"/>
      <c r="F27" s="18"/>
      <c r="G27" s="18"/>
      <c r="H27" s="32"/>
      <c r="I27" s="32"/>
      <c r="J27" s="33"/>
      <c r="K27" s="33"/>
      <c r="L27" s="17"/>
      <c r="M27" s="34"/>
      <c r="N27" s="17"/>
      <c r="O27" s="35"/>
      <c r="P27" s="35"/>
      <c r="Q27" s="30"/>
      <c r="R27" s="30"/>
      <c r="S27" s="22"/>
      <c r="T27" s="15"/>
      <c r="U27" s="23"/>
      <c r="V27" s="1"/>
      <c r="W27" s="15"/>
      <c r="X27" s="39"/>
      <c r="Y27" s="40"/>
      <c r="Z27" s="15"/>
      <c r="AA27" s="29"/>
      <c r="AB27" s="41"/>
      <c r="AC27" s="42"/>
      <c r="AD27" s="40"/>
      <c r="AE27" s="26"/>
      <c r="AF27" s="26"/>
      <c r="AG27" s="26"/>
    </row>
    <row r="28" spans="1:33" ht="15.75" hidden="1" customHeight="1" x14ac:dyDescent="0.2">
      <c r="A28" s="15" t="s">
        <v>75</v>
      </c>
      <c r="B28" s="15"/>
      <c r="C28" s="16"/>
      <c r="D28" s="17"/>
      <c r="E28" s="17"/>
      <c r="F28" s="18"/>
      <c r="G28" s="18"/>
      <c r="H28" s="32"/>
      <c r="I28" s="32"/>
      <c r="J28" s="33"/>
      <c r="K28" s="33"/>
      <c r="L28" s="17"/>
      <c r="M28" s="34"/>
      <c r="N28" s="17"/>
      <c r="O28" s="35"/>
      <c r="P28" s="35"/>
      <c r="Q28" s="30"/>
      <c r="R28" s="30"/>
      <c r="S28" s="22"/>
      <c r="T28" s="15"/>
      <c r="U28" s="23"/>
      <c r="V28" s="1"/>
      <c r="W28" s="15"/>
      <c r="X28" s="39"/>
      <c r="Y28" s="40"/>
      <c r="Z28" s="15"/>
      <c r="AA28" s="29"/>
      <c r="AB28" s="41"/>
      <c r="AC28" s="42"/>
      <c r="AD28" s="40"/>
      <c r="AE28" s="26"/>
      <c r="AF28" s="26"/>
      <c r="AG28" s="26"/>
    </row>
    <row r="29" spans="1:33" ht="15.75" hidden="1" customHeight="1" x14ac:dyDescent="0.2">
      <c r="A29" s="15" t="s">
        <v>77</v>
      </c>
      <c r="B29" s="15"/>
      <c r="C29" s="16"/>
      <c r="D29" s="17"/>
      <c r="E29" s="17"/>
      <c r="F29" s="18"/>
      <c r="G29" s="18"/>
      <c r="H29" s="32"/>
      <c r="I29" s="32"/>
      <c r="J29" s="33"/>
      <c r="K29" s="33"/>
      <c r="L29" s="17"/>
      <c r="M29" s="34"/>
      <c r="N29" s="17"/>
      <c r="O29" s="35"/>
      <c r="P29" s="35"/>
      <c r="Q29" s="30"/>
      <c r="R29" s="30"/>
      <c r="S29" s="22"/>
      <c r="T29" s="15"/>
      <c r="U29" s="23"/>
      <c r="V29" s="1"/>
      <c r="W29" s="15"/>
      <c r="X29" s="39"/>
      <c r="Y29" s="40"/>
      <c r="Z29" s="15"/>
      <c r="AA29" s="29"/>
      <c r="AB29" s="41"/>
      <c r="AC29" s="42"/>
      <c r="AD29" s="40"/>
      <c r="AE29" s="26"/>
      <c r="AF29" s="26"/>
      <c r="AG29" s="26"/>
    </row>
    <row r="30" spans="1:33" ht="15.75" hidden="1" customHeight="1" x14ac:dyDescent="0.2">
      <c r="A30" s="15" t="s">
        <v>78</v>
      </c>
      <c r="B30" s="48"/>
      <c r="C30" s="16"/>
      <c r="D30" s="17"/>
      <c r="E30" s="17"/>
      <c r="F30" s="18"/>
      <c r="G30" s="18"/>
      <c r="H30" s="32"/>
      <c r="I30" s="32"/>
      <c r="J30" s="33"/>
      <c r="K30" s="33"/>
      <c r="L30" s="17"/>
      <c r="M30" s="34"/>
      <c r="N30" s="17"/>
      <c r="O30" s="35"/>
      <c r="P30" s="35"/>
      <c r="Q30" s="30"/>
      <c r="R30" s="30"/>
      <c r="S30" s="22"/>
      <c r="T30" s="29"/>
      <c r="U30" s="37"/>
      <c r="V30" s="38"/>
      <c r="W30" s="15"/>
      <c r="X30" s="39"/>
      <c r="Y30" s="40"/>
      <c r="Z30" s="15"/>
      <c r="AA30" s="29"/>
      <c r="AB30" s="41"/>
      <c r="AC30" s="42"/>
      <c r="AD30" s="40"/>
      <c r="AE30" s="26"/>
      <c r="AF30" s="26"/>
      <c r="AG30" s="26"/>
    </row>
    <row r="31" spans="1:33" ht="15.75" customHeight="1" x14ac:dyDescent="0.2">
      <c r="A31" s="15" t="s">
        <v>55</v>
      </c>
      <c r="B31" s="15"/>
      <c r="C31" s="16"/>
      <c r="D31" s="17"/>
      <c r="E31" s="17"/>
      <c r="F31" s="18"/>
      <c r="G31" s="43"/>
      <c r="H31" s="32"/>
      <c r="I31" s="32"/>
      <c r="J31" s="33"/>
      <c r="K31" s="33"/>
      <c r="L31" s="17"/>
      <c r="M31" s="34"/>
      <c r="N31" s="17"/>
      <c r="O31" s="35"/>
      <c r="P31" s="35"/>
      <c r="Q31" s="30"/>
      <c r="R31" s="30"/>
      <c r="S31" s="22"/>
      <c r="T31" s="15"/>
      <c r="U31" s="23"/>
      <c r="V31" s="1"/>
      <c r="W31" s="15"/>
      <c r="X31" s="39"/>
      <c r="Y31" s="40"/>
      <c r="Z31" s="15"/>
      <c r="AA31" s="15"/>
      <c r="AB31" s="41"/>
      <c r="AC31" s="28"/>
      <c r="AD31" s="40"/>
      <c r="AE31" s="44"/>
      <c r="AF31" s="44"/>
      <c r="AG31" s="26"/>
    </row>
    <row r="32" spans="1:33" ht="15.75" customHeight="1" x14ac:dyDescent="0.2">
      <c r="A32" s="15" t="s">
        <v>59</v>
      </c>
      <c r="B32" s="15"/>
      <c r="C32" s="16">
        <f>IFERROR(F32/D32," - ")</f>
        <v>23.99</v>
      </c>
      <c r="D32" s="17">
        <v>2</v>
      </c>
      <c r="E32" s="17">
        <v>0</v>
      </c>
      <c r="F32" s="18">
        <v>47.98</v>
      </c>
      <c r="G32" s="18">
        <v>0</v>
      </c>
      <c r="H32" s="32">
        <f>G32/F32*-1</f>
        <v>0</v>
      </c>
      <c r="I32" s="32">
        <f>J32/F32</f>
        <v>0.23899497480142173</v>
      </c>
      <c r="J32" s="33">
        <f>F32*0.85+G32+AF32*D32+D32*AE32+AG32+AD32</f>
        <v>11.466978890972214</v>
      </c>
      <c r="K32" s="33">
        <f>J32/D32</f>
        <v>5.7334894454861072</v>
      </c>
      <c r="L32" s="17">
        <v>12</v>
      </c>
      <c r="M32" s="34">
        <f>IFERROR(D32/L32,"-")</f>
        <v>0.16666666666666666</v>
      </c>
      <c r="N32" s="17">
        <v>80</v>
      </c>
      <c r="O32" s="35">
        <f t="shared" ref="O32:P32" si="1">D32/7</f>
        <v>0.2857142857142857</v>
      </c>
      <c r="P32" s="35">
        <f t="shared" si="1"/>
        <v>0</v>
      </c>
      <c r="Q32" s="30">
        <f>ROUNDDOWN(N32/(O32+P32),0)</f>
        <v>280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>
        <f ca="1">IFERROR(__xludf.DUMMYFUNCTION("IFERROR(VLOOKUP($B$2,IMPORTRANGE(""https://docs.google.com/spreadsheets/d/1KiWZV1ko8G7lnRucBRBd29jj3Be6ltMfljMDqzOkQmI/edit#gid=1381463014"",""Lookup!A:D""),3,FALSE),"""")"),80)</f>
        <v>80</v>
      </c>
      <c r="V32" s="1" t="str">
        <f ca="1">IFERROR(__xludf.DUMMYFUNCTION("IFERROR(VLOOKUP($B$2,IMPORTRANGE(""https://docs.google.com/spreadsheets/d/1KiWZV1ko8G7lnRucBRBd29jj3Be6ltMfljMDqzOkQmI/edit#gid=1381463014"",""Lookup!A:D""),2,FALSE),"""")"),"| 376-2  - 80 units 07/10")</f>
        <v>| 376-2  - 80 units 07/10</v>
      </c>
      <c r="W32" s="15">
        <v>0</v>
      </c>
      <c r="X32" s="39">
        <f>IFERROR(W32/D32,0)</f>
        <v>0</v>
      </c>
      <c r="Y32" s="40">
        <f>IFERROR(G32/(W32+Z32)*-1,0)</f>
        <v>0</v>
      </c>
      <c r="Z32" s="15">
        <v>0</v>
      </c>
      <c r="AA32" s="15" t="s">
        <v>58</v>
      </c>
      <c r="AB32" s="41">
        <f>IF(OR(AA32="UsLargeStandardSize",AA32="UsSmallStandardSize"),-0.69,-0.48)</f>
        <v>-0.69</v>
      </c>
      <c r="AC32" s="28">
        <v>0.31739895254629635</v>
      </c>
      <c r="AD32" s="40">
        <f>IFERROR(AB32*AC32*D32*2,0)</f>
        <v>-0.87602110902777786</v>
      </c>
      <c r="AE32" s="26">
        <v>-7.48</v>
      </c>
      <c r="AF32" s="49">
        <v>-6.74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2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</row>
    <row r="225" spans="1:33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</row>
    <row r="226" spans="1:33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</row>
    <row r="227" spans="1:33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</row>
    <row r="228" spans="1:33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</row>
    <row r="229" spans="1:33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</row>
    <row r="230" spans="1:33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</row>
    <row r="231" spans="1:33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</row>
    <row r="232" spans="1:33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</row>
    <row r="233" spans="1:33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</row>
    <row r="234" spans="1:33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</row>
    <row r="235" spans="1:33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</row>
    <row r="236" spans="1:33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</row>
    <row r="237" spans="1:33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</row>
    <row r="238" spans="1:33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</row>
    <row r="239" spans="1:33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</row>
    <row r="240" spans="1:33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</row>
    <row r="241" spans="1:33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</row>
    <row r="242" spans="1:33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</row>
    <row r="243" spans="1:33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</row>
    <row r="244" spans="1:33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</row>
    <row r="245" spans="1:33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</row>
    <row r="246" spans="1:33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</row>
    <row r="247" spans="1:33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</row>
    <row r="248" spans="1:33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</row>
    <row r="249" spans="1:33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</row>
    <row r="250" spans="1:33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</row>
    <row r="251" spans="1:33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</row>
    <row r="252" spans="1:33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</row>
    <row r="253" spans="1:33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</row>
    <row r="254" spans="1:33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</row>
    <row r="255" spans="1:33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</row>
    <row r="256" spans="1:33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</row>
    <row r="257" spans="1:33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</row>
    <row r="258" spans="1:33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</row>
    <row r="259" spans="1:33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</row>
    <row r="260" spans="1:33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</row>
    <row r="261" spans="1:33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</row>
    <row r="262" spans="1:33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</row>
    <row r="263" spans="1:33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</row>
    <row r="264" spans="1:33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</row>
    <row r="265" spans="1:33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</row>
    <row r="266" spans="1:33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</row>
    <row r="267" spans="1:33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</row>
    <row r="268" spans="1:33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</row>
    <row r="269" spans="1:33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</row>
    <row r="270" spans="1:33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</row>
    <row r="271" spans="1:33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</row>
    <row r="272" spans="1:33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</row>
    <row r="273" spans="1:33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</row>
    <row r="274" spans="1:33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</row>
    <row r="275" spans="1:33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</row>
    <row r="276" spans="1:33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</row>
    <row r="277" spans="1:33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</row>
    <row r="278" spans="1:33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</row>
    <row r="279" spans="1:33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</row>
    <row r="280" spans="1:33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</row>
    <row r="281" spans="1:33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</row>
    <row r="282" spans="1:33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</row>
    <row r="283" spans="1:33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</row>
    <row r="284" spans="1:33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</row>
    <row r="285" spans="1:33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</row>
    <row r="286" spans="1:33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</row>
    <row r="287" spans="1:33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</row>
    <row r="288" spans="1:33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</row>
    <row r="289" spans="1:33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</row>
    <row r="290" spans="1:33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</row>
    <row r="291" spans="1:33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</row>
    <row r="292" spans="1:33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</row>
    <row r="293" spans="1:33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</row>
    <row r="294" spans="1:33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</row>
    <row r="295" spans="1:33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</row>
    <row r="296" spans="1:33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</row>
    <row r="297" spans="1:33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</row>
    <row r="298" spans="1:33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</row>
    <row r="299" spans="1:33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</row>
    <row r="300" spans="1:33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</row>
    <row r="301" spans="1:33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</row>
    <row r="302" spans="1:33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</row>
    <row r="303" spans="1:33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</row>
    <row r="304" spans="1:33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</row>
    <row r="305" spans="1:33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</row>
    <row r="306" spans="1:33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</row>
    <row r="307" spans="1:33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</row>
    <row r="308" spans="1:33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</row>
    <row r="309" spans="1:33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</row>
    <row r="310" spans="1:33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</row>
    <row r="311" spans="1:33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</row>
    <row r="312" spans="1:33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</row>
    <row r="313" spans="1:33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</row>
    <row r="314" spans="1:33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</row>
    <row r="315" spans="1:33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</row>
    <row r="316" spans="1:33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</row>
    <row r="317" spans="1:33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</row>
    <row r="318" spans="1:33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</row>
    <row r="319" spans="1:33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</row>
    <row r="320" spans="1:33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</row>
    <row r="321" spans="1:33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</row>
    <row r="322" spans="1:33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</row>
    <row r="323" spans="1:33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</row>
    <row r="324" spans="1:33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</row>
    <row r="325" spans="1:33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</row>
    <row r="326" spans="1:33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</row>
    <row r="327" spans="1:33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</row>
    <row r="328" spans="1:33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</row>
    <row r="329" spans="1:33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</row>
    <row r="330" spans="1:33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</row>
    <row r="331" spans="1:33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</row>
    <row r="332" spans="1:33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</row>
    <row r="333" spans="1:33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</row>
    <row r="334" spans="1:33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</row>
    <row r="335" spans="1:33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</row>
    <row r="336" spans="1:33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</row>
    <row r="337" spans="1:33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</row>
    <row r="338" spans="1:33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</row>
    <row r="339" spans="1:33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</row>
    <row r="340" spans="1:33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</row>
    <row r="341" spans="1:33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</row>
    <row r="342" spans="1:33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</row>
    <row r="343" spans="1:33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</row>
    <row r="344" spans="1:33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</row>
    <row r="345" spans="1:33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</row>
    <row r="346" spans="1:33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</row>
    <row r="347" spans="1:33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</row>
    <row r="348" spans="1:33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</row>
    <row r="349" spans="1:33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</row>
    <row r="350" spans="1:33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</row>
    <row r="351" spans="1:33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</row>
    <row r="352" spans="1:33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</row>
    <row r="353" spans="1:33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</row>
    <row r="354" spans="1:33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</row>
    <row r="355" spans="1:33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</row>
    <row r="356" spans="1:33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</row>
    <row r="357" spans="1:33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</row>
    <row r="358" spans="1:33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</row>
    <row r="359" spans="1:33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</row>
    <row r="360" spans="1:33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</row>
    <row r="361" spans="1:33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</row>
    <row r="362" spans="1:33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</row>
    <row r="363" spans="1:33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</row>
    <row r="364" spans="1:33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</row>
    <row r="365" spans="1:33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</row>
    <row r="366" spans="1:33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</row>
    <row r="367" spans="1:33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</row>
    <row r="368" spans="1:33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</row>
    <row r="369" spans="1:33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</row>
    <row r="370" spans="1:33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</row>
    <row r="371" spans="1:33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</row>
    <row r="372" spans="1:33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</row>
    <row r="373" spans="1:33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</row>
    <row r="374" spans="1:33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</row>
    <row r="375" spans="1:33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</row>
    <row r="376" spans="1:33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</row>
    <row r="377" spans="1:33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</row>
    <row r="378" spans="1:33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</row>
    <row r="379" spans="1:33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</row>
    <row r="380" spans="1:33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</row>
    <row r="381" spans="1:33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</row>
    <row r="382" spans="1:33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</row>
    <row r="383" spans="1:33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</row>
    <row r="384" spans="1:33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</row>
    <row r="385" spans="1:33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</row>
    <row r="386" spans="1:33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</row>
    <row r="387" spans="1:33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</row>
    <row r="388" spans="1:33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</row>
    <row r="389" spans="1:33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</row>
    <row r="390" spans="1:33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</row>
    <row r="391" spans="1:33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</row>
    <row r="392" spans="1:33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</row>
    <row r="393" spans="1:33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</row>
    <row r="394" spans="1:33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</row>
    <row r="395" spans="1:33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</row>
    <row r="396" spans="1:33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</row>
    <row r="397" spans="1:33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</row>
    <row r="398" spans="1:33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</row>
    <row r="399" spans="1:33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</row>
    <row r="400" spans="1:33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</row>
    <row r="401" spans="1:33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</row>
    <row r="402" spans="1:33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</row>
    <row r="403" spans="1:33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</row>
    <row r="404" spans="1:33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</row>
    <row r="405" spans="1:33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</row>
    <row r="406" spans="1:33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</row>
    <row r="407" spans="1:33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</row>
    <row r="408" spans="1:33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</row>
    <row r="409" spans="1:33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</row>
    <row r="410" spans="1:33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</row>
    <row r="411" spans="1:33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</row>
    <row r="412" spans="1:33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</row>
    <row r="413" spans="1:33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</row>
    <row r="414" spans="1:33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</row>
    <row r="415" spans="1:33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</row>
    <row r="416" spans="1:33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</row>
    <row r="417" spans="1:33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</row>
    <row r="418" spans="1:33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</row>
    <row r="419" spans="1:33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</row>
    <row r="420" spans="1:33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</row>
    <row r="421" spans="1:33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</row>
    <row r="422" spans="1:33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</row>
    <row r="423" spans="1:33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</row>
    <row r="424" spans="1:33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</row>
    <row r="425" spans="1:33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</row>
    <row r="426" spans="1:33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</row>
    <row r="427" spans="1:33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</row>
    <row r="428" spans="1:33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</row>
    <row r="429" spans="1:33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</row>
    <row r="430" spans="1:33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</row>
    <row r="431" spans="1:33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</row>
    <row r="432" spans="1:33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</row>
    <row r="433" spans="1:33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</row>
    <row r="434" spans="1:33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</row>
    <row r="435" spans="1:33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</row>
    <row r="436" spans="1:33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</row>
    <row r="437" spans="1:33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</row>
    <row r="438" spans="1:33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</row>
    <row r="439" spans="1:33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</row>
    <row r="440" spans="1:33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</row>
    <row r="441" spans="1:33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</row>
    <row r="442" spans="1:33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</row>
    <row r="443" spans="1:33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</row>
    <row r="444" spans="1:33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</row>
    <row r="445" spans="1:33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</row>
    <row r="446" spans="1:33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47" spans="1:33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</row>
    <row r="448" spans="1:33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</row>
    <row r="449" spans="1:33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</row>
    <row r="450" spans="1:33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</row>
    <row r="451" spans="1:33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</row>
    <row r="452" spans="1:33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</row>
    <row r="453" spans="1:33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</row>
    <row r="454" spans="1:33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</row>
    <row r="455" spans="1:33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</row>
    <row r="456" spans="1:33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</row>
    <row r="457" spans="1:33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</row>
    <row r="458" spans="1:33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</row>
    <row r="459" spans="1:33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</row>
    <row r="460" spans="1:33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</row>
    <row r="461" spans="1:33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</row>
    <row r="462" spans="1:33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</row>
    <row r="463" spans="1:33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</row>
    <row r="464" spans="1:33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</row>
    <row r="465" spans="1:33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</row>
    <row r="466" spans="1:33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</row>
    <row r="467" spans="1:33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</row>
    <row r="468" spans="1:33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</row>
    <row r="469" spans="1:33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</row>
    <row r="470" spans="1:33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</row>
    <row r="471" spans="1:33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</row>
    <row r="472" spans="1:33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</row>
    <row r="473" spans="1:33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</row>
    <row r="474" spans="1:33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</row>
    <row r="475" spans="1:33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</row>
    <row r="476" spans="1:33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</row>
    <row r="477" spans="1:33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</row>
    <row r="478" spans="1:33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</row>
    <row r="479" spans="1:33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</row>
    <row r="480" spans="1:33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</row>
    <row r="481" spans="1:33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</row>
    <row r="482" spans="1:33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</row>
    <row r="483" spans="1:33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</row>
    <row r="484" spans="1:33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</row>
    <row r="485" spans="1:33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</row>
    <row r="486" spans="1:33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</row>
    <row r="487" spans="1:33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</row>
    <row r="488" spans="1:33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</row>
    <row r="489" spans="1:33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</row>
    <row r="490" spans="1:33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</row>
    <row r="491" spans="1:33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</row>
    <row r="492" spans="1:33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</row>
    <row r="493" spans="1:33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</row>
    <row r="494" spans="1:33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</row>
    <row r="495" spans="1:33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</row>
    <row r="496" spans="1:33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1:33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1:33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1:33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1:33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1:33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1:33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1:33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1:33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1:33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1:33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1:33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1:33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1:33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1:33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1:33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1:33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3" spans="1:33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</row>
    <row r="514" spans="1:33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</row>
    <row r="515" spans="1:33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</row>
    <row r="516" spans="1:33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</row>
    <row r="517" spans="1:33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</row>
    <row r="518" spans="1:33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</row>
    <row r="519" spans="1:33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</row>
    <row r="520" spans="1:33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</row>
    <row r="521" spans="1:33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</row>
    <row r="522" spans="1:33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</row>
    <row r="523" spans="1:33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</row>
    <row r="524" spans="1:33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</row>
    <row r="525" spans="1:33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</row>
    <row r="526" spans="1:33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</row>
    <row r="527" spans="1:33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</row>
    <row r="528" spans="1:33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</row>
    <row r="529" spans="1:33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</row>
    <row r="530" spans="1:33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</row>
    <row r="531" spans="1:33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</row>
    <row r="532" spans="1:33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</row>
    <row r="533" spans="1:33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</row>
    <row r="534" spans="1:33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</row>
    <row r="535" spans="1:33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</row>
    <row r="536" spans="1:33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</row>
    <row r="537" spans="1:33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</row>
    <row r="538" spans="1:33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</row>
    <row r="539" spans="1:33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</row>
    <row r="540" spans="1:33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</row>
    <row r="541" spans="1:33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</row>
    <row r="542" spans="1:33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</row>
    <row r="543" spans="1:33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</row>
    <row r="544" spans="1:33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</row>
    <row r="545" spans="1:33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</row>
    <row r="546" spans="1:33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</row>
    <row r="547" spans="1:33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</row>
    <row r="548" spans="1:33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</row>
    <row r="549" spans="1:33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</row>
    <row r="550" spans="1:33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</row>
    <row r="551" spans="1:33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</row>
    <row r="552" spans="1:33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</row>
    <row r="553" spans="1:33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</row>
    <row r="554" spans="1:33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</row>
    <row r="555" spans="1:33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</row>
    <row r="556" spans="1:33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</row>
    <row r="557" spans="1:33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</row>
    <row r="558" spans="1:33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</row>
    <row r="559" spans="1:33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</row>
    <row r="560" spans="1:33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</row>
    <row r="561" spans="1:33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</row>
    <row r="562" spans="1:33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</row>
    <row r="563" spans="1:33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</row>
    <row r="564" spans="1:33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</row>
    <row r="565" spans="1:33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</row>
    <row r="566" spans="1:33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</row>
    <row r="567" spans="1:33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</row>
    <row r="568" spans="1:33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</row>
    <row r="569" spans="1:33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</row>
    <row r="570" spans="1:33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</row>
    <row r="571" spans="1:33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</row>
    <row r="572" spans="1:33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</row>
    <row r="573" spans="1:33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</row>
    <row r="574" spans="1:33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</row>
    <row r="575" spans="1:33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</row>
    <row r="576" spans="1:33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</row>
    <row r="577" spans="1:33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</row>
    <row r="578" spans="1:33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</row>
    <row r="579" spans="1:33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</row>
    <row r="580" spans="1:33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</row>
    <row r="581" spans="1:33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</row>
    <row r="582" spans="1:33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</row>
    <row r="583" spans="1:33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</row>
    <row r="584" spans="1:33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</row>
    <row r="585" spans="1:33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</row>
    <row r="586" spans="1:33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</row>
    <row r="587" spans="1:33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</row>
    <row r="588" spans="1:33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</row>
    <row r="589" spans="1:33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</row>
    <row r="590" spans="1:33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</row>
    <row r="591" spans="1:33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</row>
    <row r="592" spans="1:33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</row>
    <row r="593" spans="1:33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</row>
    <row r="594" spans="1:33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</row>
    <row r="595" spans="1:33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</row>
    <row r="596" spans="1:33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</row>
    <row r="597" spans="1:33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</row>
    <row r="598" spans="1:33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</row>
    <row r="599" spans="1:33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</row>
    <row r="600" spans="1:33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</row>
    <row r="601" spans="1:33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</row>
    <row r="602" spans="1:33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</row>
    <row r="603" spans="1:33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</row>
    <row r="604" spans="1:33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</row>
    <row r="605" spans="1:33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</row>
    <row r="606" spans="1:33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</row>
    <row r="607" spans="1:33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</row>
    <row r="608" spans="1:33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</row>
    <row r="609" spans="1:33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</row>
    <row r="610" spans="1:33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</row>
    <row r="611" spans="1:33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</row>
    <row r="612" spans="1:33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</row>
    <row r="613" spans="1:33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</row>
    <row r="614" spans="1:33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</row>
    <row r="615" spans="1:33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</row>
    <row r="616" spans="1:33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</row>
    <row r="617" spans="1:33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</row>
    <row r="618" spans="1:33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</row>
    <row r="619" spans="1:33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</row>
    <row r="620" spans="1:33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</row>
    <row r="621" spans="1:33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</row>
    <row r="622" spans="1:33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</row>
    <row r="623" spans="1:33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</row>
    <row r="624" spans="1:33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</row>
    <row r="625" spans="1:33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</row>
    <row r="626" spans="1:33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</row>
    <row r="627" spans="1:33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</row>
    <row r="628" spans="1:33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</row>
    <row r="629" spans="1:33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</row>
    <row r="630" spans="1:33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</row>
    <row r="631" spans="1:33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</row>
    <row r="632" spans="1:33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</row>
    <row r="633" spans="1:33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</row>
    <row r="634" spans="1:33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</row>
    <row r="635" spans="1:33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</row>
    <row r="636" spans="1:33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</row>
    <row r="637" spans="1:33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</row>
    <row r="638" spans="1:33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</row>
    <row r="639" spans="1:33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</row>
    <row r="640" spans="1:33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</row>
    <row r="641" spans="1:33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</row>
    <row r="642" spans="1:33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</row>
    <row r="643" spans="1:33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</row>
    <row r="644" spans="1:33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</row>
    <row r="645" spans="1:33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</row>
    <row r="646" spans="1:33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</row>
    <row r="647" spans="1:33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</row>
    <row r="648" spans="1:33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</row>
    <row r="649" spans="1:33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</row>
    <row r="650" spans="1:33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</row>
    <row r="651" spans="1:33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</row>
    <row r="652" spans="1:33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</row>
    <row r="653" spans="1:33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</row>
    <row r="654" spans="1:33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</row>
    <row r="655" spans="1:33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</row>
    <row r="656" spans="1:33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</row>
    <row r="657" spans="1:33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</row>
    <row r="658" spans="1:33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</row>
    <row r="659" spans="1:33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</row>
    <row r="660" spans="1:33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</row>
    <row r="661" spans="1:33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</row>
    <row r="662" spans="1:33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</row>
    <row r="663" spans="1:33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</row>
    <row r="664" spans="1:33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</row>
    <row r="665" spans="1:33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</row>
    <row r="666" spans="1:33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</row>
    <row r="667" spans="1:33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</row>
    <row r="668" spans="1:33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</row>
    <row r="669" spans="1:33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</row>
    <row r="670" spans="1:33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</row>
    <row r="671" spans="1:33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</row>
    <row r="672" spans="1:33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</row>
    <row r="673" spans="1:33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</row>
    <row r="674" spans="1:33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</row>
    <row r="675" spans="1:33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</row>
    <row r="676" spans="1:33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</row>
    <row r="677" spans="1:33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</row>
    <row r="678" spans="1:33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</row>
    <row r="679" spans="1:33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</row>
    <row r="680" spans="1:33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</row>
    <row r="681" spans="1:33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</row>
    <row r="682" spans="1:33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</row>
    <row r="683" spans="1:33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</row>
    <row r="684" spans="1:33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</row>
    <row r="685" spans="1:33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</row>
    <row r="686" spans="1:33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</row>
    <row r="687" spans="1:33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</row>
    <row r="688" spans="1:33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</row>
    <row r="689" spans="1:33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</row>
    <row r="690" spans="1:33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</row>
    <row r="691" spans="1:33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</row>
    <row r="692" spans="1:33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</row>
    <row r="693" spans="1:33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</row>
    <row r="694" spans="1:33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</row>
    <row r="695" spans="1:33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</row>
    <row r="696" spans="1:33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</row>
    <row r="697" spans="1:33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</row>
    <row r="698" spans="1:33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</row>
    <row r="699" spans="1:33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</row>
    <row r="700" spans="1:33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</row>
    <row r="701" spans="1:33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</row>
    <row r="702" spans="1:33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</row>
    <row r="703" spans="1:33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</row>
    <row r="704" spans="1:33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</row>
    <row r="705" spans="1:33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</row>
    <row r="706" spans="1:33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</row>
    <row r="707" spans="1:33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</row>
    <row r="708" spans="1:33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</row>
    <row r="709" spans="1:33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</row>
    <row r="710" spans="1:33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</row>
    <row r="711" spans="1:33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</row>
    <row r="712" spans="1:33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</row>
    <row r="713" spans="1:33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</row>
    <row r="714" spans="1:33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</row>
    <row r="715" spans="1:33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</row>
    <row r="716" spans="1:33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</row>
    <row r="717" spans="1:33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</row>
    <row r="718" spans="1:33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</row>
    <row r="719" spans="1:33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</row>
    <row r="720" spans="1:33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</row>
    <row r="721" spans="1:33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</row>
    <row r="722" spans="1:33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</row>
    <row r="723" spans="1:33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</row>
    <row r="724" spans="1:33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</row>
    <row r="725" spans="1:33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</row>
    <row r="726" spans="1:33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</row>
    <row r="727" spans="1:33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</row>
    <row r="728" spans="1:33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</row>
    <row r="729" spans="1:33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</row>
    <row r="730" spans="1:33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</row>
    <row r="731" spans="1:33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</row>
    <row r="732" spans="1:33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</row>
    <row r="733" spans="1:33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</row>
    <row r="734" spans="1:33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</row>
    <row r="735" spans="1:33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</row>
    <row r="736" spans="1:33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</row>
    <row r="737" spans="1:33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</row>
    <row r="738" spans="1:33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</row>
    <row r="739" spans="1:33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</row>
    <row r="740" spans="1:33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</row>
    <row r="741" spans="1:33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</row>
    <row r="742" spans="1:33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</row>
    <row r="743" spans="1:33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</row>
    <row r="744" spans="1:33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</row>
    <row r="745" spans="1:33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</row>
    <row r="746" spans="1:33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</row>
    <row r="747" spans="1:33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</row>
    <row r="748" spans="1:33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</row>
    <row r="749" spans="1:33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</row>
    <row r="750" spans="1:33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</row>
    <row r="751" spans="1:33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</row>
    <row r="752" spans="1:33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</row>
    <row r="753" spans="1:33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</row>
    <row r="754" spans="1:33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</row>
    <row r="755" spans="1:33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</row>
    <row r="756" spans="1:33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</row>
    <row r="757" spans="1:33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</row>
    <row r="758" spans="1:33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</row>
    <row r="759" spans="1:33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</row>
    <row r="760" spans="1:33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</row>
    <row r="761" spans="1:33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</row>
    <row r="762" spans="1:33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</row>
    <row r="763" spans="1:33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</row>
    <row r="764" spans="1:33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</row>
    <row r="765" spans="1:33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</row>
    <row r="766" spans="1:33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</row>
    <row r="767" spans="1:33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</row>
    <row r="768" spans="1:33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</row>
    <row r="769" spans="1:33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</row>
    <row r="770" spans="1:33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</row>
    <row r="771" spans="1:33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</row>
    <row r="772" spans="1:33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</row>
    <row r="773" spans="1:33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</row>
    <row r="774" spans="1:33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</row>
    <row r="775" spans="1:33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</row>
    <row r="776" spans="1:33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</row>
    <row r="777" spans="1:33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</row>
    <row r="778" spans="1:33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</row>
    <row r="779" spans="1:33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</row>
    <row r="780" spans="1:33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</row>
    <row r="781" spans="1:33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</row>
    <row r="782" spans="1:33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</row>
    <row r="783" spans="1:33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</row>
    <row r="784" spans="1:33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</row>
    <row r="785" spans="1:33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</row>
    <row r="786" spans="1:33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</row>
    <row r="787" spans="1:33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</row>
    <row r="788" spans="1:33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</row>
    <row r="789" spans="1:33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</row>
    <row r="790" spans="1:33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</row>
    <row r="791" spans="1:33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</row>
    <row r="792" spans="1:33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</row>
    <row r="793" spans="1:33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</row>
    <row r="794" spans="1:33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</row>
    <row r="795" spans="1:33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</row>
    <row r="796" spans="1:33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</row>
    <row r="797" spans="1:33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</row>
    <row r="798" spans="1:33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</row>
    <row r="799" spans="1:33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</row>
    <row r="800" spans="1:33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</row>
    <row r="801" spans="1:33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</row>
    <row r="802" spans="1:33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</row>
    <row r="803" spans="1:33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</row>
    <row r="804" spans="1:33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</row>
    <row r="805" spans="1:33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</row>
    <row r="806" spans="1:33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</row>
    <row r="807" spans="1:33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</row>
    <row r="808" spans="1:33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</row>
    <row r="809" spans="1:33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</row>
    <row r="810" spans="1:33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</row>
    <row r="811" spans="1:33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</row>
    <row r="812" spans="1:33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</row>
    <row r="813" spans="1:33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</row>
    <row r="814" spans="1:33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</row>
    <row r="815" spans="1:33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</row>
    <row r="816" spans="1:33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</row>
    <row r="817" spans="1:33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</row>
    <row r="818" spans="1:33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</row>
    <row r="819" spans="1:33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</row>
    <row r="820" spans="1:33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</row>
    <row r="821" spans="1:33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</row>
    <row r="822" spans="1:33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</row>
    <row r="823" spans="1:33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</row>
    <row r="824" spans="1:33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</row>
    <row r="825" spans="1:33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</row>
    <row r="826" spans="1:33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</row>
    <row r="827" spans="1:33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</row>
    <row r="828" spans="1:33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</row>
    <row r="829" spans="1:33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</row>
    <row r="830" spans="1:33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</row>
    <row r="831" spans="1:33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</row>
    <row r="832" spans="1:33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</row>
    <row r="833" spans="1:33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</row>
    <row r="834" spans="1:33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</row>
    <row r="835" spans="1:33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</row>
    <row r="836" spans="1:33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</row>
    <row r="837" spans="1:33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</row>
    <row r="838" spans="1:33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</row>
    <row r="839" spans="1:33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</row>
    <row r="840" spans="1:33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</row>
    <row r="841" spans="1:33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</row>
    <row r="842" spans="1:33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</row>
    <row r="843" spans="1:33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</row>
    <row r="844" spans="1:33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</row>
    <row r="845" spans="1:33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</row>
    <row r="846" spans="1:33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</row>
    <row r="847" spans="1:33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</row>
    <row r="848" spans="1:33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</row>
    <row r="849" spans="1:33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</row>
    <row r="850" spans="1:33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</row>
    <row r="851" spans="1:33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</row>
    <row r="852" spans="1:33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</row>
    <row r="853" spans="1:33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</row>
    <row r="854" spans="1:33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</row>
    <row r="855" spans="1:33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</row>
    <row r="856" spans="1:33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</row>
    <row r="857" spans="1:33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</row>
    <row r="858" spans="1:33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</row>
    <row r="859" spans="1:33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</row>
    <row r="860" spans="1:33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</row>
    <row r="861" spans="1:33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</row>
    <row r="862" spans="1:33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</row>
    <row r="863" spans="1:33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</row>
    <row r="864" spans="1:33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</row>
    <row r="865" spans="1:33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</row>
    <row r="866" spans="1:33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</row>
    <row r="867" spans="1:33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</row>
    <row r="868" spans="1:33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</row>
    <row r="869" spans="1:33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</row>
    <row r="870" spans="1:33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</row>
    <row r="871" spans="1:33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</row>
    <row r="872" spans="1:33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</row>
    <row r="873" spans="1:33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</row>
    <row r="874" spans="1:33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</row>
    <row r="875" spans="1:33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</row>
    <row r="876" spans="1:33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</row>
    <row r="877" spans="1:33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</row>
    <row r="878" spans="1:33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</row>
    <row r="879" spans="1:33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</row>
    <row r="880" spans="1:33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</row>
    <row r="881" spans="1:33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</row>
    <row r="882" spans="1:33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</row>
    <row r="883" spans="1:33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</row>
    <row r="884" spans="1:33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</row>
    <row r="885" spans="1:33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</row>
    <row r="886" spans="1:33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</row>
    <row r="887" spans="1:33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</row>
    <row r="888" spans="1:33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</row>
    <row r="889" spans="1:33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</row>
    <row r="890" spans="1:33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</row>
    <row r="891" spans="1:33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</row>
    <row r="892" spans="1:33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</row>
    <row r="893" spans="1:33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</row>
    <row r="894" spans="1:33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</row>
    <row r="895" spans="1:33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</row>
    <row r="896" spans="1:33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</row>
    <row r="897" spans="1:33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</row>
    <row r="898" spans="1:33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</row>
    <row r="899" spans="1:33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</row>
    <row r="900" spans="1:33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</row>
    <row r="901" spans="1:33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</row>
    <row r="902" spans="1:33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</row>
    <row r="903" spans="1:33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</row>
    <row r="904" spans="1:33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</row>
    <row r="905" spans="1:33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</row>
    <row r="906" spans="1:33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</row>
    <row r="907" spans="1:33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</row>
    <row r="908" spans="1:33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</row>
    <row r="909" spans="1:33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</row>
    <row r="910" spans="1:33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</row>
    <row r="911" spans="1:33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</row>
    <row r="912" spans="1:33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</row>
    <row r="913" spans="1:33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</row>
    <row r="914" spans="1:33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</row>
    <row r="915" spans="1:33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</row>
    <row r="916" spans="1:33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</row>
    <row r="917" spans="1:33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</row>
    <row r="918" spans="1:33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</row>
    <row r="919" spans="1:33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</row>
    <row r="920" spans="1:33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</row>
    <row r="921" spans="1:33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</row>
    <row r="922" spans="1:33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</row>
    <row r="923" spans="1:33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</row>
    <row r="924" spans="1:33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</row>
    <row r="925" spans="1:33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</row>
    <row r="926" spans="1:33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</row>
    <row r="927" spans="1:33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</row>
    <row r="928" spans="1:33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</row>
    <row r="929" spans="1:33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</row>
    <row r="930" spans="1:33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</row>
    <row r="931" spans="1:33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</row>
    <row r="932" spans="1:33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</row>
    <row r="933" spans="1:33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</row>
    <row r="934" spans="1:33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</row>
    <row r="935" spans="1:33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</row>
    <row r="936" spans="1:33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</row>
    <row r="937" spans="1:33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</row>
    <row r="938" spans="1:33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</row>
    <row r="939" spans="1:33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</row>
    <row r="940" spans="1:33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</row>
    <row r="941" spans="1:33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</row>
    <row r="942" spans="1:33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</row>
    <row r="943" spans="1:33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</row>
    <row r="944" spans="1:33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</row>
    <row r="945" spans="1:33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</row>
    <row r="946" spans="1:33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</row>
    <row r="947" spans="1:33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</row>
    <row r="948" spans="1:33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</row>
    <row r="949" spans="1:33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</row>
    <row r="950" spans="1:33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</row>
    <row r="951" spans="1:33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</row>
    <row r="952" spans="1:33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</row>
    <row r="953" spans="1:33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</row>
    <row r="954" spans="1:33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</row>
    <row r="955" spans="1:33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</row>
    <row r="956" spans="1:33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</row>
    <row r="957" spans="1:33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</row>
    <row r="958" spans="1:33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</row>
    <row r="959" spans="1:33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</row>
    <row r="960" spans="1:33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</row>
    <row r="961" spans="1:33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</row>
    <row r="962" spans="1:33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</row>
    <row r="963" spans="1:33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</row>
    <row r="964" spans="1:33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</row>
    <row r="965" spans="1:33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</row>
    <row r="966" spans="1:33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</row>
    <row r="967" spans="1:33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</row>
    <row r="968" spans="1:33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</row>
    <row r="969" spans="1:33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</row>
    <row r="970" spans="1:33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</row>
    <row r="971" spans="1:33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</row>
    <row r="972" spans="1:33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</row>
    <row r="973" spans="1:33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</row>
    <row r="974" spans="1:33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</row>
    <row r="975" spans="1:33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</row>
    <row r="976" spans="1:33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</row>
    <row r="977" spans="1:33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</row>
    <row r="978" spans="1:33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</row>
    <row r="979" spans="1:33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</row>
    <row r="980" spans="1:33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</row>
    <row r="981" spans="1:33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</row>
    <row r="982" spans="1:33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</row>
    <row r="983" spans="1:33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</row>
    <row r="984" spans="1:33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</row>
    <row r="985" spans="1:33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</row>
    <row r="986" spans="1:33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</row>
    <row r="987" spans="1:33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</row>
    <row r="988" spans="1:33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</row>
    <row r="989" spans="1:33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</row>
    <row r="990" spans="1:33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</row>
    <row r="991" spans="1:33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</row>
    <row r="992" spans="1:33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</row>
    <row r="993" spans="1:33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</row>
    <row r="994" spans="1:33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</row>
    <row r="995" spans="1:33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</row>
    <row r="996" spans="1:33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</row>
    <row r="997" spans="1:33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</row>
    <row r="998" spans="1:33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</row>
    <row r="999" spans="1:33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</row>
    <row r="1000" spans="1:33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Teal &amp; Black")</f>
        <v>Corn Filled Cornhole Bags - Set of 8 Bean Bags for Corn Hole Game - Regulation Size &amp; Weight - Teal &amp; Black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Info!B1:BJ7000""),2,FALSE),"""")"),"B07ZTQ4HCN")</f>
        <v>B07ZTQ4HCN</v>
      </c>
      <c r="B2" s="47" t="s">
        <v>391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16.729411764705883</v>
      </c>
      <c r="D3" s="5">
        <f>SUM(D4:D99765)</f>
        <v>1</v>
      </c>
      <c r="E3" s="5"/>
      <c r="F3" s="6">
        <f t="shared" ref="F3:G3" si="0">SUM(F4:F99765)</f>
        <v>23.99</v>
      </c>
      <c r="G3" s="6">
        <f t="shared" si="0"/>
        <v>0</v>
      </c>
      <c r="H3" s="7">
        <f>G3/F3*-1</f>
        <v>0</v>
      </c>
      <c r="I3" s="8">
        <f>J3/F3</f>
        <v>0.23889846702619136</v>
      </c>
      <c r="J3" s="6">
        <f>SUM(J4:J99765)</f>
        <v>5.7311742239583303</v>
      </c>
      <c r="K3" s="6">
        <f>J3/D3</f>
        <v>5.7311742239583303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-0.44032577604166656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hidden="1" customHeight="1" x14ac:dyDescent="0.2">
      <c r="A4" s="15" t="s">
        <v>32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35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36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37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38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39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40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41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42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43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44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45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46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47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48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49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50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51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52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"/>
      <c r="AB24" s="41"/>
      <c r="AC24" s="28"/>
      <c r="AD24" s="40"/>
      <c r="AE24" s="26"/>
      <c r="AF24" s="40"/>
      <c r="AG24" s="40"/>
    </row>
    <row r="25" spans="1:33" ht="15.75" hidden="1" customHeight="1" x14ac:dyDescent="0.2">
      <c r="A25" s="29" t="s">
        <v>53</v>
      </c>
      <c r="B25" s="15"/>
      <c r="C25" s="16"/>
      <c r="D25" s="30"/>
      <c r="E25" s="30"/>
      <c r="F25" s="33"/>
      <c r="G25" s="33"/>
      <c r="H25" s="32"/>
      <c r="I25" s="32"/>
      <c r="J25" s="33"/>
      <c r="K25" s="33"/>
      <c r="L25" s="30"/>
      <c r="M25" s="34"/>
      <c r="N25" s="30"/>
      <c r="O25" s="35"/>
      <c r="P25" s="35"/>
      <c r="Q25" s="30"/>
      <c r="R25" s="30"/>
      <c r="S25" s="36"/>
      <c r="T25" s="15"/>
      <c r="U25" s="23"/>
      <c r="V25" s="1"/>
      <c r="W25" s="15"/>
      <c r="X25" s="39"/>
      <c r="Y25" s="40"/>
      <c r="Z25" s="15"/>
      <c r="AA25" s="29"/>
      <c r="AB25" s="41"/>
      <c r="AC25" s="42"/>
      <c r="AD25" s="40"/>
      <c r="AE25" s="40"/>
      <c r="AF25" s="40"/>
      <c r="AG25" s="40"/>
    </row>
    <row r="26" spans="1:33" ht="15.75" hidden="1" customHeight="1" x14ac:dyDescent="0.2">
      <c r="A26" s="15" t="s">
        <v>54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15"/>
      <c r="U26" s="23"/>
      <c r="V26" s="1"/>
      <c r="W26" s="15"/>
      <c r="X26" s="39"/>
      <c r="Y26" s="40"/>
      <c r="Z26" s="15"/>
      <c r="AA26" s="29"/>
      <c r="AB26" s="41"/>
      <c r="AC26" s="42"/>
      <c r="AD26" s="40"/>
      <c r="AE26" s="26"/>
      <c r="AF26" s="26"/>
      <c r="AG26" s="26"/>
    </row>
    <row r="27" spans="1:33" ht="15.75" hidden="1" customHeight="1" x14ac:dyDescent="0.2">
      <c r="A27" s="15" t="s">
        <v>74</v>
      </c>
      <c r="B27" s="15"/>
      <c r="C27" s="16"/>
      <c r="D27" s="17"/>
      <c r="E27" s="17"/>
      <c r="F27" s="18"/>
      <c r="G27" s="18"/>
      <c r="H27" s="32"/>
      <c r="I27" s="32"/>
      <c r="J27" s="33"/>
      <c r="K27" s="33"/>
      <c r="L27" s="17"/>
      <c r="M27" s="34"/>
      <c r="N27" s="17"/>
      <c r="O27" s="35"/>
      <c r="P27" s="35"/>
      <c r="Q27" s="30"/>
      <c r="R27" s="30"/>
      <c r="S27" s="22"/>
      <c r="T27" s="15"/>
      <c r="U27" s="23"/>
      <c r="V27" s="1"/>
      <c r="W27" s="15"/>
      <c r="X27" s="39"/>
      <c r="Y27" s="40"/>
      <c r="Z27" s="15"/>
      <c r="AA27" s="29"/>
      <c r="AB27" s="41"/>
      <c r="AC27" s="42"/>
      <c r="AD27" s="40"/>
      <c r="AE27" s="26"/>
      <c r="AF27" s="26"/>
      <c r="AG27" s="26"/>
    </row>
    <row r="28" spans="1:33" ht="15.75" hidden="1" customHeight="1" x14ac:dyDescent="0.2">
      <c r="A28" s="15" t="s">
        <v>75</v>
      </c>
      <c r="B28" s="15"/>
      <c r="C28" s="16"/>
      <c r="D28" s="17"/>
      <c r="E28" s="17"/>
      <c r="F28" s="18"/>
      <c r="G28" s="18"/>
      <c r="H28" s="32"/>
      <c r="I28" s="32"/>
      <c r="J28" s="33"/>
      <c r="K28" s="33"/>
      <c r="L28" s="17"/>
      <c r="M28" s="34"/>
      <c r="N28" s="17"/>
      <c r="O28" s="35"/>
      <c r="P28" s="35"/>
      <c r="Q28" s="30"/>
      <c r="R28" s="30"/>
      <c r="S28" s="22"/>
      <c r="T28" s="15"/>
      <c r="U28" s="23"/>
      <c r="V28" s="1"/>
      <c r="W28" s="15"/>
      <c r="X28" s="39"/>
      <c r="Y28" s="40"/>
      <c r="Z28" s="15"/>
      <c r="AA28" s="29"/>
      <c r="AB28" s="41"/>
      <c r="AC28" s="42"/>
      <c r="AD28" s="40"/>
      <c r="AE28" s="26"/>
      <c r="AF28" s="26"/>
      <c r="AG28" s="26"/>
    </row>
    <row r="29" spans="1:33" ht="15.75" hidden="1" customHeight="1" x14ac:dyDescent="0.2">
      <c r="A29" s="15" t="s">
        <v>77</v>
      </c>
      <c r="B29" s="15"/>
      <c r="C29" s="16"/>
      <c r="D29" s="17"/>
      <c r="E29" s="17"/>
      <c r="F29" s="18"/>
      <c r="G29" s="18"/>
      <c r="H29" s="32"/>
      <c r="I29" s="32"/>
      <c r="J29" s="33"/>
      <c r="K29" s="33"/>
      <c r="L29" s="17"/>
      <c r="M29" s="34"/>
      <c r="N29" s="17"/>
      <c r="O29" s="35"/>
      <c r="P29" s="35"/>
      <c r="Q29" s="30"/>
      <c r="R29" s="30"/>
      <c r="S29" s="22"/>
      <c r="T29" s="15"/>
      <c r="U29" s="23"/>
      <c r="V29" s="1"/>
      <c r="W29" s="15"/>
      <c r="X29" s="39"/>
      <c r="Y29" s="40"/>
      <c r="Z29" s="15"/>
      <c r="AA29" s="29"/>
      <c r="AB29" s="41"/>
      <c r="AC29" s="42"/>
      <c r="AD29" s="40"/>
      <c r="AE29" s="26"/>
      <c r="AF29" s="26"/>
      <c r="AG29" s="26"/>
    </row>
    <row r="30" spans="1:33" ht="15.75" hidden="1" customHeight="1" x14ac:dyDescent="0.2">
      <c r="A30" s="15" t="s">
        <v>78</v>
      </c>
      <c r="B30" s="48"/>
      <c r="C30" s="16"/>
      <c r="D30" s="17"/>
      <c r="E30" s="17"/>
      <c r="F30" s="18"/>
      <c r="G30" s="18"/>
      <c r="H30" s="32"/>
      <c r="I30" s="32"/>
      <c r="J30" s="33"/>
      <c r="K30" s="33"/>
      <c r="L30" s="17"/>
      <c r="M30" s="34"/>
      <c r="N30" s="17"/>
      <c r="O30" s="35"/>
      <c r="P30" s="35"/>
      <c r="Q30" s="30"/>
      <c r="R30" s="30"/>
      <c r="S30" s="22"/>
      <c r="T30" s="29"/>
      <c r="U30" s="37"/>
      <c r="V30" s="38"/>
      <c r="W30" s="15"/>
      <c r="X30" s="39"/>
      <c r="Y30" s="40"/>
      <c r="Z30" s="15"/>
      <c r="AA30" s="29"/>
      <c r="AB30" s="41"/>
      <c r="AC30" s="42"/>
      <c r="AD30" s="40"/>
      <c r="AE30" s="26"/>
      <c r="AF30" s="26"/>
      <c r="AG30" s="26"/>
    </row>
    <row r="31" spans="1:33" ht="15.75" customHeight="1" x14ac:dyDescent="0.2">
      <c r="A31" s="15" t="s">
        <v>55</v>
      </c>
      <c r="B31" s="15"/>
      <c r="C31" s="16"/>
      <c r="D31" s="17"/>
      <c r="E31" s="17"/>
      <c r="F31" s="18"/>
      <c r="G31" s="43"/>
      <c r="H31" s="32"/>
      <c r="I31" s="32"/>
      <c r="J31" s="33"/>
      <c r="K31" s="33"/>
      <c r="L31" s="17"/>
      <c r="M31" s="34"/>
      <c r="N31" s="17"/>
      <c r="O31" s="35"/>
      <c r="P31" s="35"/>
      <c r="Q31" s="30"/>
      <c r="R31" s="30"/>
      <c r="S31" s="22"/>
      <c r="T31" s="15"/>
      <c r="U31" s="23"/>
      <c r="V31" s="1"/>
      <c r="W31" s="15"/>
      <c r="X31" s="39"/>
      <c r="Y31" s="40"/>
      <c r="Z31" s="15"/>
      <c r="AA31" s="15"/>
      <c r="AB31" s="41"/>
      <c r="AC31" s="28"/>
      <c r="AD31" s="40"/>
      <c r="AE31" s="44"/>
      <c r="AF31" s="44"/>
      <c r="AG31" s="26"/>
    </row>
    <row r="32" spans="1:33" ht="15.75" customHeight="1" x14ac:dyDescent="0.2">
      <c r="A32" s="15" t="s">
        <v>59</v>
      </c>
      <c r="B32" s="15"/>
      <c r="C32" s="16">
        <f>IFERROR(F32/D32," - ")</f>
        <v>23.99</v>
      </c>
      <c r="D32" s="17">
        <v>1</v>
      </c>
      <c r="E32" s="17">
        <v>0</v>
      </c>
      <c r="F32" s="18">
        <v>23.99</v>
      </c>
      <c r="G32" s="18">
        <v>0</v>
      </c>
      <c r="H32" s="32">
        <f>G32/F32*-1</f>
        <v>0</v>
      </c>
      <c r="I32" s="32">
        <f>J32/F32</f>
        <v>0.23889846702619136</v>
      </c>
      <c r="J32" s="33">
        <f>F32*0.85+G32+AF32*D32+D32*AE32+AG32+AD32</f>
        <v>5.7311742239583303</v>
      </c>
      <c r="K32" s="33">
        <f>J32/D32</f>
        <v>5.7311742239583303</v>
      </c>
      <c r="L32" s="17">
        <v>8</v>
      </c>
      <c r="M32" s="34">
        <f>IFERROR(D32/L32,"-")</f>
        <v>0.125</v>
      </c>
      <c r="N32" s="17">
        <v>79</v>
      </c>
      <c r="O32" s="35">
        <f t="shared" ref="O32:P32" si="1">D32/7</f>
        <v>0.14285714285714285</v>
      </c>
      <c r="P32" s="35">
        <f t="shared" si="1"/>
        <v>0</v>
      </c>
      <c r="Q32" s="30">
        <f>ROUNDDOWN(N32/(O32+P32),0)</f>
        <v>553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5.0632911392405063E-2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>
        <f ca="1">IFERROR(__xludf.DUMMYFUNCTION("IFERROR(VLOOKUP($B$2,IMPORTRANGE(""https://docs.google.com/spreadsheets/d/1KiWZV1ko8G7lnRucBRBd29jj3Be6ltMfljMDqzOkQmI/edit#gid=1381463014"",""Lookup!A:D""),3,FALSE),"""")"),80)</f>
        <v>80</v>
      </c>
      <c r="V32" s="1" t="str">
        <f ca="1">IFERROR(__xludf.DUMMYFUNCTION("IFERROR(VLOOKUP($B$2,IMPORTRANGE(""https://docs.google.com/spreadsheets/d/1KiWZV1ko8G7lnRucBRBd29jj3Be6ltMfljMDqzOkQmI/edit#gid=1381463014"",""Lookup!A:D""),2,FALSE),"""")"),"| 376-2  - 80 units 07/10")</f>
        <v>| 376-2  - 80 units 07/10</v>
      </c>
      <c r="W32" s="15">
        <v>0</v>
      </c>
      <c r="X32" s="39">
        <f>IFERROR(W32/D32,0)</f>
        <v>0</v>
      </c>
      <c r="Y32" s="40">
        <f>IFERROR(G32/(W32+Z32)*-1,0)</f>
        <v>0</v>
      </c>
      <c r="Z32" s="15">
        <v>0</v>
      </c>
      <c r="AA32" s="15" t="s">
        <v>58</v>
      </c>
      <c r="AB32" s="41">
        <f>IF(OR(AA32="UsLargeStandardSize",AA32="UsSmallStandardSize"),-0.69,-0.48)</f>
        <v>-0.69</v>
      </c>
      <c r="AC32" s="28">
        <v>0.31907664930555552</v>
      </c>
      <c r="AD32" s="40">
        <f>IFERROR(AB32*AC32*D32*2,0)</f>
        <v>-0.44032577604166656</v>
      </c>
      <c r="AE32" s="26">
        <v>-7.48</v>
      </c>
      <c r="AF32" s="49">
        <v>-6.74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2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</row>
    <row r="225" spans="1:33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</row>
    <row r="226" spans="1:33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</row>
    <row r="227" spans="1:33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</row>
    <row r="228" spans="1:33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</row>
    <row r="229" spans="1:33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</row>
    <row r="230" spans="1:33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</row>
    <row r="231" spans="1:33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</row>
    <row r="232" spans="1:33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</row>
    <row r="233" spans="1:33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</row>
    <row r="234" spans="1:33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</row>
    <row r="235" spans="1:33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</row>
    <row r="236" spans="1:33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</row>
    <row r="237" spans="1:33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</row>
    <row r="238" spans="1:33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</row>
    <row r="239" spans="1:33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</row>
    <row r="240" spans="1:33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</row>
    <row r="241" spans="1:33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</row>
    <row r="242" spans="1:33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</row>
    <row r="243" spans="1:33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</row>
    <row r="244" spans="1:33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</row>
    <row r="245" spans="1:33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</row>
    <row r="246" spans="1:33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</row>
    <row r="247" spans="1:33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</row>
    <row r="248" spans="1:33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</row>
    <row r="249" spans="1:33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</row>
    <row r="250" spans="1:33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</row>
    <row r="251" spans="1:33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</row>
    <row r="252" spans="1:33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</row>
    <row r="253" spans="1:33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</row>
    <row r="254" spans="1:33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</row>
    <row r="255" spans="1:33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</row>
    <row r="256" spans="1:33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</row>
    <row r="257" spans="1:33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</row>
    <row r="258" spans="1:33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</row>
    <row r="259" spans="1:33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</row>
    <row r="260" spans="1:33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</row>
    <row r="261" spans="1:33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</row>
    <row r="262" spans="1:33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</row>
    <row r="263" spans="1:33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</row>
    <row r="264" spans="1:33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</row>
    <row r="265" spans="1:33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</row>
    <row r="266" spans="1:33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</row>
    <row r="267" spans="1:33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</row>
    <row r="268" spans="1:33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</row>
    <row r="269" spans="1:33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</row>
    <row r="270" spans="1:33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</row>
    <row r="271" spans="1:33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</row>
    <row r="272" spans="1:33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</row>
    <row r="273" spans="1:33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</row>
    <row r="274" spans="1:33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</row>
    <row r="275" spans="1:33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</row>
    <row r="276" spans="1:33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</row>
    <row r="277" spans="1:33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</row>
    <row r="278" spans="1:33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</row>
    <row r="279" spans="1:33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</row>
    <row r="280" spans="1:33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</row>
    <row r="281" spans="1:33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</row>
    <row r="282" spans="1:33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</row>
    <row r="283" spans="1:33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</row>
    <row r="284" spans="1:33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</row>
    <row r="285" spans="1:33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</row>
    <row r="286" spans="1:33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</row>
    <row r="287" spans="1:33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</row>
    <row r="288" spans="1:33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</row>
    <row r="289" spans="1:33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</row>
    <row r="290" spans="1:33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</row>
    <row r="291" spans="1:33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</row>
    <row r="292" spans="1:33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</row>
    <row r="293" spans="1:33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</row>
    <row r="294" spans="1:33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</row>
    <row r="295" spans="1:33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</row>
    <row r="296" spans="1:33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</row>
    <row r="297" spans="1:33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</row>
    <row r="298" spans="1:33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</row>
    <row r="299" spans="1:33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</row>
    <row r="300" spans="1:33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</row>
    <row r="301" spans="1:33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</row>
    <row r="302" spans="1:33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</row>
    <row r="303" spans="1:33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</row>
    <row r="304" spans="1:33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</row>
    <row r="305" spans="1:33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</row>
    <row r="306" spans="1:33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</row>
    <row r="307" spans="1:33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</row>
    <row r="308" spans="1:33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</row>
    <row r="309" spans="1:33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</row>
    <row r="310" spans="1:33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</row>
    <row r="311" spans="1:33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</row>
    <row r="312" spans="1:33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</row>
    <row r="313" spans="1:33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</row>
    <row r="314" spans="1:33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</row>
    <row r="315" spans="1:33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</row>
    <row r="316" spans="1:33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</row>
    <row r="317" spans="1:33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</row>
    <row r="318" spans="1:33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</row>
    <row r="319" spans="1:33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</row>
    <row r="320" spans="1:33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</row>
    <row r="321" spans="1:33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</row>
    <row r="322" spans="1:33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</row>
    <row r="323" spans="1:33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</row>
    <row r="324" spans="1:33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</row>
    <row r="325" spans="1:33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</row>
    <row r="326" spans="1:33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</row>
    <row r="327" spans="1:33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</row>
    <row r="328" spans="1:33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</row>
    <row r="329" spans="1:33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</row>
    <row r="330" spans="1:33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</row>
    <row r="331" spans="1:33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</row>
    <row r="332" spans="1:33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</row>
    <row r="333" spans="1:33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</row>
    <row r="334" spans="1:33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</row>
    <row r="335" spans="1:33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</row>
    <row r="336" spans="1:33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</row>
    <row r="337" spans="1:33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</row>
    <row r="338" spans="1:33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</row>
    <row r="339" spans="1:33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</row>
    <row r="340" spans="1:33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</row>
    <row r="341" spans="1:33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</row>
    <row r="342" spans="1:33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</row>
    <row r="343" spans="1:33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</row>
    <row r="344" spans="1:33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</row>
    <row r="345" spans="1:33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</row>
    <row r="346" spans="1:33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</row>
    <row r="347" spans="1:33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</row>
    <row r="348" spans="1:33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</row>
    <row r="349" spans="1:33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</row>
    <row r="350" spans="1:33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</row>
    <row r="351" spans="1:33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</row>
    <row r="352" spans="1:33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</row>
    <row r="353" spans="1:33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</row>
    <row r="354" spans="1:33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</row>
    <row r="355" spans="1:33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</row>
    <row r="356" spans="1:33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</row>
    <row r="357" spans="1:33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</row>
    <row r="358" spans="1:33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</row>
    <row r="359" spans="1:33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</row>
    <row r="360" spans="1:33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</row>
    <row r="361" spans="1:33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</row>
    <row r="362" spans="1:33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</row>
    <row r="363" spans="1:33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</row>
    <row r="364" spans="1:33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</row>
    <row r="365" spans="1:33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</row>
    <row r="366" spans="1:33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</row>
    <row r="367" spans="1:33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</row>
    <row r="368" spans="1:33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</row>
    <row r="369" spans="1:33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</row>
    <row r="370" spans="1:33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</row>
    <row r="371" spans="1:33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</row>
    <row r="372" spans="1:33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</row>
    <row r="373" spans="1:33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</row>
    <row r="374" spans="1:33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</row>
    <row r="375" spans="1:33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</row>
    <row r="376" spans="1:33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</row>
    <row r="377" spans="1:33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</row>
    <row r="378" spans="1:33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</row>
    <row r="379" spans="1:33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</row>
    <row r="380" spans="1:33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</row>
    <row r="381" spans="1:33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</row>
    <row r="382" spans="1:33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</row>
    <row r="383" spans="1:33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</row>
    <row r="384" spans="1:33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</row>
    <row r="385" spans="1:33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</row>
    <row r="386" spans="1:33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</row>
    <row r="387" spans="1:33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</row>
    <row r="388" spans="1:33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</row>
    <row r="389" spans="1:33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</row>
    <row r="390" spans="1:33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</row>
    <row r="391" spans="1:33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</row>
    <row r="392" spans="1:33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</row>
    <row r="393" spans="1:33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</row>
    <row r="394" spans="1:33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</row>
    <row r="395" spans="1:33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</row>
    <row r="396" spans="1:33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</row>
    <row r="397" spans="1:33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</row>
    <row r="398" spans="1:33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</row>
    <row r="399" spans="1:33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</row>
    <row r="400" spans="1:33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</row>
    <row r="401" spans="1:33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</row>
    <row r="402" spans="1:33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</row>
    <row r="403" spans="1:33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</row>
    <row r="404" spans="1:33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</row>
    <row r="405" spans="1:33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</row>
    <row r="406" spans="1:33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</row>
    <row r="407" spans="1:33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</row>
    <row r="408" spans="1:33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</row>
    <row r="409" spans="1:33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</row>
    <row r="410" spans="1:33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</row>
    <row r="411" spans="1:33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</row>
    <row r="412" spans="1:33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</row>
    <row r="413" spans="1:33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</row>
    <row r="414" spans="1:33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</row>
    <row r="415" spans="1:33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</row>
    <row r="416" spans="1:33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</row>
    <row r="417" spans="1:33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</row>
    <row r="418" spans="1:33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</row>
    <row r="419" spans="1:33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</row>
    <row r="420" spans="1:33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</row>
    <row r="421" spans="1:33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</row>
    <row r="422" spans="1:33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</row>
    <row r="423" spans="1:33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</row>
    <row r="424" spans="1:33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</row>
    <row r="425" spans="1:33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</row>
    <row r="426" spans="1:33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</row>
    <row r="427" spans="1:33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</row>
    <row r="428" spans="1:33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</row>
    <row r="429" spans="1:33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</row>
    <row r="430" spans="1:33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</row>
    <row r="431" spans="1:33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</row>
    <row r="432" spans="1:33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</row>
    <row r="433" spans="1:33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</row>
    <row r="434" spans="1:33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</row>
    <row r="435" spans="1:33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</row>
    <row r="436" spans="1:33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</row>
    <row r="437" spans="1:33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</row>
    <row r="438" spans="1:33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</row>
    <row r="439" spans="1:33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</row>
    <row r="440" spans="1:33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</row>
    <row r="441" spans="1:33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</row>
    <row r="442" spans="1:33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</row>
    <row r="443" spans="1:33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</row>
    <row r="444" spans="1:33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</row>
    <row r="445" spans="1:33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</row>
    <row r="446" spans="1:33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47" spans="1:33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</row>
    <row r="448" spans="1:33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</row>
    <row r="449" spans="1:33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</row>
    <row r="450" spans="1:33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</row>
    <row r="451" spans="1:33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</row>
    <row r="452" spans="1:33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</row>
    <row r="453" spans="1:33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</row>
    <row r="454" spans="1:33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</row>
    <row r="455" spans="1:33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</row>
    <row r="456" spans="1:33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</row>
    <row r="457" spans="1:33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</row>
    <row r="458" spans="1:33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</row>
    <row r="459" spans="1:33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</row>
    <row r="460" spans="1:33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</row>
    <row r="461" spans="1:33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</row>
    <row r="462" spans="1:33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</row>
    <row r="463" spans="1:33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</row>
    <row r="464" spans="1:33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</row>
    <row r="465" spans="1:33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</row>
    <row r="466" spans="1:33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</row>
    <row r="467" spans="1:33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</row>
    <row r="468" spans="1:33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</row>
    <row r="469" spans="1:33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</row>
    <row r="470" spans="1:33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</row>
    <row r="471" spans="1:33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</row>
    <row r="472" spans="1:33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</row>
    <row r="473" spans="1:33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</row>
    <row r="474" spans="1:33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</row>
    <row r="475" spans="1:33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</row>
    <row r="476" spans="1:33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</row>
    <row r="477" spans="1:33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</row>
    <row r="478" spans="1:33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</row>
    <row r="479" spans="1:33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</row>
    <row r="480" spans="1:33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</row>
    <row r="481" spans="1:33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</row>
    <row r="482" spans="1:33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</row>
    <row r="483" spans="1:33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</row>
    <row r="484" spans="1:33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</row>
    <row r="485" spans="1:33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</row>
    <row r="486" spans="1:33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</row>
    <row r="487" spans="1:33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</row>
    <row r="488" spans="1:33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</row>
    <row r="489" spans="1:33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</row>
    <row r="490" spans="1:33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</row>
    <row r="491" spans="1:33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</row>
    <row r="492" spans="1:33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</row>
    <row r="493" spans="1:33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</row>
    <row r="494" spans="1:33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</row>
    <row r="495" spans="1:33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</row>
    <row r="496" spans="1:33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1:33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1:33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1:33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1:33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1:33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1:33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1:33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1:33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1:33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1:33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1:33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1:33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1:33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1:33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1:33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1:33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3" spans="1:33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</row>
    <row r="514" spans="1:33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</row>
    <row r="515" spans="1:33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</row>
    <row r="516" spans="1:33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</row>
    <row r="517" spans="1:33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</row>
    <row r="518" spans="1:33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</row>
    <row r="519" spans="1:33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</row>
    <row r="520" spans="1:33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</row>
    <row r="521" spans="1:33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</row>
    <row r="522" spans="1:33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</row>
    <row r="523" spans="1:33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</row>
    <row r="524" spans="1:33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</row>
    <row r="525" spans="1:33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</row>
    <row r="526" spans="1:33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</row>
    <row r="527" spans="1:33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</row>
    <row r="528" spans="1:33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</row>
    <row r="529" spans="1:33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</row>
    <row r="530" spans="1:33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</row>
    <row r="531" spans="1:33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</row>
    <row r="532" spans="1:33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</row>
    <row r="533" spans="1:33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</row>
    <row r="534" spans="1:33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</row>
    <row r="535" spans="1:33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</row>
    <row r="536" spans="1:33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</row>
    <row r="537" spans="1:33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</row>
    <row r="538" spans="1:33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</row>
    <row r="539" spans="1:33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</row>
    <row r="540" spans="1:33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</row>
    <row r="541" spans="1:33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</row>
    <row r="542" spans="1:33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</row>
    <row r="543" spans="1:33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</row>
    <row r="544" spans="1:33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</row>
    <row r="545" spans="1:33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</row>
    <row r="546" spans="1:33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</row>
    <row r="547" spans="1:33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</row>
    <row r="548" spans="1:33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</row>
    <row r="549" spans="1:33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</row>
    <row r="550" spans="1:33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</row>
    <row r="551" spans="1:33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</row>
    <row r="552" spans="1:33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</row>
    <row r="553" spans="1:33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</row>
    <row r="554" spans="1:33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</row>
    <row r="555" spans="1:33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</row>
    <row r="556" spans="1:33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</row>
    <row r="557" spans="1:33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</row>
    <row r="558" spans="1:33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</row>
    <row r="559" spans="1:33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</row>
    <row r="560" spans="1:33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</row>
    <row r="561" spans="1:33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</row>
    <row r="562" spans="1:33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</row>
    <row r="563" spans="1:33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</row>
    <row r="564" spans="1:33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</row>
    <row r="565" spans="1:33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</row>
    <row r="566" spans="1:33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</row>
    <row r="567" spans="1:33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</row>
    <row r="568" spans="1:33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</row>
    <row r="569" spans="1:33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</row>
    <row r="570" spans="1:33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</row>
    <row r="571" spans="1:33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</row>
    <row r="572" spans="1:33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</row>
    <row r="573" spans="1:33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</row>
    <row r="574" spans="1:33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</row>
    <row r="575" spans="1:33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</row>
    <row r="576" spans="1:33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</row>
    <row r="577" spans="1:33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</row>
    <row r="578" spans="1:33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</row>
    <row r="579" spans="1:33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</row>
    <row r="580" spans="1:33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</row>
    <row r="581" spans="1:33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</row>
    <row r="582" spans="1:33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</row>
    <row r="583" spans="1:33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</row>
    <row r="584" spans="1:33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</row>
    <row r="585" spans="1:33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</row>
    <row r="586" spans="1:33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</row>
    <row r="587" spans="1:33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</row>
    <row r="588" spans="1:33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</row>
    <row r="589" spans="1:33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</row>
    <row r="590" spans="1:33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</row>
    <row r="591" spans="1:33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</row>
    <row r="592" spans="1:33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</row>
    <row r="593" spans="1:33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</row>
    <row r="594" spans="1:33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</row>
    <row r="595" spans="1:33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</row>
    <row r="596" spans="1:33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</row>
    <row r="597" spans="1:33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</row>
    <row r="598" spans="1:33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</row>
    <row r="599" spans="1:33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</row>
    <row r="600" spans="1:33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</row>
    <row r="601" spans="1:33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</row>
    <row r="602" spans="1:33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</row>
    <row r="603" spans="1:33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</row>
    <row r="604" spans="1:33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</row>
    <row r="605" spans="1:33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</row>
    <row r="606" spans="1:33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</row>
    <row r="607" spans="1:33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</row>
    <row r="608" spans="1:33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</row>
    <row r="609" spans="1:33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</row>
    <row r="610" spans="1:33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</row>
    <row r="611" spans="1:33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</row>
    <row r="612" spans="1:33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</row>
    <row r="613" spans="1:33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</row>
    <row r="614" spans="1:33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</row>
    <row r="615" spans="1:33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</row>
    <row r="616" spans="1:33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</row>
    <row r="617" spans="1:33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</row>
    <row r="618" spans="1:33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</row>
    <row r="619" spans="1:33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</row>
    <row r="620" spans="1:33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</row>
    <row r="621" spans="1:33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</row>
    <row r="622" spans="1:33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</row>
    <row r="623" spans="1:33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</row>
    <row r="624" spans="1:33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</row>
    <row r="625" spans="1:33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</row>
    <row r="626" spans="1:33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</row>
    <row r="627" spans="1:33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</row>
    <row r="628" spans="1:33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</row>
    <row r="629" spans="1:33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</row>
    <row r="630" spans="1:33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</row>
    <row r="631" spans="1:33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</row>
    <row r="632" spans="1:33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</row>
    <row r="633" spans="1:33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</row>
    <row r="634" spans="1:33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</row>
    <row r="635" spans="1:33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</row>
    <row r="636" spans="1:33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</row>
    <row r="637" spans="1:33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</row>
    <row r="638" spans="1:33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</row>
    <row r="639" spans="1:33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</row>
    <row r="640" spans="1:33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</row>
    <row r="641" spans="1:33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</row>
    <row r="642" spans="1:33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</row>
    <row r="643" spans="1:33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</row>
    <row r="644" spans="1:33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</row>
    <row r="645" spans="1:33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</row>
    <row r="646" spans="1:33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</row>
    <row r="647" spans="1:33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</row>
    <row r="648" spans="1:33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</row>
    <row r="649" spans="1:33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</row>
    <row r="650" spans="1:33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</row>
    <row r="651" spans="1:33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</row>
    <row r="652" spans="1:33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</row>
    <row r="653" spans="1:33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</row>
    <row r="654" spans="1:33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</row>
    <row r="655" spans="1:33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</row>
    <row r="656" spans="1:33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</row>
    <row r="657" spans="1:33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</row>
    <row r="658" spans="1:33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</row>
    <row r="659" spans="1:33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</row>
    <row r="660" spans="1:33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</row>
    <row r="661" spans="1:33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</row>
    <row r="662" spans="1:33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</row>
    <row r="663" spans="1:33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</row>
    <row r="664" spans="1:33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</row>
    <row r="665" spans="1:33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</row>
    <row r="666" spans="1:33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</row>
    <row r="667" spans="1:33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</row>
    <row r="668" spans="1:33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</row>
    <row r="669" spans="1:33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</row>
    <row r="670" spans="1:33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</row>
    <row r="671" spans="1:33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</row>
    <row r="672" spans="1:33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</row>
    <row r="673" spans="1:33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</row>
    <row r="674" spans="1:33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</row>
    <row r="675" spans="1:33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</row>
    <row r="676" spans="1:33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</row>
    <row r="677" spans="1:33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</row>
    <row r="678" spans="1:33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</row>
    <row r="679" spans="1:33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</row>
    <row r="680" spans="1:33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</row>
    <row r="681" spans="1:33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</row>
    <row r="682" spans="1:33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</row>
    <row r="683" spans="1:33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</row>
    <row r="684" spans="1:33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</row>
    <row r="685" spans="1:33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</row>
    <row r="686" spans="1:33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</row>
    <row r="687" spans="1:33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</row>
    <row r="688" spans="1:33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</row>
    <row r="689" spans="1:33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</row>
    <row r="690" spans="1:33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</row>
    <row r="691" spans="1:33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</row>
    <row r="692" spans="1:33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</row>
    <row r="693" spans="1:33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</row>
    <row r="694" spans="1:33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</row>
    <row r="695" spans="1:33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</row>
    <row r="696" spans="1:33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</row>
    <row r="697" spans="1:33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</row>
    <row r="698" spans="1:33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</row>
    <row r="699" spans="1:33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</row>
    <row r="700" spans="1:33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</row>
    <row r="701" spans="1:33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</row>
    <row r="702" spans="1:33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</row>
    <row r="703" spans="1:33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</row>
    <row r="704" spans="1:33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</row>
    <row r="705" spans="1:33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</row>
    <row r="706" spans="1:33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</row>
    <row r="707" spans="1:33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</row>
    <row r="708" spans="1:33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</row>
    <row r="709" spans="1:33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</row>
    <row r="710" spans="1:33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</row>
    <row r="711" spans="1:33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</row>
    <row r="712" spans="1:33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</row>
    <row r="713" spans="1:33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</row>
    <row r="714" spans="1:33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</row>
    <row r="715" spans="1:33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</row>
    <row r="716" spans="1:33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</row>
    <row r="717" spans="1:33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</row>
    <row r="718" spans="1:33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</row>
    <row r="719" spans="1:33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</row>
    <row r="720" spans="1:33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</row>
    <row r="721" spans="1:33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</row>
    <row r="722" spans="1:33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</row>
    <row r="723" spans="1:33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</row>
    <row r="724" spans="1:33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</row>
    <row r="725" spans="1:33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</row>
    <row r="726" spans="1:33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</row>
    <row r="727" spans="1:33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</row>
    <row r="728" spans="1:33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</row>
    <row r="729" spans="1:33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</row>
    <row r="730" spans="1:33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</row>
    <row r="731" spans="1:33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</row>
    <row r="732" spans="1:33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</row>
    <row r="733" spans="1:33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</row>
    <row r="734" spans="1:33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</row>
    <row r="735" spans="1:33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</row>
    <row r="736" spans="1:33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</row>
    <row r="737" spans="1:33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</row>
    <row r="738" spans="1:33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</row>
    <row r="739" spans="1:33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</row>
    <row r="740" spans="1:33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</row>
    <row r="741" spans="1:33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</row>
    <row r="742" spans="1:33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</row>
    <row r="743" spans="1:33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</row>
    <row r="744" spans="1:33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</row>
    <row r="745" spans="1:33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</row>
    <row r="746" spans="1:33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</row>
    <row r="747" spans="1:33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</row>
    <row r="748" spans="1:33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</row>
    <row r="749" spans="1:33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</row>
    <row r="750" spans="1:33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</row>
    <row r="751" spans="1:33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</row>
    <row r="752" spans="1:33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</row>
    <row r="753" spans="1:33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</row>
    <row r="754" spans="1:33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</row>
    <row r="755" spans="1:33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</row>
    <row r="756" spans="1:33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</row>
    <row r="757" spans="1:33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</row>
    <row r="758" spans="1:33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</row>
    <row r="759" spans="1:33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</row>
    <row r="760" spans="1:33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</row>
    <row r="761" spans="1:33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</row>
    <row r="762" spans="1:33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</row>
    <row r="763" spans="1:33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</row>
    <row r="764" spans="1:33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</row>
    <row r="765" spans="1:33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</row>
    <row r="766" spans="1:33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</row>
    <row r="767" spans="1:33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</row>
    <row r="768" spans="1:33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</row>
    <row r="769" spans="1:33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</row>
    <row r="770" spans="1:33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</row>
    <row r="771" spans="1:33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</row>
    <row r="772" spans="1:33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</row>
    <row r="773" spans="1:33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</row>
    <row r="774" spans="1:33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</row>
    <row r="775" spans="1:33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</row>
    <row r="776" spans="1:33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</row>
    <row r="777" spans="1:33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</row>
    <row r="778" spans="1:33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</row>
    <row r="779" spans="1:33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</row>
    <row r="780" spans="1:33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</row>
    <row r="781" spans="1:33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</row>
    <row r="782" spans="1:33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</row>
    <row r="783" spans="1:33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</row>
    <row r="784" spans="1:33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</row>
    <row r="785" spans="1:33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</row>
    <row r="786" spans="1:33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</row>
    <row r="787" spans="1:33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</row>
    <row r="788" spans="1:33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</row>
    <row r="789" spans="1:33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</row>
    <row r="790" spans="1:33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</row>
    <row r="791" spans="1:33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</row>
    <row r="792" spans="1:33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</row>
    <row r="793" spans="1:33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</row>
    <row r="794" spans="1:33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</row>
    <row r="795" spans="1:33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</row>
    <row r="796" spans="1:33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</row>
    <row r="797" spans="1:33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</row>
    <row r="798" spans="1:33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</row>
    <row r="799" spans="1:33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</row>
    <row r="800" spans="1:33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</row>
    <row r="801" spans="1:33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</row>
    <row r="802" spans="1:33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</row>
    <row r="803" spans="1:33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</row>
    <row r="804" spans="1:33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</row>
    <row r="805" spans="1:33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</row>
    <row r="806" spans="1:33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</row>
    <row r="807" spans="1:33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</row>
    <row r="808" spans="1:33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</row>
    <row r="809" spans="1:33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</row>
    <row r="810" spans="1:33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</row>
    <row r="811" spans="1:33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</row>
    <row r="812" spans="1:33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</row>
    <row r="813" spans="1:33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</row>
    <row r="814" spans="1:33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</row>
    <row r="815" spans="1:33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</row>
    <row r="816" spans="1:33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</row>
    <row r="817" spans="1:33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</row>
    <row r="818" spans="1:33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</row>
    <row r="819" spans="1:33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</row>
    <row r="820" spans="1:33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</row>
    <row r="821" spans="1:33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</row>
    <row r="822" spans="1:33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</row>
    <row r="823" spans="1:33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</row>
    <row r="824" spans="1:33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</row>
    <row r="825" spans="1:33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</row>
    <row r="826" spans="1:33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</row>
    <row r="827" spans="1:33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</row>
    <row r="828" spans="1:33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</row>
    <row r="829" spans="1:33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</row>
    <row r="830" spans="1:33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</row>
    <row r="831" spans="1:33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</row>
    <row r="832" spans="1:33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</row>
    <row r="833" spans="1:33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</row>
    <row r="834" spans="1:33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</row>
    <row r="835" spans="1:33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</row>
    <row r="836" spans="1:33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</row>
    <row r="837" spans="1:33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</row>
    <row r="838" spans="1:33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</row>
    <row r="839" spans="1:33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</row>
    <row r="840" spans="1:33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</row>
    <row r="841" spans="1:33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</row>
    <row r="842" spans="1:33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</row>
    <row r="843" spans="1:33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</row>
    <row r="844" spans="1:33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</row>
    <row r="845" spans="1:33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</row>
    <row r="846" spans="1:33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</row>
    <row r="847" spans="1:33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</row>
    <row r="848" spans="1:33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</row>
    <row r="849" spans="1:33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</row>
    <row r="850" spans="1:33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</row>
    <row r="851" spans="1:33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</row>
    <row r="852" spans="1:33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</row>
    <row r="853" spans="1:33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</row>
    <row r="854" spans="1:33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</row>
    <row r="855" spans="1:33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</row>
    <row r="856" spans="1:33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</row>
    <row r="857" spans="1:33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</row>
    <row r="858" spans="1:33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</row>
    <row r="859" spans="1:33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</row>
    <row r="860" spans="1:33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</row>
    <row r="861" spans="1:33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</row>
    <row r="862" spans="1:33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</row>
    <row r="863" spans="1:33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</row>
    <row r="864" spans="1:33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</row>
    <row r="865" spans="1:33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</row>
    <row r="866" spans="1:33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</row>
    <row r="867" spans="1:33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</row>
    <row r="868" spans="1:33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</row>
    <row r="869" spans="1:33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</row>
    <row r="870" spans="1:33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</row>
    <row r="871" spans="1:33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</row>
    <row r="872" spans="1:33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</row>
    <row r="873" spans="1:33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</row>
    <row r="874" spans="1:33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</row>
    <row r="875" spans="1:33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</row>
    <row r="876" spans="1:33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</row>
    <row r="877" spans="1:33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</row>
    <row r="878" spans="1:33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</row>
    <row r="879" spans="1:33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</row>
    <row r="880" spans="1:33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</row>
    <row r="881" spans="1:33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</row>
    <row r="882" spans="1:33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</row>
    <row r="883" spans="1:33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</row>
    <row r="884" spans="1:33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</row>
    <row r="885" spans="1:33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</row>
    <row r="886" spans="1:33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</row>
    <row r="887" spans="1:33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</row>
    <row r="888" spans="1:33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</row>
    <row r="889" spans="1:33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</row>
    <row r="890" spans="1:33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</row>
    <row r="891" spans="1:33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</row>
    <row r="892" spans="1:33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</row>
    <row r="893" spans="1:33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</row>
    <row r="894" spans="1:33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</row>
    <row r="895" spans="1:33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</row>
    <row r="896" spans="1:33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</row>
    <row r="897" spans="1:33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</row>
    <row r="898" spans="1:33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</row>
    <row r="899" spans="1:33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</row>
    <row r="900" spans="1:33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</row>
    <row r="901" spans="1:33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</row>
    <row r="902" spans="1:33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</row>
    <row r="903" spans="1:33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</row>
    <row r="904" spans="1:33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</row>
    <row r="905" spans="1:33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</row>
    <row r="906" spans="1:33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</row>
    <row r="907" spans="1:33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</row>
    <row r="908" spans="1:33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</row>
    <row r="909" spans="1:33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</row>
    <row r="910" spans="1:33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</row>
    <row r="911" spans="1:33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</row>
    <row r="912" spans="1:33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</row>
    <row r="913" spans="1:33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</row>
    <row r="914" spans="1:33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</row>
    <row r="915" spans="1:33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</row>
    <row r="916" spans="1:33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</row>
    <row r="917" spans="1:33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</row>
    <row r="918" spans="1:33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</row>
    <row r="919" spans="1:33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</row>
    <row r="920" spans="1:33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</row>
    <row r="921" spans="1:33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</row>
    <row r="922" spans="1:33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</row>
    <row r="923" spans="1:33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</row>
    <row r="924" spans="1:33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</row>
    <row r="925" spans="1:33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</row>
    <row r="926" spans="1:33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</row>
    <row r="927" spans="1:33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</row>
    <row r="928" spans="1:33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</row>
    <row r="929" spans="1:33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</row>
    <row r="930" spans="1:33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</row>
    <row r="931" spans="1:33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</row>
    <row r="932" spans="1:33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</row>
    <row r="933" spans="1:33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</row>
    <row r="934" spans="1:33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</row>
    <row r="935" spans="1:33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</row>
    <row r="936" spans="1:33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</row>
    <row r="937" spans="1:33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</row>
    <row r="938" spans="1:33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</row>
    <row r="939" spans="1:33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</row>
    <row r="940" spans="1:33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</row>
    <row r="941" spans="1:33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</row>
    <row r="942" spans="1:33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</row>
    <row r="943" spans="1:33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</row>
    <row r="944" spans="1:33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</row>
    <row r="945" spans="1:33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</row>
    <row r="946" spans="1:33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</row>
    <row r="947" spans="1:33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</row>
    <row r="948" spans="1:33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</row>
    <row r="949" spans="1:33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</row>
    <row r="950" spans="1:33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</row>
    <row r="951" spans="1:33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</row>
    <row r="952" spans="1:33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</row>
    <row r="953" spans="1:33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</row>
    <row r="954" spans="1:33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</row>
    <row r="955" spans="1:33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</row>
    <row r="956" spans="1:33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</row>
    <row r="957" spans="1:33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</row>
    <row r="958" spans="1:33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</row>
    <row r="959" spans="1:33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</row>
    <row r="960" spans="1:33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</row>
    <row r="961" spans="1:33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</row>
    <row r="962" spans="1:33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</row>
    <row r="963" spans="1:33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</row>
    <row r="964" spans="1:33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</row>
    <row r="965" spans="1:33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</row>
    <row r="966" spans="1:33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</row>
    <row r="967" spans="1:33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</row>
    <row r="968" spans="1:33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</row>
    <row r="969" spans="1:33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</row>
    <row r="970" spans="1:33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</row>
    <row r="971" spans="1:33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</row>
    <row r="972" spans="1:33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</row>
    <row r="973" spans="1:33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</row>
    <row r="974" spans="1:33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</row>
    <row r="975" spans="1:33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</row>
    <row r="976" spans="1:33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</row>
    <row r="977" spans="1:33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</row>
    <row r="978" spans="1:33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</row>
    <row r="979" spans="1:33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</row>
    <row r="980" spans="1:33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</row>
    <row r="981" spans="1:33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</row>
    <row r="982" spans="1:33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</row>
    <row r="983" spans="1:33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</row>
    <row r="984" spans="1:33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</row>
    <row r="985" spans="1:33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</row>
    <row r="986" spans="1:33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</row>
    <row r="987" spans="1:33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</row>
    <row r="988" spans="1:33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</row>
    <row r="989" spans="1:33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</row>
    <row r="990" spans="1:33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</row>
    <row r="991" spans="1:33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</row>
    <row r="992" spans="1:33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</row>
    <row r="993" spans="1:33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</row>
    <row r="994" spans="1:33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</row>
    <row r="995" spans="1:33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</row>
    <row r="996" spans="1:33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</row>
    <row r="997" spans="1:33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</row>
    <row r="998" spans="1:33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</row>
    <row r="999" spans="1:33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</row>
    <row r="1000" spans="1:33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EA9999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39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American Flag Bean Bags for Corn Hole Game - Regulation Size &amp; Weight - Stars and Stripes")</f>
        <v>Corn Filled Cornhole Bags - Set of 8 American Flag Bean Bags for Corn Hole Game - Regulation Size &amp; Weight - Stars and Stripes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Info!B1:BJ7000""),2,FALSE),"""")"),"B08971R6C7")</f>
        <v>B08971R6C7</v>
      </c>
      <c r="B2" s="47" t="s">
        <v>392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16.374136769117648</v>
      </c>
      <c r="D3" s="5">
        <f>SUM(D4:D99765)</f>
        <v>223</v>
      </c>
      <c r="E3" s="5"/>
      <c r="F3" s="6">
        <f t="shared" ref="F3:G3" si="0">SUM(F4:F99765)</f>
        <v>5127.04</v>
      </c>
      <c r="G3" s="6">
        <f t="shared" si="0"/>
        <v>-567.70000000000005</v>
      </c>
      <c r="H3" s="7">
        <f t="shared" ref="H3:H32" si="1">G3/F3*-1</f>
        <v>0.11072665709649233</v>
      </c>
      <c r="I3" s="8">
        <f t="shared" ref="I3:I32" si="2">J3/F3</f>
        <v>0.10156962697729305</v>
      </c>
      <c r="J3" s="6">
        <f>SUM(J4:J99765)</f>
        <v>520.75154029766054</v>
      </c>
      <c r="K3" s="6">
        <f t="shared" ref="K3:K32" si="3">J3/D3</f>
        <v>2.33520870088637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5 - April
30 - May
30 - June
20 - July
20 - Aug
1 - Sept
1 - Oct
0 - Nov
0 - Dec
3 - Jan
1 - Feb")</f>
        <v>1 - March
5 - April
30 - May
30 - June
20 - July
20 - Aug
1 - Sept
1 - Oct
0 - Nov
0 - Dec
3 -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86</v>
      </c>
      <c r="X3" s="7">
        <f>W3/D3</f>
        <v>0.38565022421524664</v>
      </c>
      <c r="Y3" s="6"/>
      <c r="Z3" s="5"/>
      <c r="AA3" s="5"/>
      <c r="AB3" s="5"/>
      <c r="AC3" s="5"/>
      <c r="AD3" s="6">
        <f>SUM(AD4:AD99765)</f>
        <v>-82.404435822499963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Info!B2:BZ7000""),36,FALSE)),"""")*-1"),-6.73801625375)</f>
        <v>-6.7380162537499997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>
        <f t="shared" ref="C4:C32" si="4">IFERROR(F4/D4," - ")</f>
        <v>19.989999999999998</v>
      </c>
      <c r="D4" s="17">
        <v>1</v>
      </c>
      <c r="E4" s="17">
        <v>0</v>
      </c>
      <c r="F4" s="18">
        <v>19.989999999999998</v>
      </c>
      <c r="G4" s="18">
        <v>0</v>
      </c>
      <c r="H4" s="19">
        <f t="shared" si="1"/>
        <v>0</v>
      </c>
      <c r="I4" s="19">
        <f t="shared" si="2"/>
        <v>0.17125750695860742</v>
      </c>
      <c r="J4" s="18">
        <f t="shared" ref="J4:J32" si="5">F4*0.85+G4+AF4*D4+D4*AE4+AG4+AD4</f>
        <v>3.4234375641025618</v>
      </c>
      <c r="K4" s="18">
        <f t="shared" si="3"/>
        <v>3.4234375641025618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0.14285714285714285</v>
      </c>
      <c r="P4" s="21">
        <f t="shared" si="7"/>
        <v>0</v>
      </c>
      <c r="Q4" s="17">
        <f t="shared" ref="Q4:Q32" si="8">ROUNDDOWN(N4/(O4+P4),0)</f>
        <v>0</v>
      </c>
      <c r="R4" s="17"/>
      <c r="S4" s="22">
        <v>2.8188976377952701</v>
      </c>
      <c r="T4" s="15">
        <v>3324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0.26800000000000002</v>
      </c>
      <c r="AD4" s="26">
        <f t="shared" ref="AD4:AD32" si="12">IFERROR(AB4*AC4*D4*2,0)</f>
        <v>-0.36984</v>
      </c>
      <c r="AE4" s="26">
        <v>-7.32</v>
      </c>
      <c r="AF4" s="26">
        <v>-5.8782224358974364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1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>
        <v>1.80402010050251</v>
      </c>
      <c r="T5" s="29">
        <v>3540</v>
      </c>
      <c r="U5" s="37">
        <v>216</v>
      </c>
      <c r="V5" s="38" t="s">
        <v>393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" t="s">
        <v>58</v>
      </c>
      <c r="AB5" s="27">
        <f t="shared" si="11"/>
        <v>-0.69</v>
      </c>
      <c r="AC5" s="28">
        <v>0.26800000000000002</v>
      </c>
      <c r="AD5" s="26">
        <f t="shared" si="12"/>
        <v>0</v>
      </c>
      <c r="AE5" s="26">
        <v>-7.32</v>
      </c>
      <c r="AF5" s="40">
        <v>-5.8782224358974364</v>
      </c>
      <c r="AG5" s="40">
        <v>0</v>
      </c>
    </row>
    <row r="6" spans="1:33" ht="15.75" customHeight="1" x14ac:dyDescent="0.2">
      <c r="A6" s="29" t="s">
        <v>34</v>
      </c>
      <c r="B6" s="29"/>
      <c r="C6" s="16">
        <f t="shared" si="4"/>
        <v>19.989999999999998</v>
      </c>
      <c r="D6" s="30">
        <v>1</v>
      </c>
      <c r="E6" s="30">
        <v>0</v>
      </c>
      <c r="F6" s="31">
        <v>19.989999999999998</v>
      </c>
      <c r="G6" s="31">
        <v>0</v>
      </c>
      <c r="H6" s="32">
        <f t="shared" si="1"/>
        <v>0</v>
      </c>
      <c r="I6" s="32">
        <f t="shared" si="2"/>
        <v>0.17125750695860742</v>
      </c>
      <c r="J6" s="33">
        <f t="shared" si="5"/>
        <v>3.4234375641025618</v>
      </c>
      <c r="K6" s="33">
        <f t="shared" si="3"/>
        <v>3.4234375641025618</v>
      </c>
      <c r="L6" s="30">
        <v>2</v>
      </c>
      <c r="M6" s="34">
        <f t="shared" si="6"/>
        <v>0.5</v>
      </c>
      <c r="N6" s="30">
        <v>0</v>
      </c>
      <c r="O6" s="35">
        <f t="shared" ref="O6:P6" si="14">D6/7</f>
        <v>0.14285714285714285</v>
      </c>
      <c r="P6" s="35">
        <f t="shared" si="14"/>
        <v>0</v>
      </c>
      <c r="Q6" s="30">
        <f t="shared" si="8"/>
        <v>0</v>
      </c>
      <c r="R6" s="30"/>
      <c r="S6" s="36" t="e">
        <v>#N/A</v>
      </c>
      <c r="T6" s="29">
        <v>3540</v>
      </c>
      <c r="U6" s="37">
        <v>216</v>
      </c>
      <c r="V6" s="38" t="s">
        <v>394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" t="s">
        <v>58</v>
      </c>
      <c r="AB6" s="27">
        <f t="shared" si="11"/>
        <v>-0.69</v>
      </c>
      <c r="AC6" s="28">
        <v>0.26800000000000002</v>
      </c>
      <c r="AD6" s="26">
        <f t="shared" si="12"/>
        <v>-0.36984</v>
      </c>
      <c r="AE6" s="26">
        <v>-7.32</v>
      </c>
      <c r="AF6" s="40">
        <v>-5.8782224358974364</v>
      </c>
      <c r="AG6" s="40">
        <v>0</v>
      </c>
    </row>
    <row r="7" spans="1:33" ht="15.75" customHeight="1" x14ac:dyDescent="0.2">
      <c r="A7" s="29" t="s">
        <v>35</v>
      </c>
      <c r="B7" s="29" t="s">
        <v>395</v>
      </c>
      <c r="C7" s="16">
        <f t="shared" si="4"/>
        <v>19.989999999999998</v>
      </c>
      <c r="D7" s="30">
        <v>2</v>
      </c>
      <c r="E7" s="30">
        <v>0</v>
      </c>
      <c r="F7" s="31">
        <v>39.979999999999997</v>
      </c>
      <c r="G7" s="31">
        <v>-7.7299999999999995</v>
      </c>
      <c r="H7" s="32">
        <f t="shared" si="1"/>
        <v>0.19334667333666833</v>
      </c>
      <c r="I7" s="32">
        <f t="shared" si="2"/>
        <v>-2.2089166378060954E-2</v>
      </c>
      <c r="J7" s="33">
        <f t="shared" si="5"/>
        <v>-0.88312487179487686</v>
      </c>
      <c r="K7" s="33">
        <f t="shared" si="3"/>
        <v>-0.44156243589743843</v>
      </c>
      <c r="L7" s="30">
        <v>10</v>
      </c>
      <c r="M7" s="34">
        <f t="shared" si="6"/>
        <v>0.2</v>
      </c>
      <c r="N7" s="30">
        <v>0</v>
      </c>
      <c r="O7" s="35">
        <f t="shared" ref="O7:P7" si="15">D7/7</f>
        <v>0.2857142857142857</v>
      </c>
      <c r="P7" s="35">
        <f t="shared" si="15"/>
        <v>0</v>
      </c>
      <c r="Q7" s="30">
        <f t="shared" si="8"/>
        <v>0</v>
      </c>
      <c r="R7" s="30"/>
      <c r="S7" s="36">
        <v>2.4432809773123898</v>
      </c>
      <c r="T7" s="29">
        <v>3540</v>
      </c>
      <c r="U7" s="37">
        <v>216</v>
      </c>
      <c r="V7" s="38" t="s">
        <v>396</v>
      </c>
      <c r="W7" s="29">
        <v>1</v>
      </c>
      <c r="X7" s="39">
        <f t="shared" si="9"/>
        <v>0.5</v>
      </c>
      <c r="Y7" s="40">
        <f t="shared" si="10"/>
        <v>7.7299999999999995</v>
      </c>
      <c r="Z7" s="29">
        <v>0</v>
      </c>
      <c r="AA7" s="2" t="s">
        <v>58</v>
      </c>
      <c r="AB7" s="27">
        <f t="shared" si="11"/>
        <v>-0.69</v>
      </c>
      <c r="AC7" s="28">
        <v>0.26800000000000002</v>
      </c>
      <c r="AD7" s="26">
        <f t="shared" si="12"/>
        <v>-0.73968</v>
      </c>
      <c r="AE7" s="26">
        <v>-7.32</v>
      </c>
      <c r="AF7" s="40">
        <v>-5.8782224358974364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3324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-5.88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3324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-6.2314275641025603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3324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-6.2314275641025603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5388</v>
      </c>
      <c r="U11" s="37">
        <v>216</v>
      </c>
      <c r="V11" s="38" t="s">
        <v>397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-6.2314275641025603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2064</v>
      </c>
      <c r="U12" s="37">
        <v>216</v>
      </c>
      <c r="V12" s="38" t="s">
        <v>398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-6.3186070512820498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2064</v>
      </c>
      <c r="U13" s="37">
        <v>216</v>
      </c>
      <c r="V13" s="38" t="s">
        <v>399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-6.5173249999999996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2064</v>
      </c>
      <c r="U14" s="37">
        <v>216</v>
      </c>
      <c r="V14" s="38" t="s">
        <v>400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-6.5173249999999996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2064</v>
      </c>
      <c r="U15" s="37">
        <v>216</v>
      </c>
      <c r="V15" s="38" t="s">
        <v>401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-6.5173249999999996</v>
      </c>
      <c r="AG15" s="40">
        <v>0</v>
      </c>
    </row>
    <row r="16" spans="1:33" ht="15.75" customHeight="1" x14ac:dyDescent="0.2">
      <c r="A16" s="29" t="s">
        <v>44</v>
      </c>
      <c r="B16" s="29"/>
      <c r="C16" s="16">
        <f t="shared" si="4"/>
        <v>19.989999999999998</v>
      </c>
      <c r="D16" s="30">
        <v>1</v>
      </c>
      <c r="E16" s="30">
        <v>0</v>
      </c>
      <c r="F16" s="33">
        <v>19.989999999999998</v>
      </c>
      <c r="G16" s="31">
        <v>0</v>
      </c>
      <c r="H16" s="32">
        <f t="shared" si="1"/>
        <v>0</v>
      </c>
      <c r="I16" s="32">
        <f t="shared" si="2"/>
        <v>9.1110260421877476E-2</v>
      </c>
      <c r="J16" s="33">
        <f t="shared" si="5"/>
        <v>1.8212941058333305</v>
      </c>
      <c r="K16" s="33">
        <f t="shared" si="3"/>
        <v>1.8212941058333305</v>
      </c>
      <c r="L16" s="30">
        <v>0</v>
      </c>
      <c r="M16" s="34" t="str">
        <f t="shared" si="6"/>
        <v>-</v>
      </c>
      <c r="N16" s="30">
        <v>1</v>
      </c>
      <c r="O16" s="35">
        <f t="shared" ref="O16:P16" si="24">D16/7</f>
        <v>0.14285714285714285</v>
      </c>
      <c r="P16" s="35">
        <f t="shared" si="24"/>
        <v>0</v>
      </c>
      <c r="Q16" s="30">
        <f t="shared" si="8"/>
        <v>7</v>
      </c>
      <c r="R16" s="30"/>
      <c r="S16" s="36" t="e">
        <v>#N/A</v>
      </c>
      <c r="T16" s="29">
        <v>2064</v>
      </c>
      <c r="U16" s="37">
        <v>216</v>
      </c>
      <c r="V16" s="38" t="s">
        <v>401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58</v>
      </c>
      <c r="AB16" s="41">
        <f t="shared" si="11"/>
        <v>-0.69</v>
      </c>
      <c r="AC16" s="42">
        <v>0.26776876388888882</v>
      </c>
      <c r="AD16" s="40">
        <f t="shared" si="12"/>
        <v>-0.36952089416666656</v>
      </c>
      <c r="AE16" s="40">
        <v>-7.32</v>
      </c>
      <c r="AF16" s="40">
        <v>-7.4806850000000003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2064</v>
      </c>
      <c r="U17" s="37">
        <v>216</v>
      </c>
      <c r="V17" s="38" t="s">
        <v>401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-7.4806850000000003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3540</v>
      </c>
      <c r="U18" s="37">
        <v>220</v>
      </c>
      <c r="V18" s="38" t="s">
        <v>402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-7.4806850000000003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3540</v>
      </c>
      <c r="U19" s="37">
        <v>220</v>
      </c>
      <c r="V19" s="38" t="s">
        <v>403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-7.4806850000000003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3540</v>
      </c>
      <c r="U20" s="37">
        <v>220</v>
      </c>
      <c r="V20" s="38" t="s">
        <v>403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-7.4806850000000003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3540</v>
      </c>
      <c r="U21" s="37">
        <v>220</v>
      </c>
      <c r="V21" s="38" t="s">
        <v>404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-7.4806850000000003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3540</v>
      </c>
      <c r="U22" s="37">
        <v>220</v>
      </c>
      <c r="V22" s="38" t="s">
        <v>405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-7.4806850000000003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3540</v>
      </c>
      <c r="U23" s="37">
        <v>220</v>
      </c>
      <c r="V23" s="38" t="s">
        <v>406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-7.4806850000000003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3540</v>
      </c>
      <c r="U24" s="37">
        <v>220</v>
      </c>
      <c r="V24" s="38" t="s">
        <v>407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42">
        <v>0.26776876388888882</v>
      </c>
      <c r="AD24" s="40">
        <f t="shared" si="12"/>
        <v>0</v>
      </c>
      <c r="AE24" s="40">
        <v>-7.32</v>
      </c>
      <c r="AF24" s="40">
        <v>-7.4806850000000003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0.26776876388888882</v>
      </c>
      <c r="AD25" s="40">
        <f t="shared" si="12"/>
        <v>0</v>
      </c>
      <c r="AE25" s="40">
        <v>-7.32</v>
      </c>
      <c r="AF25" s="40">
        <v>-7.48</v>
      </c>
      <c r="AG25" s="40">
        <v>0</v>
      </c>
    </row>
    <row r="26" spans="1:33" ht="15.75" customHeight="1" x14ac:dyDescent="0.2">
      <c r="A26" s="15" t="s">
        <v>54</v>
      </c>
      <c r="B26" s="15" t="s">
        <v>408</v>
      </c>
      <c r="C26" s="16">
        <f t="shared" si="4"/>
        <v>19.989999999999998</v>
      </c>
      <c r="D26" s="17">
        <v>1</v>
      </c>
      <c r="E26" s="17">
        <v>0</v>
      </c>
      <c r="F26" s="18">
        <v>19.989999999999998</v>
      </c>
      <c r="G26" s="18">
        <v>0</v>
      </c>
      <c r="H26" s="32">
        <f t="shared" si="1"/>
        <v>0</v>
      </c>
      <c r="I26" s="32">
        <f t="shared" si="2"/>
        <v>9.8113762172752944E-2</v>
      </c>
      <c r="J26" s="33">
        <f t="shared" si="5"/>
        <v>1.9612941058333311</v>
      </c>
      <c r="K26" s="33">
        <f t="shared" si="3"/>
        <v>1.9612941058333311</v>
      </c>
      <c r="L26" s="17">
        <v>0</v>
      </c>
      <c r="M26" s="34" t="str">
        <f t="shared" si="6"/>
        <v>-</v>
      </c>
      <c r="N26" s="17">
        <v>220</v>
      </c>
      <c r="O26" s="35">
        <f t="shared" ref="O26:P26" si="34">D26/7</f>
        <v>0.14285714285714285</v>
      </c>
      <c r="P26" s="35">
        <f t="shared" si="34"/>
        <v>0</v>
      </c>
      <c r="Q26" s="30">
        <f t="shared" si="8"/>
        <v>1540</v>
      </c>
      <c r="R26" s="30"/>
      <c r="S26" s="22">
        <v>1.785714285714286E-2</v>
      </c>
      <c r="T26" s="15">
        <v>3320</v>
      </c>
      <c r="U26" s="23">
        <v>1848</v>
      </c>
      <c r="V26" s="1" t="s">
        <v>409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0.26776876388888882</v>
      </c>
      <c r="AD26" s="40">
        <f t="shared" si="12"/>
        <v>-0.36952089416666656</v>
      </c>
      <c r="AE26" s="26">
        <v>-7.18</v>
      </c>
      <c r="AF26" s="26">
        <v>-7.4806850000000003</v>
      </c>
      <c r="AG26" s="26">
        <v>0</v>
      </c>
    </row>
    <row r="27" spans="1:33" ht="15.75" customHeight="1" x14ac:dyDescent="0.2">
      <c r="A27" s="15" t="s">
        <v>74</v>
      </c>
      <c r="B27" s="15" t="s">
        <v>410</v>
      </c>
      <c r="C27" s="16">
        <f t="shared" si="4"/>
        <v>22.588666666666665</v>
      </c>
      <c r="D27" s="17">
        <v>15</v>
      </c>
      <c r="E27" s="17">
        <v>3</v>
      </c>
      <c r="F27" s="18">
        <v>338.83</v>
      </c>
      <c r="G27" s="18">
        <v>-51.11</v>
      </c>
      <c r="H27" s="32">
        <f t="shared" si="1"/>
        <v>0.15084260543635453</v>
      </c>
      <c r="I27" s="32">
        <f t="shared" si="2"/>
        <v>3.3770361501342779E-2</v>
      </c>
      <c r="J27" s="33">
        <f t="shared" si="5"/>
        <v>11.442411587499972</v>
      </c>
      <c r="K27" s="33">
        <f t="shared" si="3"/>
        <v>0.76282743916666484</v>
      </c>
      <c r="L27" s="17">
        <v>37</v>
      </c>
      <c r="M27" s="34">
        <f t="shared" si="6"/>
        <v>0.40540540540540543</v>
      </c>
      <c r="N27" s="17">
        <v>206</v>
      </c>
      <c r="O27" s="35">
        <f t="shared" ref="O27:P27" si="35">D27/7</f>
        <v>2.1428571428571428</v>
      </c>
      <c r="P27" s="35">
        <f t="shared" si="35"/>
        <v>0.42857142857142855</v>
      </c>
      <c r="Q27" s="30">
        <f t="shared" si="8"/>
        <v>80</v>
      </c>
      <c r="R27" s="30"/>
      <c r="S27" s="22">
        <v>0.186046511627907</v>
      </c>
      <c r="T27" s="15">
        <v>3320</v>
      </c>
      <c r="U27" s="23">
        <v>1848</v>
      </c>
      <c r="V27" s="1" t="s">
        <v>409</v>
      </c>
      <c r="W27" s="15">
        <v>7</v>
      </c>
      <c r="X27" s="39">
        <f t="shared" si="9"/>
        <v>0.46666666666666667</v>
      </c>
      <c r="Y27" s="40">
        <f t="shared" si="10"/>
        <v>5.1109999999999998</v>
      </c>
      <c r="Z27" s="15">
        <v>3</v>
      </c>
      <c r="AA27" s="29" t="s">
        <v>58</v>
      </c>
      <c r="AB27" s="41">
        <f t="shared" si="11"/>
        <v>-0.69</v>
      </c>
      <c r="AC27" s="42">
        <v>0.26776876388888882</v>
      </c>
      <c r="AD27" s="40">
        <f t="shared" si="12"/>
        <v>-5.5428134124999984</v>
      </c>
      <c r="AE27" s="26">
        <v>-7.18</v>
      </c>
      <c r="AF27" s="26">
        <v>-7.4806850000000003</v>
      </c>
      <c r="AG27" s="26">
        <v>0</v>
      </c>
    </row>
    <row r="28" spans="1:33" ht="15.75" customHeight="1" x14ac:dyDescent="0.2">
      <c r="A28" s="15" t="s">
        <v>75</v>
      </c>
      <c r="B28" s="15" t="s">
        <v>411</v>
      </c>
      <c r="C28" s="16">
        <f t="shared" si="4"/>
        <v>22.338823529411766</v>
      </c>
      <c r="D28" s="17">
        <v>51</v>
      </c>
      <c r="E28" s="17">
        <v>1</v>
      </c>
      <c r="F28" s="18">
        <v>1139.28</v>
      </c>
      <c r="G28" s="18">
        <v>-161</v>
      </c>
      <c r="H28" s="32">
        <f t="shared" si="1"/>
        <v>0.14131732322168386</v>
      </c>
      <c r="I28" s="32">
        <f t="shared" si="2"/>
        <v>3.5853784317726879E-2</v>
      </c>
      <c r="J28" s="33">
        <f t="shared" si="5"/>
        <v>40.847499397499881</v>
      </c>
      <c r="K28" s="33">
        <f t="shared" si="3"/>
        <v>0.80093136073529181</v>
      </c>
      <c r="L28" s="17">
        <v>84</v>
      </c>
      <c r="M28" s="34">
        <f t="shared" si="6"/>
        <v>0.6071428571428571</v>
      </c>
      <c r="N28" s="17">
        <v>156</v>
      </c>
      <c r="O28" s="35">
        <f t="shared" ref="O28:P28" si="36">D28/7</f>
        <v>7.2857142857142856</v>
      </c>
      <c r="P28" s="35">
        <f t="shared" si="36"/>
        <v>0.14285714285714285</v>
      </c>
      <c r="Q28" s="30">
        <f t="shared" si="8"/>
        <v>21</v>
      </c>
      <c r="R28" s="30"/>
      <c r="S28" s="22">
        <v>1.027932960893855</v>
      </c>
      <c r="T28" s="15">
        <v>3320</v>
      </c>
      <c r="U28" s="23">
        <v>1848</v>
      </c>
      <c r="V28" s="1" t="s">
        <v>412</v>
      </c>
      <c r="W28" s="15">
        <v>27</v>
      </c>
      <c r="X28" s="39">
        <f t="shared" si="9"/>
        <v>0.52941176470588236</v>
      </c>
      <c r="Y28" s="40">
        <f t="shared" si="10"/>
        <v>3.5777777777777779</v>
      </c>
      <c r="Z28" s="15">
        <v>18</v>
      </c>
      <c r="AA28" s="29" t="s">
        <v>58</v>
      </c>
      <c r="AB28" s="41">
        <f t="shared" si="11"/>
        <v>-0.69</v>
      </c>
      <c r="AC28" s="42">
        <v>0.26776876388888882</v>
      </c>
      <c r="AD28" s="40">
        <f t="shared" si="12"/>
        <v>-18.845565602499995</v>
      </c>
      <c r="AE28" s="26">
        <v>-7.18</v>
      </c>
      <c r="AF28" s="26">
        <v>-7.4806850000000003</v>
      </c>
      <c r="AG28" s="26">
        <v>0</v>
      </c>
    </row>
    <row r="29" spans="1:33" ht="15.75" customHeight="1" x14ac:dyDescent="0.2">
      <c r="A29" s="15" t="s">
        <v>77</v>
      </c>
      <c r="B29" s="15" t="s">
        <v>413</v>
      </c>
      <c r="C29" s="16">
        <f t="shared" si="4"/>
        <v>23.396249999999998</v>
      </c>
      <c r="D29" s="17">
        <v>48</v>
      </c>
      <c r="E29" s="17">
        <v>1</v>
      </c>
      <c r="F29" s="18">
        <v>1123.02</v>
      </c>
      <c r="G29" s="18">
        <v>-129.4</v>
      </c>
      <c r="H29" s="32">
        <f t="shared" si="1"/>
        <v>0.11522501825434989</v>
      </c>
      <c r="I29" s="32">
        <f t="shared" si="2"/>
        <v>9.235553870812635E-2</v>
      </c>
      <c r="J29" s="33">
        <f t="shared" si="5"/>
        <v>103.71711708000005</v>
      </c>
      <c r="K29" s="33">
        <f t="shared" si="3"/>
        <v>2.1607732725000011</v>
      </c>
      <c r="L29" s="17">
        <v>93</v>
      </c>
      <c r="M29" s="34">
        <f t="shared" si="6"/>
        <v>0.5161290322580645</v>
      </c>
      <c r="N29" s="17">
        <v>88</v>
      </c>
      <c r="O29" s="35">
        <f t="shared" ref="O29:P29" si="37">D29/7</f>
        <v>6.8571428571428568</v>
      </c>
      <c r="P29" s="35">
        <f t="shared" si="37"/>
        <v>0.14285714285714285</v>
      </c>
      <c r="Q29" s="30">
        <f t="shared" si="8"/>
        <v>12</v>
      </c>
      <c r="R29" s="30"/>
      <c r="S29" s="22">
        <v>4.458333333333333</v>
      </c>
      <c r="T29" s="15">
        <v>3320</v>
      </c>
      <c r="U29" s="23">
        <v>1848</v>
      </c>
      <c r="V29" s="1" t="s">
        <v>412</v>
      </c>
      <c r="W29" s="15">
        <v>21</v>
      </c>
      <c r="X29" s="39">
        <f t="shared" si="9"/>
        <v>0.4375</v>
      </c>
      <c r="Y29" s="40">
        <f t="shared" si="10"/>
        <v>3.9212121212121214</v>
      </c>
      <c r="Z29" s="15">
        <v>12</v>
      </c>
      <c r="AA29" s="29" t="s">
        <v>58</v>
      </c>
      <c r="AB29" s="41">
        <f t="shared" si="11"/>
        <v>-0.69</v>
      </c>
      <c r="AC29" s="42">
        <v>0.26776876388888882</v>
      </c>
      <c r="AD29" s="40">
        <f t="shared" si="12"/>
        <v>-17.737002919999995</v>
      </c>
      <c r="AE29" s="26">
        <v>-7.18</v>
      </c>
      <c r="AF29" s="26">
        <v>-7.4806850000000003</v>
      </c>
      <c r="AG29" s="26">
        <v>0</v>
      </c>
    </row>
    <row r="30" spans="1:33" ht="15.75" customHeight="1" x14ac:dyDescent="0.2">
      <c r="A30" s="15" t="s">
        <v>78</v>
      </c>
      <c r="B30" s="15" t="s">
        <v>414</v>
      </c>
      <c r="C30" s="16">
        <f t="shared" si="4"/>
        <v>23.990000000000006</v>
      </c>
      <c r="D30" s="17">
        <v>29</v>
      </c>
      <c r="E30" s="17">
        <v>0</v>
      </c>
      <c r="F30" s="18">
        <v>695.71000000000015</v>
      </c>
      <c r="G30" s="18">
        <v>-53.37</v>
      </c>
      <c r="H30" s="32">
        <f t="shared" si="1"/>
        <v>7.6712998232021948E-2</v>
      </c>
      <c r="I30" s="32">
        <f t="shared" si="2"/>
        <v>0.17772480302197305</v>
      </c>
      <c r="J30" s="33">
        <f t="shared" si="5"/>
        <v>123.64492271041689</v>
      </c>
      <c r="K30" s="33">
        <f t="shared" si="3"/>
        <v>4.2636180244971342</v>
      </c>
      <c r="L30" s="17">
        <v>53</v>
      </c>
      <c r="M30" s="34">
        <f t="shared" si="6"/>
        <v>0.54716981132075471</v>
      </c>
      <c r="N30" s="17">
        <v>59</v>
      </c>
      <c r="O30" s="35">
        <f t="shared" ref="O30:P30" si="38">D30/7</f>
        <v>4.1428571428571432</v>
      </c>
      <c r="P30" s="35">
        <f t="shared" si="38"/>
        <v>0</v>
      </c>
      <c r="Q30" s="30">
        <f t="shared" si="8"/>
        <v>14</v>
      </c>
      <c r="R30" s="30"/>
      <c r="S30" s="22">
        <v>6.7179487179487181</v>
      </c>
      <c r="T30" s="29">
        <v>1472</v>
      </c>
      <c r="U30" s="37" t="s">
        <v>56</v>
      </c>
      <c r="V30" s="38" t="s">
        <v>56</v>
      </c>
      <c r="W30" s="15">
        <v>7</v>
      </c>
      <c r="X30" s="39">
        <f t="shared" si="9"/>
        <v>0.2413793103448276</v>
      </c>
      <c r="Y30" s="40">
        <f t="shared" si="10"/>
        <v>3.1394117647058821</v>
      </c>
      <c r="Z30" s="15">
        <v>10</v>
      </c>
      <c r="AA30" s="29" t="s">
        <v>58</v>
      </c>
      <c r="AB30" s="41">
        <f t="shared" si="11"/>
        <v>-0.69</v>
      </c>
      <c r="AC30" s="42">
        <v>0.26776876388888882</v>
      </c>
      <c r="AD30" s="40">
        <f t="shared" si="12"/>
        <v>-10.716105930833329</v>
      </c>
      <c r="AE30" s="26">
        <v>-7.18</v>
      </c>
      <c r="AF30" s="26">
        <v>-6.7380162537499997</v>
      </c>
      <c r="AG30" s="26">
        <v>0</v>
      </c>
    </row>
    <row r="31" spans="1:33" ht="15.75" customHeight="1" x14ac:dyDescent="0.2">
      <c r="A31" s="15" t="s">
        <v>55</v>
      </c>
      <c r="B31" s="15" t="s">
        <v>415</v>
      </c>
      <c r="C31" s="16">
        <f t="shared" si="4"/>
        <v>23.990000000000006</v>
      </c>
      <c r="D31" s="17">
        <v>27</v>
      </c>
      <c r="E31" s="17">
        <v>2</v>
      </c>
      <c r="F31" s="18">
        <v>647.73000000000013</v>
      </c>
      <c r="G31" s="43">
        <v>-96.339999999999989</v>
      </c>
      <c r="H31" s="32">
        <f t="shared" si="1"/>
        <v>0.14873481234464972</v>
      </c>
      <c r="I31" s="32">
        <f t="shared" si="2"/>
        <v>0.10570298890934522</v>
      </c>
      <c r="J31" s="33">
        <f t="shared" si="5"/>
        <v>68.466997006250196</v>
      </c>
      <c r="K31" s="33">
        <f t="shared" si="3"/>
        <v>2.5358147039351926</v>
      </c>
      <c r="L31" s="17">
        <v>65</v>
      </c>
      <c r="M31" s="34">
        <f t="shared" si="6"/>
        <v>0.41538461538461541</v>
      </c>
      <c r="N31" s="17">
        <v>1876</v>
      </c>
      <c r="O31" s="35">
        <f t="shared" ref="O31:P31" si="39">D31/7</f>
        <v>3.8571428571428572</v>
      </c>
      <c r="P31" s="35">
        <f t="shared" si="39"/>
        <v>0.2857142857142857</v>
      </c>
      <c r="Q31" s="30">
        <f t="shared" si="8"/>
        <v>452</v>
      </c>
      <c r="R31" s="30"/>
      <c r="S31" s="22">
        <v>0.30477993374349199</v>
      </c>
      <c r="T31" s="15">
        <v>3320</v>
      </c>
      <c r="U31" s="23" t="s">
        <v>56</v>
      </c>
      <c r="V31" s="1" t="s">
        <v>416</v>
      </c>
      <c r="W31" s="15">
        <v>13</v>
      </c>
      <c r="X31" s="39">
        <f t="shared" si="9"/>
        <v>0.48148148148148145</v>
      </c>
      <c r="Y31" s="40">
        <f t="shared" si="10"/>
        <v>4.0141666666666662</v>
      </c>
      <c r="Z31" s="15">
        <v>11</v>
      </c>
      <c r="AA31" s="15" t="s">
        <v>58</v>
      </c>
      <c r="AB31" s="41">
        <f t="shared" si="11"/>
        <v>-0.69</v>
      </c>
      <c r="AC31" s="28">
        <v>0.26776876388888882</v>
      </c>
      <c r="AD31" s="40">
        <f t="shared" si="12"/>
        <v>-9.977064142499998</v>
      </c>
      <c r="AE31" s="44">
        <v>-7.18</v>
      </c>
      <c r="AF31" s="44">
        <v>-6.7380162537499997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22.607021276595745</v>
      </c>
      <c r="D32" s="17">
        <v>47</v>
      </c>
      <c r="E32" s="17">
        <v>0</v>
      </c>
      <c r="F32" s="18">
        <v>1062.53</v>
      </c>
      <c r="G32" s="18">
        <v>-68.750000000000014</v>
      </c>
      <c r="H32" s="32">
        <f t="shared" si="1"/>
        <v>6.4704055414905953E-2</v>
      </c>
      <c r="I32" s="32">
        <f t="shared" si="2"/>
        <v>0.153300381210805</v>
      </c>
      <c r="J32" s="33">
        <f t="shared" si="5"/>
        <v>162.88625404791662</v>
      </c>
      <c r="K32" s="33">
        <f t="shared" si="3"/>
        <v>3.4656649797429067</v>
      </c>
      <c r="L32" s="17">
        <v>75</v>
      </c>
      <c r="M32" s="34">
        <f t="shared" si="6"/>
        <v>0.62666666666666671</v>
      </c>
      <c r="N32" s="17">
        <v>1842</v>
      </c>
      <c r="O32" s="35">
        <f t="shared" ref="O32:P32" si="40">D32/7</f>
        <v>6.7142857142857144</v>
      </c>
      <c r="P32" s="35">
        <f t="shared" si="40"/>
        <v>0</v>
      </c>
      <c r="Q32" s="30">
        <f t="shared" si="8"/>
        <v>274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0.40431795878312071</v>
      </c>
      <c r="T32" s="15">
        <f ca="1">IFERROR(__xludf.DUMMYFUNCTION("IFERROR(VLOOKUP($B$2,IMPORTRANGE(""https://docs.google.com/spreadsheets/d/1KiWZV1ko8G7lnRucBRBd29jj3Be6ltMfljMDqzOkQmI/edit#gid=1381463014"",""Lookup!A:D""),4,FALSE),"""")"),3320)</f>
        <v>3320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3320 At Factory 50-75 days from Earliest Arrival")</f>
        <v>No Transit, But 3320 At Factory 50-75 days from Earliest Arrival</v>
      </c>
      <c r="W32" s="15">
        <v>10</v>
      </c>
      <c r="X32" s="39">
        <f t="shared" si="9"/>
        <v>0.21276595744680851</v>
      </c>
      <c r="Y32" s="40">
        <f t="shared" si="10"/>
        <v>4.2968750000000009</v>
      </c>
      <c r="Z32" s="15">
        <v>6</v>
      </c>
      <c r="AA32" s="15" t="s">
        <v>58</v>
      </c>
      <c r="AB32" s="41">
        <f t="shared" si="11"/>
        <v>-0.69</v>
      </c>
      <c r="AC32" s="28">
        <v>0.26776876388888882</v>
      </c>
      <c r="AD32" s="40">
        <f t="shared" si="12"/>
        <v>-17.367482025833329</v>
      </c>
      <c r="AE32" s="26">
        <v>-7.18</v>
      </c>
      <c r="AF32" s="26">
        <v>-6.7380162537499997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1:33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1:33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1:33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1:33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1:33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1:33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1:33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1:33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1:33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1:33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1:33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1:33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1:33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84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White &amp; Black")</f>
        <v>Corn Filled Cornhole Bags - Set of 8 Bean Bags for Corn Hole Game - Regulation Size &amp; Weight - White &amp; Black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Info!B1:BJ7000""),2,FALSE),"""")"),"B07ZTQ3HBH")</f>
        <v>B07ZTQ3HBH</v>
      </c>
      <c r="B2" s="47" t="s">
        <v>417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15.311607357352942</v>
      </c>
      <c r="D3" s="5">
        <f>SUM(D4:D99765)</f>
        <v>64</v>
      </c>
      <c r="E3" s="5"/>
      <c r="F3" s="6">
        <f t="shared" ref="F3:G3" si="0">SUM(F4:F99765)</f>
        <v>1315.3600000000001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0.19043194986923734</v>
      </c>
      <c r="J3" s="6">
        <f>SUM(J4:J99765)</f>
        <v>250.48656958000004</v>
      </c>
      <c r="K3" s="6">
        <f t="shared" ref="K3:K32" si="3">J3/D3</f>
        <v>3.9138526496875006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1 - April
3 - May
4.5 - June
3.5 - July
3 - Aug
2 - Sept
1 - Oct
0 - Nov
0 - Dec
0.1 - Jan
0.1 - Feb")</f>
        <v>0.5 - March
1 - April
3 - May
4.5 - June
3.5 - July
3 - Aug
2 - Sept
1 -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-22.735290239999991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62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48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-5.5571024358974359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148</v>
      </c>
      <c r="U5" s="37">
        <v>100</v>
      </c>
      <c r="V5" s="38" t="s">
        <v>81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-5.5571024358974359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148</v>
      </c>
      <c r="U6" s="37">
        <v>100</v>
      </c>
      <c r="V6" s="38" t="s">
        <v>82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-5.5571024358974359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148</v>
      </c>
      <c r="U7" s="37">
        <v>100</v>
      </c>
      <c r="V7" s="38" t="s">
        <v>83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-5.5571024358974359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48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-5.56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48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-5.9103075641025598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48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-5.9103075641025598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196</v>
      </c>
      <c r="U11" s="37">
        <v>100</v>
      </c>
      <c r="V11" s="38" t="s">
        <v>85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-5.9103075641025598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100</v>
      </c>
      <c r="U12" s="37">
        <v>100</v>
      </c>
      <c r="V12" s="38" t="s">
        <v>86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-5.9974870512820502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100</v>
      </c>
      <c r="U13" s="37">
        <v>100</v>
      </c>
      <c r="V13" s="38" t="s">
        <v>87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-6.196205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100</v>
      </c>
      <c r="U14" s="37">
        <v>100</v>
      </c>
      <c r="V14" s="38" t="s">
        <v>88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-6.196205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100</v>
      </c>
      <c r="U15" s="37">
        <v>100</v>
      </c>
      <c r="V15" s="38" t="s">
        <v>89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-6.196205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100</v>
      </c>
      <c r="U16" s="37">
        <v>100</v>
      </c>
      <c r="V16" s="38" t="s">
        <v>89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-6.5775350000000001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100</v>
      </c>
      <c r="U17" s="37">
        <v>100</v>
      </c>
      <c r="V17" s="38" t="s">
        <v>89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-6.5775350000000001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436</v>
      </c>
      <c r="U18" s="37">
        <v>80</v>
      </c>
      <c r="V18" s="38" t="s">
        <v>226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-6.5775350000000001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436</v>
      </c>
      <c r="U19" s="37">
        <v>80</v>
      </c>
      <c r="V19" s="38" t="s">
        <v>226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436</v>
      </c>
      <c r="U20" s="37">
        <v>80</v>
      </c>
      <c r="V20" s="38" t="s">
        <v>226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436</v>
      </c>
      <c r="U21" s="37">
        <v>80</v>
      </c>
      <c r="V21" s="38" t="s">
        <v>226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436</v>
      </c>
      <c r="U22" s="37">
        <v>80</v>
      </c>
      <c r="V22" s="38" t="s">
        <v>227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436</v>
      </c>
      <c r="U23" s="37">
        <v>80</v>
      </c>
      <c r="V23" s="38" t="s">
        <v>227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436</v>
      </c>
      <c r="U24" s="37">
        <v>80</v>
      </c>
      <c r="V24" s="38" t="s">
        <v>228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58</v>
      </c>
      <c r="AB24" s="41">
        <f t="shared" si="11"/>
        <v>-0.69</v>
      </c>
      <c r="AC24" s="28">
        <v>0.25741949999999997</v>
      </c>
      <c r="AD24" s="40">
        <f t="shared" si="12"/>
        <v>0</v>
      </c>
      <c r="AE24" s="40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0.25741949999999997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 t="s">
        <v>252</v>
      </c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84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15">
        <v>404</v>
      </c>
      <c r="U26" s="23">
        <v>48</v>
      </c>
      <c r="V26" s="1" t="s">
        <v>343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0.25741949999999997</v>
      </c>
      <c r="AD26" s="40">
        <f t="shared" si="12"/>
        <v>0</v>
      </c>
      <c r="AE26" s="26">
        <v>-7.32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15" t="s">
        <v>96</v>
      </c>
      <c r="C27" s="16">
        <f t="shared" si="4"/>
        <v>19.989999999999998</v>
      </c>
      <c r="D27" s="17">
        <v>3</v>
      </c>
      <c r="E27" s="17">
        <v>1</v>
      </c>
      <c r="F27" s="18">
        <v>59.97</v>
      </c>
      <c r="G27" s="18">
        <v>0</v>
      </c>
      <c r="H27" s="32">
        <f t="shared" si="1"/>
        <v>0</v>
      </c>
      <c r="I27" s="32">
        <f t="shared" si="2"/>
        <v>0.14400830865432718</v>
      </c>
      <c r="J27" s="33">
        <f t="shared" si="5"/>
        <v>8.6361782700000003</v>
      </c>
      <c r="K27" s="33">
        <f t="shared" si="3"/>
        <v>2.8787260900000002</v>
      </c>
      <c r="L27" s="17">
        <v>6</v>
      </c>
      <c r="M27" s="34">
        <f t="shared" si="6"/>
        <v>0.5</v>
      </c>
      <c r="N27" s="17">
        <v>80</v>
      </c>
      <c r="O27" s="35">
        <f t="shared" ref="O27:P27" si="35">D27/7</f>
        <v>0.42857142857142855</v>
      </c>
      <c r="P27" s="35">
        <f t="shared" si="35"/>
        <v>0.14285714285714285</v>
      </c>
      <c r="Q27" s="30">
        <f t="shared" si="8"/>
        <v>140</v>
      </c>
      <c r="R27" s="30"/>
      <c r="S27" s="22">
        <v>0.14814814814814811</v>
      </c>
      <c r="T27" s="15">
        <v>404</v>
      </c>
      <c r="U27" s="23">
        <v>48</v>
      </c>
      <c r="V27" s="1" t="s">
        <v>343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0.25741949999999997</v>
      </c>
      <c r="AD27" s="40">
        <f t="shared" si="12"/>
        <v>-1.0657167299999997</v>
      </c>
      <c r="AE27" s="26">
        <v>-7.18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 t="s">
        <v>96</v>
      </c>
      <c r="C28" s="16">
        <f t="shared" si="4"/>
        <v>19.989999999999998</v>
      </c>
      <c r="D28" s="17">
        <v>2</v>
      </c>
      <c r="E28" s="17">
        <v>1</v>
      </c>
      <c r="F28" s="18">
        <v>39.979999999999997</v>
      </c>
      <c r="G28" s="18">
        <v>0</v>
      </c>
      <c r="H28" s="32">
        <f t="shared" si="1"/>
        <v>0</v>
      </c>
      <c r="I28" s="32">
        <f t="shared" si="2"/>
        <v>0.14400830865432707</v>
      </c>
      <c r="J28" s="33">
        <f t="shared" si="5"/>
        <v>5.757452179999996</v>
      </c>
      <c r="K28" s="33">
        <f t="shared" si="3"/>
        <v>2.878726089999998</v>
      </c>
      <c r="L28" s="17">
        <v>14</v>
      </c>
      <c r="M28" s="34">
        <f t="shared" si="6"/>
        <v>0.14285714285714285</v>
      </c>
      <c r="N28" s="17">
        <v>67</v>
      </c>
      <c r="O28" s="35">
        <f t="shared" ref="O28:P28" si="36">D28/7</f>
        <v>0.2857142857142857</v>
      </c>
      <c r="P28" s="35">
        <f t="shared" si="36"/>
        <v>0.14285714285714285</v>
      </c>
      <c r="Q28" s="30">
        <f t="shared" si="8"/>
        <v>156</v>
      </c>
      <c r="R28" s="30"/>
      <c r="S28" s="22">
        <v>0.25316455696202528</v>
      </c>
      <c r="T28" s="15">
        <v>404</v>
      </c>
      <c r="U28" s="23">
        <v>48</v>
      </c>
      <c r="V28" s="1" t="s">
        <v>343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0.25741949999999997</v>
      </c>
      <c r="AD28" s="40">
        <f t="shared" si="12"/>
        <v>-0.71047781999999982</v>
      </c>
      <c r="AE28" s="26">
        <v>-7.18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 t="s">
        <v>96</v>
      </c>
      <c r="C29" s="16">
        <f t="shared" si="4"/>
        <v>19.989999999999998</v>
      </c>
      <c r="D29" s="17">
        <v>11</v>
      </c>
      <c r="E29" s="17">
        <v>0</v>
      </c>
      <c r="F29" s="18">
        <v>219.89</v>
      </c>
      <c r="G29" s="18">
        <v>0</v>
      </c>
      <c r="H29" s="32">
        <f t="shared" si="1"/>
        <v>0</v>
      </c>
      <c r="I29" s="32">
        <f t="shared" si="2"/>
        <v>0.14400830865432718</v>
      </c>
      <c r="J29" s="33">
        <f t="shared" si="5"/>
        <v>31.665986990000004</v>
      </c>
      <c r="K29" s="33">
        <f t="shared" si="3"/>
        <v>2.8787260900000002</v>
      </c>
      <c r="L29" s="17">
        <v>11</v>
      </c>
      <c r="M29" s="34">
        <f t="shared" si="6"/>
        <v>1</v>
      </c>
      <c r="N29" s="17">
        <v>57</v>
      </c>
      <c r="O29" s="35">
        <f t="shared" ref="O29:P29" si="37">D29/7</f>
        <v>1.5714285714285714</v>
      </c>
      <c r="P29" s="35">
        <f t="shared" si="37"/>
        <v>0</v>
      </c>
      <c r="Q29" s="30">
        <f t="shared" si="8"/>
        <v>36</v>
      </c>
      <c r="R29" s="30"/>
      <c r="S29" s="22">
        <v>1.0169491525423731</v>
      </c>
      <c r="T29" s="15">
        <v>404</v>
      </c>
      <c r="U29" s="23">
        <v>48</v>
      </c>
      <c r="V29" s="1" t="s">
        <v>345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0.25741949999999997</v>
      </c>
      <c r="AD29" s="40">
        <f t="shared" si="12"/>
        <v>-3.9076280099999989</v>
      </c>
      <c r="AE29" s="26">
        <v>-7.18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15" t="s">
        <v>96</v>
      </c>
      <c r="C30" s="16">
        <f t="shared" si="4"/>
        <v>19.990000000000002</v>
      </c>
      <c r="D30" s="17">
        <v>13</v>
      </c>
      <c r="E30" s="17">
        <v>0</v>
      </c>
      <c r="F30" s="18">
        <v>259.87</v>
      </c>
      <c r="G30" s="18">
        <v>0</v>
      </c>
      <c r="H30" s="32">
        <f t="shared" si="1"/>
        <v>0</v>
      </c>
      <c r="I30" s="32">
        <f t="shared" si="2"/>
        <v>0.18116032197348672</v>
      </c>
      <c r="J30" s="33">
        <f t="shared" si="5"/>
        <v>47.078132871249998</v>
      </c>
      <c r="K30" s="33">
        <f t="shared" si="3"/>
        <v>3.6213948362499999</v>
      </c>
      <c r="L30" s="17">
        <v>9</v>
      </c>
      <c r="M30" s="34">
        <f t="shared" si="6"/>
        <v>1.4444444444444444</v>
      </c>
      <c r="N30" s="17">
        <v>44</v>
      </c>
      <c r="O30" s="35">
        <f t="shared" ref="O30:P30" si="38">D30/7</f>
        <v>1.8571428571428572</v>
      </c>
      <c r="P30" s="35">
        <f t="shared" si="38"/>
        <v>0</v>
      </c>
      <c r="Q30" s="30">
        <f t="shared" si="8"/>
        <v>23</v>
      </c>
      <c r="R30" s="30"/>
      <c r="S30" s="22">
        <v>1.6923076923076921</v>
      </c>
      <c r="T30" s="29">
        <v>404</v>
      </c>
      <c r="U30" s="37">
        <v>48</v>
      </c>
      <c r="V30" s="38" t="s">
        <v>345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0.25741949999999997</v>
      </c>
      <c r="AD30" s="40">
        <f t="shared" si="12"/>
        <v>-4.6181058299999984</v>
      </c>
      <c r="AE30" s="26">
        <v>-7.18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48">
        <v>22.99</v>
      </c>
      <c r="C31" s="16">
        <f t="shared" si="4"/>
        <v>19.990000000000002</v>
      </c>
      <c r="D31" s="17">
        <v>18</v>
      </c>
      <c r="E31" s="17">
        <v>0</v>
      </c>
      <c r="F31" s="18">
        <v>359.82000000000005</v>
      </c>
      <c r="G31" s="43">
        <v>0</v>
      </c>
      <c r="H31" s="32">
        <f t="shared" si="1"/>
        <v>0</v>
      </c>
      <c r="I31" s="32">
        <f t="shared" si="2"/>
        <v>0.1811603219734868</v>
      </c>
      <c r="J31" s="33">
        <f t="shared" si="5"/>
        <v>65.18510705250003</v>
      </c>
      <c r="K31" s="33">
        <f t="shared" si="3"/>
        <v>3.6213948362500017</v>
      </c>
      <c r="L31" s="17">
        <v>19</v>
      </c>
      <c r="M31" s="34">
        <f t="shared" si="6"/>
        <v>0.94736842105263153</v>
      </c>
      <c r="N31" s="17">
        <v>27</v>
      </c>
      <c r="O31" s="35">
        <f t="shared" ref="O31:P31" si="39">D31/7</f>
        <v>2.5714285714285716</v>
      </c>
      <c r="P31" s="35">
        <f t="shared" si="39"/>
        <v>0</v>
      </c>
      <c r="Q31" s="30">
        <f t="shared" si="8"/>
        <v>10</v>
      </c>
      <c r="R31" s="30"/>
      <c r="S31" s="22">
        <v>1.27731092436974</v>
      </c>
      <c r="T31" s="15">
        <v>356</v>
      </c>
      <c r="U31" s="23" t="s">
        <v>56</v>
      </c>
      <c r="V31" s="1" t="s">
        <v>418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0.25741949999999997</v>
      </c>
      <c r="AD31" s="40">
        <f t="shared" si="12"/>
        <v>-6.394300379999998</v>
      </c>
      <c r="AE31" s="44">
        <v>-7.18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22.107647058823527</v>
      </c>
      <c r="D32" s="17">
        <v>17</v>
      </c>
      <c r="E32" s="17">
        <v>0</v>
      </c>
      <c r="F32" s="18">
        <v>375.83</v>
      </c>
      <c r="G32" s="18">
        <v>0</v>
      </c>
      <c r="H32" s="32">
        <f t="shared" si="1"/>
        <v>0</v>
      </c>
      <c r="I32" s="32">
        <f t="shared" si="2"/>
        <v>0.24522712986257086</v>
      </c>
      <c r="J32" s="33">
        <f t="shared" si="5"/>
        <v>92.163712216250005</v>
      </c>
      <c r="K32" s="33">
        <f t="shared" si="3"/>
        <v>5.4213948362500002</v>
      </c>
      <c r="L32" s="17">
        <v>21</v>
      </c>
      <c r="M32" s="34">
        <f t="shared" si="6"/>
        <v>0.80952380952380953</v>
      </c>
      <c r="N32" s="17">
        <v>10</v>
      </c>
      <c r="O32" s="35">
        <f t="shared" ref="O32:P32" si="40">D32/7</f>
        <v>2.4285714285714284</v>
      </c>
      <c r="P32" s="35">
        <f t="shared" si="40"/>
        <v>0</v>
      </c>
      <c r="Q32" s="30">
        <f t="shared" si="8"/>
        <v>4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1.7428571428571431</v>
      </c>
      <c r="T32" s="15">
        <f ca="1">IFERROR(__xludf.DUMMYFUNCTION("IFERROR(VLOOKUP($B$2,IMPORTRANGE(""https://docs.google.com/spreadsheets/d/1KiWZV1ko8G7lnRucBRBd29jj3Be6ltMfljMDqzOkQmI/edit#gid=1381463014"",""Lookup!A:D""),4,FALSE),"""")"),356)</f>
        <v>356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356 At Factory 50-75 days from Earliest Arrival")</f>
        <v>No Transit, But 356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0.25741949999999997</v>
      </c>
      <c r="AD32" s="40">
        <f t="shared" si="12"/>
        <v>-6.0390614699999983</v>
      </c>
      <c r="AE32" s="26">
        <v>-7.18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Yellow and Black")</f>
        <v>Corn Filled Cornhole Bags - Set of 8 Bean Bags for Corn Hole Game - Yellow and Black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Info!B1:BJ7000""),2,FALSE),"""")"),"B07H5MSRQX")</f>
        <v>B07H5MSRQX</v>
      </c>
      <c r="B2" s="47" t="s">
        <v>419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15.311607357352942</v>
      </c>
      <c r="D3" s="5">
        <f>SUM(D4:D99765)</f>
        <v>72</v>
      </c>
      <c r="E3" s="5"/>
      <c r="F3" s="6">
        <f t="shared" ref="F3:G3" si="0">SUM(F4:F99765)</f>
        <v>1412.8300000000002</v>
      </c>
      <c r="G3" s="6">
        <f t="shared" si="0"/>
        <v>-312.46000000000004</v>
      </c>
      <c r="H3" s="7">
        <f t="shared" ref="H3:H32" si="1">G3/F3*-1</f>
        <v>0.22115895047528719</v>
      </c>
      <c r="I3" s="8">
        <f t="shared" ref="I3:I32" si="2">J3/F3</f>
        <v>-6.6957351402187185E-2</v>
      </c>
      <c r="J3" s="6">
        <f>SUM(J4:J99765)</f>
        <v>-94.599354781552137</v>
      </c>
      <c r="K3" s="6">
        <f t="shared" ref="K3:K32" si="3">J3/D3</f>
        <v>-1.3138799275215574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1.5 - April
4.5 - May
4.5 - June
3.5 - July
3 - Aug
0.5 - Sept
0.5 - Oct
0 - Nov
0 - Dec
0.5 - Jan
0.5 - Feb")</f>
        <v>0.5 - March
1.5 - April
4.5 - May
4.5 - June
3.5 - July
3 - Aug
0.5 - Sept
0.5 - Oct
0 - Nov
0 -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19</v>
      </c>
      <c r="X3" s="7">
        <f>W3/D3</f>
        <v>0.2638888888888889</v>
      </c>
      <c r="Y3" s="6"/>
      <c r="Z3" s="5"/>
      <c r="AA3" s="5"/>
      <c r="AB3" s="5"/>
      <c r="AC3" s="5"/>
      <c r="AD3" s="6">
        <f>SUM(AD4:AD99765)</f>
        <v>-25.056032397161069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126</v>
      </c>
      <c r="C4" s="16">
        <f t="shared" ref="C4:C32" si="4">IFERROR(F4/D4," - ")</f>
        <v>19.989999999999998</v>
      </c>
      <c r="D4" s="17">
        <v>4</v>
      </c>
      <c r="E4" s="17">
        <v>0</v>
      </c>
      <c r="F4" s="18">
        <v>79.959999999999994</v>
      </c>
      <c r="G4" s="18">
        <v>-0.26</v>
      </c>
      <c r="H4" s="19">
        <f t="shared" si="1"/>
        <v>3.2516258129064537E-3</v>
      </c>
      <c r="I4" s="19">
        <f t="shared" si="2"/>
        <v>0.16910036588807206</v>
      </c>
      <c r="J4" s="18">
        <f t="shared" ref="J4:J32" si="5">F4*0.85+G4+AF4*D4+D4*AE4+AG4+AD4</f>
        <v>13.521265256410242</v>
      </c>
      <c r="K4" s="18">
        <f t="shared" si="3"/>
        <v>3.3803163141025605</v>
      </c>
      <c r="L4" s="17">
        <v>6</v>
      </c>
      <c r="M4" s="20">
        <f t="shared" ref="M4:M32" si="6">IFERROR(D4/L4,"-")</f>
        <v>0.66666666666666663</v>
      </c>
      <c r="N4" s="17">
        <v>20</v>
      </c>
      <c r="O4" s="21">
        <f t="shared" ref="O4:P4" si="7">D4/7</f>
        <v>0.5714285714285714</v>
      </c>
      <c r="P4" s="21">
        <f t="shared" si="7"/>
        <v>0</v>
      </c>
      <c r="Q4" s="17">
        <f t="shared" ref="Q4:Q32" si="8">ROUNDDOWN(N4/(O4+P4),0)</f>
        <v>35</v>
      </c>
      <c r="R4" s="17"/>
      <c r="S4" s="22">
        <v>1.07936507936507</v>
      </c>
      <c r="T4" s="15">
        <v>60</v>
      </c>
      <c r="U4" s="23" t="s">
        <v>56</v>
      </c>
      <c r="V4" s="24" t="s">
        <v>56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0.25214583333333335</v>
      </c>
      <c r="AD4" s="26">
        <f t="shared" ref="AD4:AD32" si="12">IFERROR(AB4*AC4*D4*2,0)</f>
        <v>-1.391845</v>
      </c>
      <c r="AE4" s="26">
        <v>-7.32</v>
      </c>
      <c r="AF4" s="26">
        <v>-5.8782224358974364</v>
      </c>
      <c r="AG4" s="26">
        <v>0</v>
      </c>
    </row>
    <row r="5" spans="1:33" ht="15.75" customHeight="1" x14ac:dyDescent="0.2">
      <c r="A5" s="29" t="s">
        <v>33</v>
      </c>
      <c r="B5" s="29" t="s">
        <v>127</v>
      </c>
      <c r="C5" s="16">
        <f t="shared" si="4"/>
        <v>18.661428571428569</v>
      </c>
      <c r="D5" s="30">
        <v>7</v>
      </c>
      <c r="E5" s="30">
        <v>0</v>
      </c>
      <c r="F5" s="31">
        <v>130.63</v>
      </c>
      <c r="G5" s="31">
        <v>0</v>
      </c>
      <c r="H5" s="32">
        <f t="shared" si="1"/>
        <v>0</v>
      </c>
      <c r="I5" s="32">
        <f t="shared" si="2"/>
        <v>0.12408628800089477</v>
      </c>
      <c r="J5" s="33">
        <f t="shared" si="5"/>
        <v>16.209391801556883</v>
      </c>
      <c r="K5" s="33">
        <f t="shared" si="3"/>
        <v>2.3156274002224118</v>
      </c>
      <c r="L5" s="30">
        <v>18</v>
      </c>
      <c r="M5" s="34">
        <f t="shared" si="6"/>
        <v>0.3888888888888889</v>
      </c>
      <c r="N5" s="30">
        <v>12</v>
      </c>
      <c r="O5" s="35">
        <f t="shared" ref="O5:P5" si="13">D5/7</f>
        <v>1</v>
      </c>
      <c r="P5" s="35">
        <f t="shared" si="13"/>
        <v>0</v>
      </c>
      <c r="Q5" s="30">
        <f t="shared" si="8"/>
        <v>12</v>
      </c>
      <c r="R5" s="30"/>
      <c r="S5" s="36">
        <v>2.1666666666666599</v>
      </c>
      <c r="T5" s="29">
        <v>220</v>
      </c>
      <c r="U5" s="37">
        <v>160</v>
      </c>
      <c r="V5" s="38" t="s">
        <v>420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58</v>
      </c>
      <c r="AB5" s="41">
        <f t="shared" si="11"/>
        <v>-0.69</v>
      </c>
      <c r="AC5" s="42">
        <v>0.2524380069524913</v>
      </c>
      <c r="AD5" s="40">
        <f t="shared" si="12"/>
        <v>-2.4385511471610659</v>
      </c>
      <c r="AE5" s="40">
        <v>-7.32</v>
      </c>
      <c r="AF5" s="40">
        <v>-5.8782224358974364</v>
      </c>
      <c r="AG5" s="40">
        <v>0</v>
      </c>
    </row>
    <row r="6" spans="1:33" ht="15.75" customHeight="1" x14ac:dyDescent="0.2">
      <c r="A6" s="29" t="s">
        <v>34</v>
      </c>
      <c r="B6" s="29" t="s">
        <v>421</v>
      </c>
      <c r="C6" s="16">
        <f t="shared" si="4"/>
        <v>16.989999999999998</v>
      </c>
      <c r="D6" s="30">
        <v>6</v>
      </c>
      <c r="E6" s="30">
        <v>0</v>
      </c>
      <c r="F6" s="31">
        <v>101.93999999999998</v>
      </c>
      <c r="G6" s="31">
        <v>0</v>
      </c>
      <c r="H6" s="32">
        <f t="shared" si="1"/>
        <v>0</v>
      </c>
      <c r="I6" s="32">
        <f t="shared" si="2"/>
        <v>5.269666357284053E-2</v>
      </c>
      <c r="J6" s="33">
        <f t="shared" si="5"/>
        <v>5.3718978846153629</v>
      </c>
      <c r="K6" s="33">
        <f t="shared" si="3"/>
        <v>0.89531631410256052</v>
      </c>
      <c r="L6" s="30">
        <v>13</v>
      </c>
      <c r="M6" s="34">
        <f t="shared" si="6"/>
        <v>0.46153846153846156</v>
      </c>
      <c r="N6" s="30">
        <v>8</v>
      </c>
      <c r="O6" s="35">
        <f t="shared" ref="O6:P6" si="14">D6/7</f>
        <v>0.8571428571428571</v>
      </c>
      <c r="P6" s="35">
        <f t="shared" si="14"/>
        <v>0</v>
      </c>
      <c r="Q6" s="30">
        <f t="shared" si="8"/>
        <v>9</v>
      </c>
      <c r="R6" s="30"/>
      <c r="S6" s="36">
        <v>3.17948717948717</v>
      </c>
      <c r="T6" s="29">
        <v>220</v>
      </c>
      <c r="U6" s="37">
        <v>160</v>
      </c>
      <c r="V6" s="38" t="s">
        <v>422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58</v>
      </c>
      <c r="AB6" s="41">
        <f t="shared" si="11"/>
        <v>-0.69</v>
      </c>
      <c r="AC6" s="42">
        <v>0.25214583333333335</v>
      </c>
      <c r="AD6" s="40">
        <f t="shared" si="12"/>
        <v>-2.0877675</v>
      </c>
      <c r="AE6" s="40">
        <v>-7.32</v>
      </c>
      <c r="AF6" s="40">
        <v>-5.8782224358974364</v>
      </c>
      <c r="AG6" s="40">
        <v>0</v>
      </c>
    </row>
    <row r="7" spans="1:33" ht="15.75" customHeight="1" x14ac:dyDescent="0.2">
      <c r="A7" s="29" t="s">
        <v>35</v>
      </c>
      <c r="B7" s="29" t="s">
        <v>127</v>
      </c>
      <c r="C7" s="16">
        <f t="shared" si="4"/>
        <v>18.989999999999998</v>
      </c>
      <c r="D7" s="30">
        <v>1</v>
      </c>
      <c r="E7" s="30">
        <v>0</v>
      </c>
      <c r="F7" s="31">
        <v>18.989999999999998</v>
      </c>
      <c r="G7" s="31">
        <v>-0.16</v>
      </c>
      <c r="H7" s="32">
        <f t="shared" si="1"/>
        <v>8.4254870984728815E-3</v>
      </c>
      <c r="I7" s="32">
        <f t="shared" si="2"/>
        <v>0.12824203865732281</v>
      </c>
      <c r="J7" s="33">
        <f t="shared" si="5"/>
        <v>2.4353163141025602</v>
      </c>
      <c r="K7" s="33">
        <f t="shared" si="3"/>
        <v>2.4353163141025602</v>
      </c>
      <c r="L7" s="30">
        <v>9</v>
      </c>
      <c r="M7" s="34">
        <f t="shared" si="6"/>
        <v>0.1111111111111111</v>
      </c>
      <c r="N7" s="30">
        <v>5</v>
      </c>
      <c r="O7" s="35">
        <f t="shared" ref="O7:P7" si="15">D7/7</f>
        <v>0.14285714285714285</v>
      </c>
      <c r="P7" s="35">
        <f t="shared" si="15"/>
        <v>0</v>
      </c>
      <c r="Q7" s="30">
        <f t="shared" si="8"/>
        <v>35</v>
      </c>
      <c r="R7" s="30"/>
      <c r="S7" s="36">
        <v>4.5161290322580596</v>
      </c>
      <c r="T7" s="29">
        <v>220</v>
      </c>
      <c r="U7" s="37">
        <v>160</v>
      </c>
      <c r="V7" s="38" t="s">
        <v>423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58</v>
      </c>
      <c r="AB7" s="41">
        <f t="shared" si="11"/>
        <v>-0.69</v>
      </c>
      <c r="AC7" s="42">
        <v>0.25214583333333335</v>
      </c>
      <c r="AD7" s="40">
        <f t="shared" si="12"/>
        <v>-0.34796125</v>
      </c>
      <c r="AE7" s="40">
        <v>-7.32</v>
      </c>
      <c r="AF7" s="40">
        <v>-5.8782224358974364</v>
      </c>
      <c r="AG7" s="40">
        <v>0</v>
      </c>
    </row>
    <row r="8" spans="1:33" ht="15.75" customHeight="1" x14ac:dyDescent="0.2">
      <c r="A8" s="29" t="s">
        <v>36</v>
      </c>
      <c r="B8" s="29" t="s">
        <v>424</v>
      </c>
      <c r="C8" s="16">
        <f t="shared" si="4"/>
        <v>18.989999999999998</v>
      </c>
      <c r="D8" s="30">
        <v>1</v>
      </c>
      <c r="E8" s="30">
        <v>1</v>
      </c>
      <c r="F8" s="31">
        <v>18.989999999999998</v>
      </c>
      <c r="G8" s="31">
        <v>0</v>
      </c>
      <c r="H8" s="32">
        <f t="shared" si="1"/>
        <v>0</v>
      </c>
      <c r="I8" s="32">
        <f t="shared" si="2"/>
        <v>0.1365739204844654</v>
      </c>
      <c r="J8" s="33">
        <f t="shared" si="5"/>
        <v>2.5935387499999978</v>
      </c>
      <c r="K8" s="33">
        <f t="shared" si="3"/>
        <v>2.5935387499999978</v>
      </c>
      <c r="L8" s="30">
        <v>0</v>
      </c>
      <c r="M8" s="34" t="str">
        <f t="shared" si="6"/>
        <v>-</v>
      </c>
      <c r="N8" s="30">
        <v>3</v>
      </c>
      <c r="O8" s="35">
        <f t="shared" ref="O8:P8" si="16">D8/7</f>
        <v>0.14285714285714285</v>
      </c>
      <c r="P8" s="35">
        <f t="shared" si="16"/>
        <v>0.14285714285714285</v>
      </c>
      <c r="Q8" s="30">
        <f t="shared" si="8"/>
        <v>10</v>
      </c>
      <c r="R8" s="30"/>
      <c r="S8" s="36">
        <v>2.08955223880597</v>
      </c>
      <c r="T8" s="29">
        <v>60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58</v>
      </c>
      <c r="AB8" s="41">
        <f t="shared" si="11"/>
        <v>-0.69</v>
      </c>
      <c r="AC8" s="42">
        <v>0.25214583333333335</v>
      </c>
      <c r="AD8" s="40">
        <f t="shared" si="12"/>
        <v>-0.34796125</v>
      </c>
      <c r="AE8" s="40">
        <v>-7.32</v>
      </c>
      <c r="AF8" s="40">
        <v>-5.88</v>
      </c>
      <c r="AG8" s="40">
        <v>0</v>
      </c>
    </row>
    <row r="9" spans="1:33" ht="15.75" customHeight="1" x14ac:dyDescent="0.2">
      <c r="A9" s="29" t="s">
        <v>37</v>
      </c>
      <c r="B9" s="29" t="s">
        <v>281</v>
      </c>
      <c r="C9" s="16">
        <f t="shared" si="4"/>
        <v>18.989999999999998</v>
      </c>
      <c r="D9" s="30">
        <v>2</v>
      </c>
      <c r="E9" s="30">
        <v>1</v>
      </c>
      <c r="F9" s="31">
        <v>37.979999999999997</v>
      </c>
      <c r="G9" s="31">
        <v>0</v>
      </c>
      <c r="H9" s="32">
        <f t="shared" si="1"/>
        <v>0</v>
      </c>
      <c r="I9" s="32">
        <f t="shared" si="2"/>
        <v>0.11806799293825364</v>
      </c>
      <c r="J9" s="33">
        <f t="shared" si="5"/>
        <v>4.484222371794873</v>
      </c>
      <c r="K9" s="33">
        <f t="shared" si="3"/>
        <v>2.2421111858974365</v>
      </c>
      <c r="L9" s="30">
        <v>4</v>
      </c>
      <c r="M9" s="34">
        <f t="shared" si="6"/>
        <v>0.5</v>
      </c>
      <c r="N9" s="30">
        <v>0</v>
      </c>
      <c r="O9" s="35">
        <f t="shared" ref="O9:P9" si="17">D9/7</f>
        <v>0.2857142857142857</v>
      </c>
      <c r="P9" s="35">
        <f t="shared" si="17"/>
        <v>0.14285714285714285</v>
      </c>
      <c r="Q9" s="30">
        <f t="shared" si="8"/>
        <v>0</v>
      </c>
      <c r="R9" s="30"/>
      <c r="S9" s="36" t="e">
        <v>#N/A</v>
      </c>
      <c r="T9" s="29">
        <v>60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58</v>
      </c>
      <c r="AB9" s="41">
        <f t="shared" si="11"/>
        <v>-0.69</v>
      </c>
      <c r="AC9" s="42">
        <v>0.25214583333333335</v>
      </c>
      <c r="AD9" s="40">
        <f t="shared" si="12"/>
        <v>-0.6959225</v>
      </c>
      <c r="AE9" s="40">
        <v>-7.32</v>
      </c>
      <c r="AF9" s="40">
        <v>-6.2314275641025603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60</v>
      </c>
      <c r="U10" s="37" t="s">
        <v>56</v>
      </c>
      <c r="V10" s="38" t="s">
        <v>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-6.2314275641025603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1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>
        <v>5</v>
      </c>
      <c r="T11" s="29">
        <v>280</v>
      </c>
      <c r="U11" s="37">
        <v>160</v>
      </c>
      <c r="V11" s="38" t="s">
        <v>425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-6.2314275641025603</v>
      </c>
      <c r="AG11" s="40">
        <v>0</v>
      </c>
    </row>
    <row r="12" spans="1:33" ht="15.75" customHeight="1" x14ac:dyDescent="0.2">
      <c r="A12" s="29" t="s">
        <v>40</v>
      </c>
      <c r="B12" s="29"/>
      <c r="C12" s="16">
        <f t="shared" si="4"/>
        <v>18.989999999999998</v>
      </c>
      <c r="D12" s="30">
        <v>1</v>
      </c>
      <c r="E12" s="30">
        <v>0</v>
      </c>
      <c r="F12" s="31">
        <v>18.989999999999998</v>
      </c>
      <c r="G12" s="31">
        <v>0</v>
      </c>
      <c r="H12" s="32">
        <f t="shared" si="1"/>
        <v>0</v>
      </c>
      <c r="I12" s="32">
        <f t="shared" si="2"/>
        <v>0.1134771826602394</v>
      </c>
      <c r="J12" s="33">
        <f t="shared" si="5"/>
        <v>2.1549316987179461</v>
      </c>
      <c r="K12" s="33">
        <f t="shared" si="3"/>
        <v>2.1549316987179461</v>
      </c>
      <c r="L12" s="30">
        <v>4</v>
      </c>
      <c r="M12" s="34">
        <f t="shared" si="6"/>
        <v>0.25</v>
      </c>
      <c r="N12" s="30">
        <v>0</v>
      </c>
      <c r="O12" s="35">
        <f t="shared" ref="O12:P12" si="20">D12/7</f>
        <v>0.14285714285714285</v>
      </c>
      <c r="P12" s="35">
        <f t="shared" si="20"/>
        <v>0</v>
      </c>
      <c r="Q12" s="30">
        <f t="shared" si="8"/>
        <v>0</v>
      </c>
      <c r="R12" s="30"/>
      <c r="S12" s="36" t="e">
        <v>#N/A</v>
      </c>
      <c r="T12" s="29">
        <v>160</v>
      </c>
      <c r="U12" s="37">
        <v>160</v>
      </c>
      <c r="V12" s="38" t="s">
        <v>426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58</v>
      </c>
      <c r="AB12" s="41">
        <f t="shared" si="11"/>
        <v>-0.69</v>
      </c>
      <c r="AC12" s="42">
        <v>0.25214583333333335</v>
      </c>
      <c r="AD12" s="40">
        <f t="shared" si="12"/>
        <v>-0.34796125</v>
      </c>
      <c r="AE12" s="40">
        <v>-7.32</v>
      </c>
      <c r="AF12" s="40">
        <v>-6.3186070512820498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160</v>
      </c>
      <c r="U13" s="37">
        <v>160</v>
      </c>
      <c r="V13" s="38" t="s">
        <v>427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-6.5173249999999996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160</v>
      </c>
      <c r="U14" s="37">
        <v>160</v>
      </c>
      <c r="V14" s="38" t="s">
        <v>428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-6.5173249999999996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160</v>
      </c>
      <c r="U15" s="37">
        <v>160</v>
      </c>
      <c r="V15" s="38" t="s">
        <v>429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-6.5173249999999996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160</v>
      </c>
      <c r="U16" s="37">
        <v>160</v>
      </c>
      <c r="V16" s="38" t="s">
        <v>429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-6.5775350000000001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1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160</v>
      </c>
      <c r="U17" s="37">
        <v>160</v>
      </c>
      <c r="V17" s="38" t="s">
        <v>429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-6.5775350000000001</v>
      </c>
      <c r="AG17" s="40">
        <v>0</v>
      </c>
    </row>
    <row r="18" spans="1:33" ht="15.75" customHeight="1" x14ac:dyDescent="0.2">
      <c r="A18" s="29" t="s">
        <v>46</v>
      </c>
      <c r="B18" s="29"/>
      <c r="C18" s="16">
        <f t="shared" si="4"/>
        <v>18.989999999999998</v>
      </c>
      <c r="D18" s="30">
        <v>1</v>
      </c>
      <c r="E18" s="30">
        <v>0</v>
      </c>
      <c r="F18" s="33">
        <v>18.989999999999998</v>
      </c>
      <c r="G18" s="31">
        <v>0</v>
      </c>
      <c r="H18" s="32">
        <f t="shared" si="1"/>
        <v>0</v>
      </c>
      <c r="I18" s="32">
        <f t="shared" si="2"/>
        <v>9.9842219589257292E-2</v>
      </c>
      <c r="J18" s="33">
        <f t="shared" si="5"/>
        <v>1.8960037499999958</v>
      </c>
      <c r="K18" s="33">
        <f t="shared" si="3"/>
        <v>1.8960037499999958</v>
      </c>
      <c r="L18" s="30">
        <v>1</v>
      </c>
      <c r="M18" s="34">
        <f t="shared" si="6"/>
        <v>1</v>
      </c>
      <c r="N18" s="30">
        <v>0</v>
      </c>
      <c r="O18" s="35">
        <f t="shared" ref="O18:P18" si="26">D18/7</f>
        <v>0.14285714285714285</v>
      </c>
      <c r="P18" s="35">
        <f t="shared" si="26"/>
        <v>0</v>
      </c>
      <c r="Q18" s="30">
        <f t="shared" si="8"/>
        <v>0</v>
      </c>
      <c r="R18" s="30"/>
      <c r="S18" s="36" t="e">
        <v>#N/A</v>
      </c>
      <c r="T18" s="29">
        <v>496</v>
      </c>
      <c r="U18" s="37">
        <v>140</v>
      </c>
      <c r="V18" s="38" t="s">
        <v>118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58</v>
      </c>
      <c r="AB18" s="41">
        <f t="shared" si="11"/>
        <v>-0.69</v>
      </c>
      <c r="AC18" s="42">
        <v>0.25214583333333335</v>
      </c>
      <c r="AD18" s="40">
        <f t="shared" si="12"/>
        <v>-0.34796125</v>
      </c>
      <c r="AE18" s="40">
        <v>-7.32</v>
      </c>
      <c r="AF18" s="40">
        <v>-6.5775350000000001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496</v>
      </c>
      <c r="U19" s="37">
        <v>140</v>
      </c>
      <c r="V19" s="38" t="s">
        <v>118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-6.5775350000000001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496</v>
      </c>
      <c r="U20" s="37">
        <v>140</v>
      </c>
      <c r="V20" s="38" t="s">
        <v>118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-6.5775350000000001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496</v>
      </c>
      <c r="U21" s="37">
        <v>140</v>
      </c>
      <c r="V21" s="38" t="s">
        <v>118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-6.5775350000000001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496</v>
      </c>
      <c r="U22" s="37">
        <v>140</v>
      </c>
      <c r="V22" s="38" t="s">
        <v>119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-6.5775350000000001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496</v>
      </c>
      <c r="U23" s="37">
        <v>140</v>
      </c>
      <c r="V23" s="38" t="s">
        <v>119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-6.5775350000000001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496</v>
      </c>
      <c r="U24" s="37">
        <v>140</v>
      </c>
      <c r="V24" s="38" t="s">
        <v>120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42">
        <v>0.25214583333333335</v>
      </c>
      <c r="AD24" s="40">
        <f t="shared" si="12"/>
        <v>0</v>
      </c>
      <c r="AE24" s="40">
        <v>-7.32</v>
      </c>
      <c r="AF24" s="40">
        <v>-6.5775350000000001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0.25214583333333335</v>
      </c>
      <c r="AD25" s="40">
        <f t="shared" si="12"/>
        <v>0</v>
      </c>
      <c r="AE25" s="40">
        <v>-7.32</v>
      </c>
      <c r="AF25" s="40">
        <v>-6.58</v>
      </c>
      <c r="AG25" s="40">
        <v>0</v>
      </c>
    </row>
    <row r="26" spans="1:33" ht="15.75" customHeight="1" x14ac:dyDescent="0.2">
      <c r="A26" s="15" t="s">
        <v>54</v>
      </c>
      <c r="B26" s="15" t="s">
        <v>430</v>
      </c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140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2.8571428571428571E-2</v>
      </c>
      <c r="T26" s="15">
        <v>440</v>
      </c>
      <c r="U26" s="23">
        <v>24</v>
      </c>
      <c r="V26" s="1" t="s">
        <v>431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0.25214583333333335</v>
      </c>
      <c r="AD26" s="40">
        <f t="shared" si="12"/>
        <v>0</v>
      </c>
      <c r="AE26" s="26">
        <v>-7.18</v>
      </c>
      <c r="AF26" s="26">
        <v>-6.5775350000000001</v>
      </c>
      <c r="AG26" s="26">
        <v>0</v>
      </c>
    </row>
    <row r="27" spans="1:33" ht="15.75" customHeight="1" x14ac:dyDescent="0.2">
      <c r="A27" s="15" t="s">
        <v>74</v>
      </c>
      <c r="B27" s="15" t="s">
        <v>432</v>
      </c>
      <c r="C27" s="16">
        <f t="shared" si="4"/>
        <v>19.989999999999998</v>
      </c>
      <c r="D27" s="17">
        <v>3</v>
      </c>
      <c r="E27" s="17">
        <v>1</v>
      </c>
      <c r="F27" s="18">
        <v>59.97</v>
      </c>
      <c r="G27" s="18">
        <v>-40.819999999999993</v>
      </c>
      <c r="H27" s="32">
        <f t="shared" si="1"/>
        <v>0.6806736701684174</v>
      </c>
      <c r="I27" s="32">
        <f t="shared" si="2"/>
        <v>-0.53630129648157399</v>
      </c>
      <c r="J27" s="33">
        <f t="shared" si="5"/>
        <v>-32.161988749999992</v>
      </c>
      <c r="K27" s="33">
        <f t="shared" si="3"/>
        <v>-10.720662916666663</v>
      </c>
      <c r="L27" s="17">
        <v>19</v>
      </c>
      <c r="M27" s="34">
        <f t="shared" si="6"/>
        <v>0.15789473684210525</v>
      </c>
      <c r="N27" s="17">
        <v>137</v>
      </c>
      <c r="O27" s="35">
        <f t="shared" ref="O27:P27" si="35">D27/7</f>
        <v>0.42857142857142855</v>
      </c>
      <c r="P27" s="35">
        <f t="shared" si="35"/>
        <v>0.14285714285714285</v>
      </c>
      <c r="Q27" s="30">
        <f t="shared" si="8"/>
        <v>239</v>
      </c>
      <c r="R27" s="30"/>
      <c r="S27" s="22">
        <v>8.7591240875912413E-2</v>
      </c>
      <c r="T27" s="15">
        <v>440</v>
      </c>
      <c r="U27" s="23">
        <v>24</v>
      </c>
      <c r="V27" s="1" t="s">
        <v>431</v>
      </c>
      <c r="W27" s="15">
        <v>1</v>
      </c>
      <c r="X27" s="39">
        <f t="shared" si="9"/>
        <v>0.33333333333333331</v>
      </c>
      <c r="Y27" s="40">
        <f t="shared" si="10"/>
        <v>5.8314285714285701</v>
      </c>
      <c r="Z27" s="15">
        <v>6</v>
      </c>
      <c r="AA27" s="29" t="s">
        <v>58</v>
      </c>
      <c r="AB27" s="41">
        <f t="shared" si="11"/>
        <v>-0.69</v>
      </c>
      <c r="AC27" s="42">
        <v>0.25214583333333335</v>
      </c>
      <c r="AD27" s="40">
        <f t="shared" si="12"/>
        <v>-1.04388375</v>
      </c>
      <c r="AE27" s="26">
        <v>-7.18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 t="s">
        <v>433</v>
      </c>
      <c r="C28" s="16">
        <f t="shared" si="4"/>
        <v>20.101428571428574</v>
      </c>
      <c r="D28" s="17">
        <v>7</v>
      </c>
      <c r="E28" s="17">
        <v>2</v>
      </c>
      <c r="F28" s="18">
        <v>140.71</v>
      </c>
      <c r="G28" s="18">
        <v>-68.73</v>
      </c>
      <c r="H28" s="32">
        <f t="shared" si="1"/>
        <v>0.4884514249164949</v>
      </c>
      <c r="I28" s="32">
        <f t="shared" si="2"/>
        <v>-0.34016753429038454</v>
      </c>
      <c r="J28" s="33">
        <f t="shared" si="5"/>
        <v>-47.864973750000011</v>
      </c>
      <c r="K28" s="33">
        <f t="shared" si="3"/>
        <v>-6.8378533928571441</v>
      </c>
      <c r="L28" s="17">
        <v>33</v>
      </c>
      <c r="M28" s="34">
        <f t="shared" si="6"/>
        <v>0.21212121212121213</v>
      </c>
      <c r="N28" s="17">
        <v>105</v>
      </c>
      <c r="O28" s="35">
        <f t="shared" ref="O28:P28" si="36">D28/7</f>
        <v>1</v>
      </c>
      <c r="P28" s="35">
        <f t="shared" si="36"/>
        <v>0.2857142857142857</v>
      </c>
      <c r="Q28" s="30">
        <f t="shared" si="8"/>
        <v>81</v>
      </c>
      <c r="R28" s="30"/>
      <c r="S28" s="22">
        <v>0.24427480916030531</v>
      </c>
      <c r="T28" s="15">
        <v>440</v>
      </c>
      <c r="U28" s="23">
        <v>24</v>
      </c>
      <c r="V28" s="1" t="s">
        <v>431</v>
      </c>
      <c r="W28" s="15">
        <v>5</v>
      </c>
      <c r="X28" s="39">
        <f t="shared" si="9"/>
        <v>0.7142857142857143</v>
      </c>
      <c r="Y28" s="40">
        <f t="shared" si="10"/>
        <v>4.9092857142857147</v>
      </c>
      <c r="Z28" s="15">
        <v>9</v>
      </c>
      <c r="AA28" s="29" t="s">
        <v>58</v>
      </c>
      <c r="AB28" s="41">
        <f t="shared" si="11"/>
        <v>-0.69</v>
      </c>
      <c r="AC28" s="42">
        <v>0.25214583333333335</v>
      </c>
      <c r="AD28" s="40">
        <f t="shared" si="12"/>
        <v>-2.43572875</v>
      </c>
      <c r="AE28" s="26">
        <v>-7.18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 t="s">
        <v>432</v>
      </c>
      <c r="C29" s="16">
        <f t="shared" si="4"/>
        <v>20.04</v>
      </c>
      <c r="D29" s="17">
        <v>10</v>
      </c>
      <c r="E29" s="17">
        <v>2</v>
      </c>
      <c r="F29" s="18">
        <v>200.4</v>
      </c>
      <c r="G29" s="18">
        <v>-65.930000000000007</v>
      </c>
      <c r="H29" s="32">
        <f t="shared" si="1"/>
        <v>0.32899201596806388</v>
      </c>
      <c r="I29" s="32">
        <f t="shared" si="2"/>
        <v>-0.18285909431137726</v>
      </c>
      <c r="J29" s="33">
        <f t="shared" si="5"/>
        <v>-36.644962500000005</v>
      </c>
      <c r="K29" s="33">
        <f t="shared" si="3"/>
        <v>-3.6644962500000005</v>
      </c>
      <c r="L29" s="17">
        <v>37</v>
      </c>
      <c r="M29" s="34">
        <f t="shared" si="6"/>
        <v>0.27027027027027029</v>
      </c>
      <c r="N29" s="17">
        <v>107</v>
      </c>
      <c r="O29" s="35">
        <f t="shared" ref="O29:P29" si="37">D29/7</f>
        <v>1.4285714285714286</v>
      </c>
      <c r="P29" s="35">
        <f t="shared" si="37"/>
        <v>0.2857142857142857</v>
      </c>
      <c r="Q29" s="30">
        <f t="shared" si="8"/>
        <v>62</v>
      </c>
      <c r="R29" s="30"/>
      <c r="S29" s="22">
        <v>0.86792452830188682</v>
      </c>
      <c r="T29" s="15">
        <v>440</v>
      </c>
      <c r="U29" s="23">
        <v>24</v>
      </c>
      <c r="V29" s="1" t="s">
        <v>434</v>
      </c>
      <c r="W29" s="15">
        <v>1</v>
      </c>
      <c r="X29" s="39">
        <f t="shared" si="9"/>
        <v>0.1</v>
      </c>
      <c r="Y29" s="40">
        <f t="shared" si="10"/>
        <v>4.7092857142857145</v>
      </c>
      <c r="Z29" s="15">
        <v>13</v>
      </c>
      <c r="AA29" s="29" t="s">
        <v>58</v>
      </c>
      <c r="AB29" s="41">
        <f t="shared" si="11"/>
        <v>-0.69</v>
      </c>
      <c r="AC29" s="42">
        <v>0.25214583333333335</v>
      </c>
      <c r="AD29" s="40">
        <f t="shared" si="12"/>
        <v>-3.4796125</v>
      </c>
      <c r="AE29" s="26">
        <v>-7.18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15" t="s">
        <v>435</v>
      </c>
      <c r="C30" s="16">
        <f t="shared" si="4"/>
        <v>20.141249999999999</v>
      </c>
      <c r="D30" s="17">
        <v>8</v>
      </c>
      <c r="E30" s="17">
        <v>0</v>
      </c>
      <c r="F30" s="18">
        <v>161.13</v>
      </c>
      <c r="G30" s="18">
        <v>-60.010000000000012</v>
      </c>
      <c r="H30" s="32">
        <f t="shared" si="1"/>
        <v>0.37243219760441887</v>
      </c>
      <c r="I30" s="32">
        <f t="shared" si="2"/>
        <v>-0.18588791677527475</v>
      </c>
      <c r="J30" s="33">
        <f t="shared" si="5"/>
        <v>-29.952120030000017</v>
      </c>
      <c r="K30" s="33">
        <f t="shared" si="3"/>
        <v>-3.7440150037500022</v>
      </c>
      <c r="L30" s="17">
        <v>37</v>
      </c>
      <c r="M30" s="34">
        <f t="shared" si="6"/>
        <v>0.21621621621621623</v>
      </c>
      <c r="N30" s="17">
        <v>98</v>
      </c>
      <c r="O30" s="35">
        <f t="shared" ref="O30:P30" si="38">D30/7</f>
        <v>1.1428571428571428</v>
      </c>
      <c r="P30" s="35">
        <f t="shared" si="38"/>
        <v>0</v>
      </c>
      <c r="Q30" s="30">
        <f t="shared" si="8"/>
        <v>85</v>
      </c>
      <c r="R30" s="30"/>
      <c r="S30" s="22">
        <v>1.1650485436893201</v>
      </c>
      <c r="T30" s="29">
        <v>440</v>
      </c>
      <c r="U30" s="37">
        <v>24</v>
      </c>
      <c r="V30" s="38" t="s">
        <v>434</v>
      </c>
      <c r="W30" s="15">
        <v>1</v>
      </c>
      <c r="X30" s="39">
        <f t="shared" si="9"/>
        <v>0.125</v>
      </c>
      <c r="Y30" s="40">
        <f t="shared" si="10"/>
        <v>4.2864285714285719</v>
      </c>
      <c r="Z30" s="15">
        <v>13</v>
      </c>
      <c r="AA30" s="29" t="s">
        <v>58</v>
      </c>
      <c r="AB30" s="41">
        <f t="shared" si="11"/>
        <v>-0.69</v>
      </c>
      <c r="AC30" s="42">
        <v>0.25214583333333335</v>
      </c>
      <c r="AD30" s="40">
        <f t="shared" si="12"/>
        <v>-2.78369</v>
      </c>
      <c r="AE30" s="26">
        <v>-7.18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4"/>
        <v>20.09352941176471</v>
      </c>
      <c r="D31" s="17">
        <v>17</v>
      </c>
      <c r="E31" s="17">
        <v>0</v>
      </c>
      <c r="F31" s="18">
        <v>341.59000000000009</v>
      </c>
      <c r="G31" s="43">
        <v>-57.080000000000005</v>
      </c>
      <c r="H31" s="32">
        <f t="shared" si="1"/>
        <v>0.16710091044819811</v>
      </c>
      <c r="I31" s="32">
        <f t="shared" si="2"/>
        <v>1.7867714032173153E-2</v>
      </c>
      <c r="J31" s="33">
        <f t="shared" si="5"/>
        <v>6.1034324362500287</v>
      </c>
      <c r="K31" s="33">
        <f t="shared" si="3"/>
        <v>0.3590254374264723</v>
      </c>
      <c r="L31" s="17">
        <v>50</v>
      </c>
      <c r="M31" s="34">
        <f t="shared" si="6"/>
        <v>0.34</v>
      </c>
      <c r="N31" s="17">
        <v>81</v>
      </c>
      <c r="O31" s="35">
        <f t="shared" ref="O31:P31" si="39">D31/7</f>
        <v>2.4285714285714284</v>
      </c>
      <c r="P31" s="35">
        <f t="shared" si="39"/>
        <v>0</v>
      </c>
      <c r="Q31" s="30">
        <f t="shared" si="8"/>
        <v>33</v>
      </c>
      <c r="R31" s="30"/>
      <c r="S31" s="22">
        <v>0.62978723404255299</v>
      </c>
      <c r="T31" s="15">
        <v>356</v>
      </c>
      <c r="U31" s="23" t="s">
        <v>56</v>
      </c>
      <c r="V31" s="1" t="s">
        <v>418</v>
      </c>
      <c r="W31" s="15">
        <v>11</v>
      </c>
      <c r="X31" s="39">
        <f t="shared" si="9"/>
        <v>0.6470588235294118</v>
      </c>
      <c r="Y31" s="40">
        <f t="shared" si="10"/>
        <v>2.7180952380952386</v>
      </c>
      <c r="Z31" s="15">
        <v>10</v>
      </c>
      <c r="AA31" s="15" t="s">
        <v>58</v>
      </c>
      <c r="AB31" s="41">
        <f t="shared" si="11"/>
        <v>-0.69</v>
      </c>
      <c r="AC31" s="28">
        <v>0.25214583333333335</v>
      </c>
      <c r="AD31" s="40">
        <f t="shared" si="12"/>
        <v>-5.91534125</v>
      </c>
      <c r="AE31" s="44">
        <v>-7.18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20.64</v>
      </c>
      <c r="D32" s="17">
        <v>4</v>
      </c>
      <c r="E32" s="17">
        <v>1</v>
      </c>
      <c r="F32" s="18">
        <v>82.56</v>
      </c>
      <c r="G32" s="18">
        <v>-19.47</v>
      </c>
      <c r="H32" s="32">
        <f t="shared" si="1"/>
        <v>0.235828488372093</v>
      </c>
      <c r="I32" s="32">
        <f t="shared" si="2"/>
        <v>-3.3252301538275124E-2</v>
      </c>
      <c r="J32" s="33">
        <f t="shared" si="5"/>
        <v>-2.7453100149999941</v>
      </c>
      <c r="K32" s="33">
        <f t="shared" si="3"/>
        <v>-0.68632750374999851</v>
      </c>
      <c r="L32" s="17">
        <v>27</v>
      </c>
      <c r="M32" s="34">
        <f t="shared" si="6"/>
        <v>0.14814814814814814</v>
      </c>
      <c r="N32" s="17">
        <v>76</v>
      </c>
      <c r="O32" s="35">
        <f t="shared" ref="O32:P32" si="40">D32/7</f>
        <v>0.5714285714285714</v>
      </c>
      <c r="P32" s="35">
        <f t="shared" si="40"/>
        <v>0.14285714285714285</v>
      </c>
      <c r="Q32" s="30">
        <f t="shared" si="8"/>
        <v>106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0.8</v>
      </c>
      <c r="T32" s="15">
        <f ca="1">IFERROR(__xludf.DUMMYFUNCTION("IFERROR(VLOOKUP($B$2,IMPORTRANGE(""https://docs.google.com/spreadsheets/d/1KiWZV1ko8G7lnRucBRBd29jj3Be6ltMfljMDqzOkQmI/edit#gid=1381463014"",""Lookup!A:D""),4,FALSE),"""")"),356)</f>
        <v>356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356 At Factory 50-75 days from Earliest Arrival")</f>
        <v>No Transit, But 356 At Factory 50-75 days from Earliest Arrival</v>
      </c>
      <c r="W32" s="15">
        <v>0</v>
      </c>
      <c r="X32" s="39">
        <f t="shared" si="9"/>
        <v>0</v>
      </c>
      <c r="Y32" s="40">
        <f t="shared" si="10"/>
        <v>9.7349999999999994</v>
      </c>
      <c r="Z32" s="15">
        <v>2</v>
      </c>
      <c r="AA32" s="15" t="s">
        <v>58</v>
      </c>
      <c r="AB32" s="41">
        <f t="shared" si="11"/>
        <v>-0.69</v>
      </c>
      <c r="AC32" s="28">
        <v>0.25214583333333335</v>
      </c>
      <c r="AD32" s="40">
        <f t="shared" si="12"/>
        <v>-1.391845</v>
      </c>
      <c r="AE32" s="26">
        <v>-7.18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77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Info!B1:BJ7000""),3,FALSE),"""")"),"Corn Filled Cornhole Bags - Set of 8 Bean Bags for Corn Hole Game - Regulation Size &amp; Weight - Hunter Green &amp; Navy Blue")</f>
        <v>Corn Filled Cornhole Bags - Set of 8 Bean Bags for Corn Hole Game - Regulation Size &amp; Weight - Hunter Green &amp; Navy Blue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Info!B1:BJ7000""),2,FALSE),"""")"),"B087YJ29L9")</f>
        <v>B087YJ29L9</v>
      </c>
      <c r="B2" s="47" t="s">
        <v>436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15.664548533823531</v>
      </c>
      <c r="D3" s="5">
        <f>SUM(D4:D99765)</f>
        <v>31</v>
      </c>
      <c r="E3" s="5"/>
      <c r="F3" s="6">
        <f t="shared" ref="F3:G3" si="0">SUM(F4:F99765)</f>
        <v>619.68999999999983</v>
      </c>
      <c r="G3" s="6">
        <f t="shared" si="0"/>
        <v>0</v>
      </c>
      <c r="H3" s="7">
        <f>G3/F3*-1</f>
        <v>0</v>
      </c>
      <c r="I3" s="8">
        <f>J3/F3</f>
        <v>0.15439568336587636</v>
      </c>
      <c r="J3" s="6">
        <f>SUM(J4:J99765)</f>
        <v>95.6774610249999</v>
      </c>
      <c r="K3" s="6">
        <f>J3/D3</f>
        <v>3.0863697104838677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1 - April
1 - May
1.5 - June
1.5 - July
1 - Aug
1 - Sept
0.5 - Oct
0 - Nov
0 - Dec
0.1 - Jan
0.1 - Feb")</f>
        <v>0.5 - March
1 - April
1 - May
1.5 - June
1.5 - July
1 - Aug
1 - Sept
0.5 - Oct
0 - Nov
0 -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-11.672816422500002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Info!B2:BZ7000""),36,FALSE)),"""")*-1"),-5.83486625375)</f>
        <v>-5.8348662537499996</v>
      </c>
      <c r="AG3" s="6">
        <f>SUM(AG4:AG99765)</f>
        <v>0</v>
      </c>
    </row>
    <row r="4" spans="1:33" ht="15.75" hidden="1" customHeight="1" x14ac:dyDescent="0.2">
      <c r="A4" s="15" t="s">
        <v>32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35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36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37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38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39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40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41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42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43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44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45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46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47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48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49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50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51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52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29" t="s">
        <v>53</v>
      </c>
      <c r="B25" s="15"/>
      <c r="C25" s="16"/>
      <c r="D25" s="30"/>
      <c r="E25" s="30"/>
      <c r="F25" s="33"/>
      <c r="G25" s="33"/>
      <c r="H25" s="32"/>
      <c r="I25" s="32"/>
      <c r="J25" s="33"/>
      <c r="K25" s="33"/>
      <c r="L25" s="30"/>
      <c r="M25" s="34"/>
      <c r="N25" s="30"/>
      <c r="O25" s="35"/>
      <c r="P25" s="35"/>
      <c r="Q25" s="30"/>
      <c r="R25" s="30"/>
      <c r="S25" s="36"/>
      <c r="T25" s="15"/>
      <c r="U25" s="23"/>
      <c r="V25" s="1"/>
      <c r="W25" s="15"/>
      <c r="X25" s="39"/>
      <c r="Y25" s="40"/>
      <c r="Z25" s="15"/>
      <c r="AA25" s="29"/>
      <c r="AB25" s="41"/>
      <c r="AC25" s="42"/>
      <c r="AD25" s="40"/>
      <c r="AE25" s="40"/>
      <c r="AF25" s="40"/>
      <c r="AG25" s="40"/>
    </row>
    <row r="26" spans="1:33" ht="15.75" customHeight="1" x14ac:dyDescent="0.2">
      <c r="A26" s="15" t="s">
        <v>54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15"/>
      <c r="U26" s="23"/>
      <c r="V26" s="1"/>
      <c r="W26" s="15"/>
      <c r="X26" s="39"/>
      <c r="Y26" s="40"/>
      <c r="Z26" s="15"/>
      <c r="AA26" s="29"/>
      <c r="AB26" s="41"/>
      <c r="AC26" s="42"/>
      <c r="AD26" s="40"/>
      <c r="AE26" s="26"/>
      <c r="AF26" s="26"/>
      <c r="AG26" s="26"/>
    </row>
    <row r="27" spans="1:33" ht="15.75" customHeight="1" x14ac:dyDescent="0.2">
      <c r="A27" s="15" t="s">
        <v>74</v>
      </c>
      <c r="B27" s="15"/>
      <c r="C27" s="16">
        <f t="shared" ref="C27:C32" si="1">IFERROR(F27/D27," - ")</f>
        <v>19.989999999999998</v>
      </c>
      <c r="D27" s="17">
        <v>5</v>
      </c>
      <c r="E27" s="17">
        <v>0</v>
      </c>
      <c r="F27" s="18">
        <v>99.949999999999989</v>
      </c>
      <c r="G27" s="18">
        <v>0</v>
      </c>
      <c r="H27" s="32">
        <f t="shared" ref="H27:H32" si="2">G27/F27*-1</f>
        <v>0</v>
      </c>
      <c r="I27" s="32">
        <f t="shared" ref="I27:I32" si="3">J27/F27</f>
        <v>0.19241945972986474</v>
      </c>
      <c r="J27" s="33">
        <f t="shared" ref="J27:J32" si="4">F27*0.85+G27+AF27*D27+D27*AE27+AG27+AD27</f>
        <v>19.232324999999978</v>
      </c>
      <c r="K27" s="33">
        <f t="shared" ref="K27:K32" si="5">J27/D27</f>
        <v>3.8464649999999958</v>
      </c>
      <c r="L27" s="17">
        <v>7</v>
      </c>
      <c r="M27" s="34">
        <f t="shared" ref="M27:M32" si="6">IFERROR(D27/L27,"-")</f>
        <v>0.7142857142857143</v>
      </c>
      <c r="N27" s="17">
        <v>95</v>
      </c>
      <c r="O27" s="35">
        <f t="shared" ref="O27:P27" si="7">D27/7</f>
        <v>0.7142857142857143</v>
      </c>
      <c r="P27" s="35">
        <f t="shared" si="7"/>
        <v>0</v>
      </c>
      <c r="Q27" s="30">
        <f t="shared" ref="Q27:Q32" si="8">ROUNDDOWN(N27/(O27+P27),0)</f>
        <v>133</v>
      </c>
      <c r="R27" s="30"/>
      <c r="S27" s="22">
        <v>0</v>
      </c>
      <c r="T27" s="15">
        <v>196</v>
      </c>
      <c r="U27" s="23" t="s">
        <v>56</v>
      </c>
      <c r="V27" s="1" t="s">
        <v>56</v>
      </c>
      <c r="W27" s="15">
        <v>0</v>
      </c>
      <c r="X27" s="39">
        <f t="shared" ref="X27:X32" si="9">IFERROR(W27/D27,0)</f>
        <v>0</v>
      </c>
      <c r="Y27" s="40"/>
      <c r="Z27" s="15">
        <v>0</v>
      </c>
      <c r="AA27" s="29" t="s">
        <v>58</v>
      </c>
      <c r="AB27" s="41">
        <f t="shared" ref="AB27:AB32" si="10">IF(OR(AA27="UsLargeStandardSize",AA27="UsSmallStandardSize"),-0.69,-0.48)</f>
        <v>-0.69</v>
      </c>
      <c r="AC27" s="42">
        <v>0.20833333333333334</v>
      </c>
      <c r="AD27" s="40">
        <f t="shared" ref="AD27:AD32" si="11">IFERROR(AB27*AC27*D27*2,0)</f>
        <v>-1.4375</v>
      </c>
      <c r="AE27" s="26">
        <v>-6.28</v>
      </c>
      <c r="AF27" s="26">
        <v>-6.5775350000000001</v>
      </c>
      <c r="AG27" s="26">
        <v>0</v>
      </c>
    </row>
    <row r="28" spans="1:33" ht="15.75" customHeight="1" x14ac:dyDescent="0.2">
      <c r="A28" s="15" t="s">
        <v>75</v>
      </c>
      <c r="B28" s="15"/>
      <c r="C28" s="16">
        <f t="shared" si="1"/>
        <v>19.989999999999998</v>
      </c>
      <c r="D28" s="17">
        <v>4</v>
      </c>
      <c r="E28" s="17">
        <v>0</v>
      </c>
      <c r="F28" s="18">
        <v>79.959999999999994</v>
      </c>
      <c r="G28" s="18">
        <v>0</v>
      </c>
      <c r="H28" s="32">
        <f t="shared" si="2"/>
        <v>0</v>
      </c>
      <c r="I28" s="32">
        <f t="shared" si="3"/>
        <v>0.12707848843171571</v>
      </c>
      <c r="J28" s="33">
        <f t="shared" si="4"/>
        <v>10.161195934999988</v>
      </c>
      <c r="K28" s="33">
        <f t="shared" si="5"/>
        <v>2.540298983749997</v>
      </c>
      <c r="L28" s="17">
        <v>21</v>
      </c>
      <c r="M28" s="34">
        <f t="shared" si="6"/>
        <v>0.19047619047619047</v>
      </c>
      <c r="N28" s="17">
        <v>91</v>
      </c>
      <c r="O28" s="35">
        <f t="shared" ref="O28:P28" si="12">D28/7</f>
        <v>0.5714285714285714</v>
      </c>
      <c r="P28" s="35">
        <f t="shared" si="12"/>
        <v>0</v>
      </c>
      <c r="Q28" s="30">
        <f t="shared" si="8"/>
        <v>159</v>
      </c>
      <c r="R28" s="30"/>
      <c r="S28" s="22">
        <v>0.37894736842105259</v>
      </c>
      <c r="T28" s="15">
        <v>196</v>
      </c>
      <c r="U28" s="23" t="s">
        <v>56</v>
      </c>
      <c r="V28" s="1" t="s">
        <v>56</v>
      </c>
      <c r="W28" s="15">
        <v>0</v>
      </c>
      <c r="X28" s="39">
        <f t="shared" si="9"/>
        <v>0</v>
      </c>
      <c r="Y28" s="40">
        <f t="shared" ref="Y28:Y32" si="13">IFERROR(G28/(W28+Z28)*-1,0)</f>
        <v>0</v>
      </c>
      <c r="Z28" s="15">
        <v>0</v>
      </c>
      <c r="AA28" s="29" t="s">
        <v>58</v>
      </c>
      <c r="AB28" s="41">
        <f t="shared" si="10"/>
        <v>-0.69</v>
      </c>
      <c r="AC28" s="42">
        <v>0.28526522916666669</v>
      </c>
      <c r="AD28" s="40">
        <f t="shared" si="11"/>
        <v>-1.5746640650000001</v>
      </c>
      <c r="AE28" s="26">
        <v>-7.48</v>
      </c>
      <c r="AF28" s="26">
        <v>-6.5775350000000001</v>
      </c>
      <c r="AG28" s="26">
        <v>0</v>
      </c>
    </row>
    <row r="29" spans="1:33" ht="15.75" customHeight="1" x14ac:dyDescent="0.2">
      <c r="A29" s="15" t="s">
        <v>77</v>
      </c>
      <c r="B29" s="15"/>
      <c r="C29" s="16">
        <f t="shared" si="1"/>
        <v>19.989999999999998</v>
      </c>
      <c r="D29" s="17">
        <v>8</v>
      </c>
      <c r="E29" s="17">
        <v>0</v>
      </c>
      <c r="F29" s="18">
        <v>159.91999999999999</v>
      </c>
      <c r="G29" s="18">
        <v>0</v>
      </c>
      <c r="H29" s="32">
        <f t="shared" si="2"/>
        <v>0</v>
      </c>
      <c r="I29" s="32">
        <f t="shared" si="3"/>
        <v>0.12707848843171571</v>
      </c>
      <c r="J29" s="33">
        <f t="shared" si="4"/>
        <v>20.322391869999976</v>
      </c>
      <c r="K29" s="33">
        <f t="shared" si="5"/>
        <v>2.540298983749997</v>
      </c>
      <c r="L29" s="17">
        <v>16</v>
      </c>
      <c r="M29" s="34">
        <f t="shared" si="6"/>
        <v>0.5</v>
      </c>
      <c r="N29" s="17">
        <v>85</v>
      </c>
      <c r="O29" s="35">
        <f t="shared" ref="O29:P29" si="14">D29/7</f>
        <v>1.1428571428571428</v>
      </c>
      <c r="P29" s="35">
        <f t="shared" si="14"/>
        <v>0</v>
      </c>
      <c r="Q29" s="30">
        <f t="shared" si="8"/>
        <v>74</v>
      </c>
      <c r="R29" s="30"/>
      <c r="S29" s="22">
        <v>0.6741573033707865</v>
      </c>
      <c r="T29" s="15">
        <v>196</v>
      </c>
      <c r="U29" s="23" t="s">
        <v>56</v>
      </c>
      <c r="V29" s="1" t="s">
        <v>56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58</v>
      </c>
      <c r="AB29" s="41">
        <f t="shared" si="10"/>
        <v>-0.69</v>
      </c>
      <c r="AC29" s="42">
        <v>0.28526522916666669</v>
      </c>
      <c r="AD29" s="40">
        <f t="shared" si="11"/>
        <v>-3.1493281300000002</v>
      </c>
      <c r="AE29" s="26">
        <v>-7.48</v>
      </c>
      <c r="AF29" s="26">
        <v>-6.5775350000000001</v>
      </c>
      <c r="AG29" s="26">
        <v>0</v>
      </c>
    </row>
    <row r="30" spans="1:33" ht="15.75" customHeight="1" x14ac:dyDescent="0.2">
      <c r="A30" s="15" t="s">
        <v>78</v>
      </c>
      <c r="B30" s="15"/>
      <c r="C30" s="16">
        <f t="shared" si="1"/>
        <v>19.989999999999998</v>
      </c>
      <c r="D30" s="17">
        <v>2</v>
      </c>
      <c r="E30" s="17">
        <v>0</v>
      </c>
      <c r="F30" s="18">
        <v>39.979999999999997</v>
      </c>
      <c r="G30" s="18">
        <v>0</v>
      </c>
      <c r="H30" s="32">
        <f t="shared" si="2"/>
        <v>0</v>
      </c>
      <c r="I30" s="32">
        <f t="shared" si="3"/>
        <v>0.16423050175087534</v>
      </c>
      <c r="J30" s="33">
        <f t="shared" si="4"/>
        <v>6.5659354599999951</v>
      </c>
      <c r="K30" s="33">
        <f t="shared" si="5"/>
        <v>3.2829677299999975</v>
      </c>
      <c r="L30" s="17">
        <v>18</v>
      </c>
      <c r="M30" s="34">
        <f t="shared" si="6"/>
        <v>0.1111111111111111</v>
      </c>
      <c r="N30" s="17">
        <v>75</v>
      </c>
      <c r="O30" s="35">
        <f t="shared" ref="O30:P30" si="15">D30/7</f>
        <v>0.2857142857142857</v>
      </c>
      <c r="P30" s="35">
        <f t="shared" si="15"/>
        <v>0</v>
      </c>
      <c r="Q30" s="30">
        <f t="shared" si="8"/>
        <v>262</v>
      </c>
      <c r="R30" s="30"/>
      <c r="S30" s="22">
        <v>0.91566265060240959</v>
      </c>
      <c r="T30" s="29">
        <v>196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58</v>
      </c>
      <c r="AB30" s="41">
        <f t="shared" si="10"/>
        <v>-0.69</v>
      </c>
      <c r="AC30" s="42">
        <v>0.28526522916666669</v>
      </c>
      <c r="AD30" s="40">
        <f t="shared" si="11"/>
        <v>-0.78733203250000006</v>
      </c>
      <c r="AE30" s="26">
        <v>-7.48</v>
      </c>
      <c r="AF30" s="26">
        <v>-5.8348662537499996</v>
      </c>
      <c r="AG30" s="26">
        <v>0</v>
      </c>
    </row>
    <row r="31" spans="1:33" ht="15.75" customHeight="1" x14ac:dyDescent="0.2">
      <c r="A31" s="15" t="s">
        <v>55</v>
      </c>
      <c r="B31" s="15"/>
      <c r="C31" s="16">
        <f t="shared" si="1"/>
        <v>19.989999999999998</v>
      </c>
      <c r="D31" s="17">
        <v>7</v>
      </c>
      <c r="E31" s="17">
        <v>0</v>
      </c>
      <c r="F31" s="18">
        <v>139.92999999999998</v>
      </c>
      <c r="G31" s="43">
        <v>0</v>
      </c>
      <c r="H31" s="32">
        <f t="shared" si="2"/>
        <v>0</v>
      </c>
      <c r="I31" s="32">
        <f t="shared" si="3"/>
        <v>0.16423050175087531</v>
      </c>
      <c r="J31" s="33">
        <f t="shared" si="4"/>
        <v>22.980774109999977</v>
      </c>
      <c r="K31" s="33">
        <f t="shared" si="5"/>
        <v>3.2829677299999966</v>
      </c>
      <c r="L31" s="17">
        <v>11</v>
      </c>
      <c r="M31" s="34">
        <f t="shared" si="6"/>
        <v>0.63636363636363635</v>
      </c>
      <c r="N31" s="17">
        <v>74</v>
      </c>
      <c r="O31" s="35">
        <f t="shared" ref="O31:P31" si="16">D31/7</f>
        <v>1</v>
      </c>
      <c r="P31" s="35">
        <f t="shared" si="16"/>
        <v>0</v>
      </c>
      <c r="Q31" s="30">
        <f t="shared" si="8"/>
        <v>74</v>
      </c>
      <c r="R31" s="30"/>
      <c r="S31" s="22">
        <v>0.5</v>
      </c>
      <c r="T31" s="15">
        <v>196</v>
      </c>
      <c r="U31" s="23" t="s">
        <v>56</v>
      </c>
      <c r="V31" s="1" t="s">
        <v>437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58</v>
      </c>
      <c r="AB31" s="41">
        <f t="shared" si="10"/>
        <v>-0.69</v>
      </c>
      <c r="AC31" s="28">
        <v>0.28526522916666669</v>
      </c>
      <c r="AD31" s="40">
        <f t="shared" si="11"/>
        <v>-2.7556621137500001</v>
      </c>
      <c r="AE31" s="44">
        <v>-7.48</v>
      </c>
      <c r="AF31" s="44">
        <v>-5.8348662537499996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1"/>
        <v>19.989999999999998</v>
      </c>
      <c r="D32" s="17">
        <v>5</v>
      </c>
      <c r="E32" s="17">
        <v>0</v>
      </c>
      <c r="F32" s="18">
        <v>99.949999999999989</v>
      </c>
      <c r="G32" s="18">
        <v>0</v>
      </c>
      <c r="H32" s="32">
        <f t="shared" si="2"/>
        <v>0</v>
      </c>
      <c r="I32" s="32">
        <f t="shared" si="3"/>
        <v>0.16423050175087528</v>
      </c>
      <c r="J32" s="33">
        <f t="shared" si="4"/>
        <v>16.414838649999982</v>
      </c>
      <c r="K32" s="33">
        <f t="shared" si="5"/>
        <v>3.2829677299999966</v>
      </c>
      <c r="L32" s="17">
        <v>24</v>
      </c>
      <c r="M32" s="34">
        <f t="shared" si="6"/>
        <v>0.20833333333333334</v>
      </c>
      <c r="N32" s="17">
        <v>67</v>
      </c>
      <c r="O32" s="35">
        <f t="shared" ref="O32:P32" si="17">D32/7</f>
        <v>0.7142857142857143</v>
      </c>
      <c r="P32" s="35">
        <f t="shared" si="17"/>
        <v>0</v>
      </c>
      <c r="Q32" s="30">
        <f t="shared" si="8"/>
        <v>93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0.61702127659574468</v>
      </c>
      <c r="T32" s="15">
        <f ca="1">IFERROR(__xludf.DUMMYFUNCTION("IFERROR(VLOOKUP($B$2,IMPORTRANGE(""https://docs.google.com/spreadsheets/d/1KiWZV1ko8G7lnRucBRBd29jj3Be6ltMfljMDqzOkQmI/edit#gid=1381463014"",""Lookup!A:D""),4,FALSE),"""")"),196)</f>
        <v>196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196 At Factory 50-75 days from Earliest Arrival")</f>
        <v>No Transit, But 196 At Factory 50-75 days from Earliest Arrival</v>
      </c>
      <c r="W32" s="15">
        <v>0</v>
      </c>
      <c r="X32" s="39">
        <f t="shared" si="9"/>
        <v>0</v>
      </c>
      <c r="Y32" s="40">
        <f t="shared" si="13"/>
        <v>0</v>
      </c>
      <c r="Z32" s="15">
        <v>0</v>
      </c>
      <c r="AA32" s="15" t="s">
        <v>58</v>
      </c>
      <c r="AB32" s="41">
        <f t="shared" si="10"/>
        <v>-0.69</v>
      </c>
      <c r="AC32" s="28">
        <v>0.28526522916666669</v>
      </c>
      <c r="AD32" s="40">
        <f t="shared" si="11"/>
        <v>-1.9683300812500002</v>
      </c>
      <c r="AE32" s="26">
        <v>-7.48</v>
      </c>
      <c r="AF32" s="26">
        <v>-5.8348662537499996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1:33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1:33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1:33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1:33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1:33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17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Info!B1:BJ7000""),3,FALSE),"""")"),"Professional Cornhole Bags - Set of 8 Regulation All Weather Two Sided Bean Bags for Pro Corn Hole Game - 4 Blue &amp; 4 Black")</f>
        <v>Professional Cornhole Bags - Set of 8 Regulation All Weather Two Sided Bean Bags for Pro Corn Hole Game - 4 Blue &amp; 4 Black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Info!B1:BJ7000""),2,FALSE),"""")"),"B07YGWZS2L")</f>
        <v>B07YGWZS2L</v>
      </c>
      <c r="B2" s="47" t="s">
        <v>438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18.32210735735293</v>
      </c>
      <c r="D3" s="5">
        <f>SUM(D4:D99765)</f>
        <v>1619</v>
      </c>
      <c r="E3" s="5"/>
      <c r="F3" s="6">
        <f t="shared" ref="F3:G3" si="0">SUM(F4:F99765)</f>
        <v>48681.35</v>
      </c>
      <c r="G3" s="6">
        <f t="shared" si="0"/>
        <v>-2681.11</v>
      </c>
      <c r="H3" s="7">
        <f t="shared" ref="H3:H32" si="1">G3/F3*-1</f>
        <v>5.5074684658498588E-2</v>
      </c>
      <c r="I3" s="8">
        <f t="shared" ref="I3:I32" si="2">J3/F3</f>
        <v>0.25543517730201099</v>
      </c>
      <c r="J3" s="6">
        <f>SUM(J4:J99765)</f>
        <v>12434.929268551252</v>
      </c>
      <c r="K3" s="6">
        <f t="shared" ref="K3:K32" si="3">J3/D3</f>
        <v>7.6806233900872467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Sheet!a1:g5000""),2,FALSE),"""")"),"6 - March
7.5 - April
7 - May
16 - June
30 - July
22 - Aug
12 - Sept
8.5 - Oct
5.5 - Nov
5 - Dec
4.5 - Jan
5 - Feb")</f>
        <v>6 - March
7.5 - April
7 - May
16 - June
30 - July
22 - Aug
12 - Sept
8.5 - Oct
5.5 - Nov
5 - Dec
4.5 - Jan
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QTY-125")</f>
        <v>Del QTY-125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191</v>
      </c>
      <c r="X3" s="7">
        <f>W3/D3</f>
        <v>0.1179740580605312</v>
      </c>
      <c r="Y3" s="6"/>
      <c r="Z3" s="5"/>
      <c r="AA3" s="5"/>
      <c r="AB3" s="5"/>
      <c r="AC3" s="5"/>
      <c r="AD3" s="6">
        <f>SUM(AD4:AD99765)</f>
        <v>-422.72592659672608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395</v>
      </c>
      <c r="C4" s="16">
        <f t="shared" ref="C4:C32" si="4">IFERROR(F4/D4," - ")</f>
        <v>24.74767441860465</v>
      </c>
      <c r="D4" s="17">
        <v>43</v>
      </c>
      <c r="E4" s="17">
        <v>1</v>
      </c>
      <c r="F4" s="18">
        <v>1064.1499999999999</v>
      </c>
      <c r="G4" s="18">
        <v>-143.16</v>
      </c>
      <c r="H4" s="19">
        <f t="shared" si="1"/>
        <v>0.13452990649814409</v>
      </c>
      <c r="I4" s="19">
        <f t="shared" si="2"/>
        <v>0.12040779613497639</v>
      </c>
      <c r="J4" s="18">
        <f t="shared" ref="J4:J32" si="5">F4*0.85+G4+AF4*D4+D4*AE4+AG4+AD4</f>
        <v>128.13195625703511</v>
      </c>
      <c r="K4" s="18">
        <f t="shared" si="3"/>
        <v>2.9798129362101191</v>
      </c>
      <c r="L4" s="17">
        <v>187</v>
      </c>
      <c r="M4" s="20">
        <f t="shared" ref="M4:M32" si="6">IFERROR(D4/L4,"-")</f>
        <v>0.22994652406417113</v>
      </c>
      <c r="N4" s="17">
        <v>146</v>
      </c>
      <c r="O4" s="21">
        <f t="shared" ref="O4:P4" si="7">D4/7</f>
        <v>6.1428571428571432</v>
      </c>
      <c r="P4" s="21">
        <f t="shared" si="7"/>
        <v>0.14285714285714285</v>
      </c>
      <c r="Q4" s="17">
        <f t="shared" ref="Q4:Q32" si="8">ROUNDDOWN(N4/(O4+P4),0)</f>
        <v>23</v>
      </c>
      <c r="R4" s="17"/>
      <c r="S4" s="22">
        <v>1.3201776023680301</v>
      </c>
      <c r="T4" s="15">
        <v>1960</v>
      </c>
      <c r="U4" s="23">
        <v>28</v>
      </c>
      <c r="V4" s="24" t="s">
        <v>439</v>
      </c>
      <c r="W4" s="15">
        <v>11</v>
      </c>
      <c r="X4" s="25">
        <f t="shared" ref="X4:X32" si="9">IFERROR(W4/D4,0)</f>
        <v>0.2558139534883721</v>
      </c>
      <c r="Y4" s="26">
        <f t="shared" ref="Y4:Y32" si="10">IFERROR(G4/(W4+Z4)*-1,0)</f>
        <v>3.6707692307692308</v>
      </c>
      <c r="Z4" s="15">
        <v>28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0.19841344791666665</v>
      </c>
      <c r="AD4" s="26">
        <f t="shared" ref="AD4:AD32" si="12">IFERROR(AB4*AC4*D4*2,0)</f>
        <v>-11.773853999374998</v>
      </c>
      <c r="AE4" s="26">
        <v>-7.32</v>
      </c>
      <c r="AF4" s="26">
        <v>-7.132597435897436</v>
      </c>
      <c r="AG4" s="26">
        <v>0</v>
      </c>
    </row>
    <row r="5" spans="1:33" ht="15.75" customHeight="1" x14ac:dyDescent="0.2">
      <c r="A5" s="29" t="s">
        <v>33</v>
      </c>
      <c r="B5" s="29" t="s">
        <v>440</v>
      </c>
      <c r="C5" s="16">
        <f t="shared" si="4"/>
        <v>25.581666666666663</v>
      </c>
      <c r="D5" s="30">
        <v>30</v>
      </c>
      <c r="E5" s="30">
        <v>1</v>
      </c>
      <c r="F5" s="31">
        <v>767.44999999999993</v>
      </c>
      <c r="G5" s="31">
        <v>-22.1</v>
      </c>
      <c r="H5" s="32">
        <f t="shared" si="1"/>
        <v>2.8796664277803117E-2</v>
      </c>
      <c r="I5" s="32">
        <f t="shared" si="2"/>
        <v>0.24552836256654895</v>
      </c>
      <c r="J5" s="33">
        <f t="shared" si="5"/>
        <v>188.43074185169797</v>
      </c>
      <c r="K5" s="33">
        <f t="shared" si="3"/>
        <v>6.2810247283899328</v>
      </c>
      <c r="L5" s="30">
        <v>184</v>
      </c>
      <c r="M5" s="34">
        <f t="shared" si="6"/>
        <v>0.16304347826086957</v>
      </c>
      <c r="N5" s="30">
        <v>110</v>
      </c>
      <c r="O5" s="35">
        <f t="shared" ref="O5:P5" si="13">D5/7</f>
        <v>4.2857142857142856</v>
      </c>
      <c r="P5" s="35">
        <f t="shared" si="13"/>
        <v>0.14285714285714285</v>
      </c>
      <c r="Q5" s="30">
        <f t="shared" si="8"/>
        <v>24</v>
      </c>
      <c r="R5" s="30"/>
      <c r="S5" s="36">
        <v>1.4182021217197001</v>
      </c>
      <c r="T5" s="29">
        <v>2140</v>
      </c>
      <c r="U5" s="37">
        <v>368</v>
      </c>
      <c r="V5" s="38" t="s">
        <v>441</v>
      </c>
      <c r="W5" s="29">
        <v>0</v>
      </c>
      <c r="X5" s="39">
        <f t="shared" si="9"/>
        <v>0</v>
      </c>
      <c r="Y5" s="40">
        <f t="shared" si="10"/>
        <v>7.3666666666666671</v>
      </c>
      <c r="Z5" s="29">
        <v>3</v>
      </c>
      <c r="AA5" s="29" t="s">
        <v>58</v>
      </c>
      <c r="AB5" s="41">
        <f t="shared" si="11"/>
        <v>-0.69</v>
      </c>
      <c r="AC5" s="42">
        <v>0.19864335921205098</v>
      </c>
      <c r="AD5" s="40">
        <f t="shared" si="12"/>
        <v>-8.2238350713789092</v>
      </c>
      <c r="AE5" s="40">
        <v>-7.32</v>
      </c>
      <c r="AF5" s="40">
        <v>-7.132597435897436</v>
      </c>
      <c r="AG5" s="40">
        <v>0</v>
      </c>
    </row>
    <row r="6" spans="1:33" ht="15.75" customHeight="1" x14ac:dyDescent="0.2">
      <c r="A6" s="29" t="s">
        <v>34</v>
      </c>
      <c r="B6" s="29" t="s">
        <v>442</v>
      </c>
      <c r="C6" s="16">
        <f t="shared" si="4"/>
        <v>29.446400000000004</v>
      </c>
      <c r="D6" s="30">
        <v>25</v>
      </c>
      <c r="E6" s="30">
        <v>1</v>
      </c>
      <c r="F6" s="31">
        <v>736.16000000000008</v>
      </c>
      <c r="G6" s="31">
        <v>-0.08</v>
      </c>
      <c r="H6" s="32">
        <f t="shared" si="1"/>
        <v>1.0867202782003911E-4</v>
      </c>
      <c r="I6" s="32">
        <f t="shared" si="2"/>
        <v>0.34978238446728849</v>
      </c>
      <c r="J6" s="33">
        <f t="shared" si="5"/>
        <v>257.49580014943911</v>
      </c>
      <c r="K6" s="33">
        <f t="shared" si="3"/>
        <v>10.299832005977564</v>
      </c>
      <c r="L6" s="30">
        <v>175</v>
      </c>
      <c r="M6" s="34">
        <f t="shared" si="6"/>
        <v>0.14285714285714285</v>
      </c>
      <c r="N6" s="30">
        <v>78</v>
      </c>
      <c r="O6" s="35">
        <f t="shared" ref="O6:P6" si="14">D6/7</f>
        <v>3.5714285714285716</v>
      </c>
      <c r="P6" s="35">
        <f t="shared" si="14"/>
        <v>0.14285714285714285</v>
      </c>
      <c r="Q6" s="30">
        <f t="shared" si="8"/>
        <v>21</v>
      </c>
      <c r="R6" s="30"/>
      <c r="S6" s="36">
        <v>1.5291201982651701</v>
      </c>
      <c r="T6" s="29">
        <v>2140</v>
      </c>
      <c r="U6" s="37">
        <v>368</v>
      </c>
      <c r="V6" s="38" t="s">
        <v>443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58</v>
      </c>
      <c r="AB6" s="41">
        <f t="shared" si="11"/>
        <v>-0.69</v>
      </c>
      <c r="AC6" s="42">
        <v>0.19841344791666665</v>
      </c>
      <c r="AD6" s="40">
        <f t="shared" si="12"/>
        <v>-6.8452639531249986</v>
      </c>
      <c r="AE6" s="40">
        <v>-7.32</v>
      </c>
      <c r="AF6" s="40">
        <v>-7.132597435897436</v>
      </c>
      <c r="AG6" s="40">
        <v>0</v>
      </c>
    </row>
    <row r="7" spans="1:33" ht="15.75" customHeight="1" x14ac:dyDescent="0.2">
      <c r="A7" s="29" t="s">
        <v>35</v>
      </c>
      <c r="B7" s="29" t="s">
        <v>444</v>
      </c>
      <c r="C7" s="16">
        <f t="shared" si="4"/>
        <v>34.524166666666673</v>
      </c>
      <c r="D7" s="30">
        <v>24</v>
      </c>
      <c r="E7" s="30">
        <v>1</v>
      </c>
      <c r="F7" s="31">
        <v>828.58000000000015</v>
      </c>
      <c r="G7" s="31">
        <v>0</v>
      </c>
      <c r="H7" s="32">
        <f t="shared" si="1"/>
        <v>0</v>
      </c>
      <c r="I7" s="32">
        <f t="shared" si="2"/>
        <v>0.42344638796912992</v>
      </c>
      <c r="J7" s="33">
        <f t="shared" si="5"/>
        <v>350.85920814346173</v>
      </c>
      <c r="K7" s="33">
        <f t="shared" si="3"/>
        <v>14.619133672644239</v>
      </c>
      <c r="L7" s="30">
        <v>176</v>
      </c>
      <c r="M7" s="34">
        <f t="shared" si="6"/>
        <v>0.13636363636363635</v>
      </c>
      <c r="N7" s="30">
        <v>57</v>
      </c>
      <c r="O7" s="35">
        <f t="shared" ref="O7:P7" si="15">D7/7</f>
        <v>3.4285714285714284</v>
      </c>
      <c r="P7" s="35">
        <f t="shared" si="15"/>
        <v>0.14285714285714285</v>
      </c>
      <c r="Q7" s="30">
        <f t="shared" si="8"/>
        <v>15</v>
      </c>
      <c r="R7" s="30"/>
      <c r="S7" s="36">
        <v>1.5716395864106301</v>
      </c>
      <c r="T7" s="29">
        <v>2140</v>
      </c>
      <c r="U7" s="37">
        <v>368</v>
      </c>
      <c r="V7" s="38" t="s">
        <v>445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58</v>
      </c>
      <c r="AB7" s="41">
        <f t="shared" si="11"/>
        <v>-0.69</v>
      </c>
      <c r="AC7" s="42">
        <v>0.19841344791666665</v>
      </c>
      <c r="AD7" s="40">
        <f t="shared" si="12"/>
        <v>-6.5714533949999989</v>
      </c>
      <c r="AE7" s="40">
        <v>-7.32</v>
      </c>
      <c r="AF7" s="40">
        <v>-7.132597435897436</v>
      </c>
      <c r="AG7" s="40">
        <v>0</v>
      </c>
    </row>
    <row r="8" spans="1:33" ht="15.75" customHeight="1" x14ac:dyDescent="0.2">
      <c r="A8" s="29" t="s">
        <v>36</v>
      </c>
      <c r="B8" s="29" t="s">
        <v>446</v>
      </c>
      <c r="C8" s="16">
        <f t="shared" si="4"/>
        <v>39.031818181818181</v>
      </c>
      <c r="D8" s="30">
        <v>11</v>
      </c>
      <c r="E8" s="30">
        <v>1</v>
      </c>
      <c r="F8" s="31">
        <v>429.34999999999997</v>
      </c>
      <c r="G8" s="31">
        <v>0</v>
      </c>
      <c r="H8" s="32">
        <f t="shared" si="1"/>
        <v>0</v>
      </c>
      <c r="I8" s="32">
        <f t="shared" si="2"/>
        <v>0.47277415595813427</v>
      </c>
      <c r="J8" s="33">
        <f t="shared" si="5"/>
        <v>202.98558386062493</v>
      </c>
      <c r="K8" s="33">
        <f t="shared" si="3"/>
        <v>18.453234896420447</v>
      </c>
      <c r="L8" s="30">
        <v>120</v>
      </c>
      <c r="M8" s="34">
        <f t="shared" si="6"/>
        <v>9.166666666666666E-2</v>
      </c>
      <c r="N8" s="30">
        <v>38</v>
      </c>
      <c r="O8" s="35">
        <f t="shared" ref="O8:P8" si="16">D8/7</f>
        <v>1.5714285714285714</v>
      </c>
      <c r="P8" s="35">
        <f t="shared" si="16"/>
        <v>0.14285714285714285</v>
      </c>
      <c r="Q8" s="30">
        <f t="shared" si="8"/>
        <v>22</v>
      </c>
      <c r="R8" s="30"/>
      <c r="S8" s="36">
        <v>1.7005789909015701</v>
      </c>
      <c r="T8" s="29">
        <v>2140</v>
      </c>
      <c r="U8" s="37">
        <v>368</v>
      </c>
      <c r="V8" s="38" t="s">
        <v>447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58</v>
      </c>
      <c r="AB8" s="41">
        <f t="shared" si="11"/>
        <v>-0.69</v>
      </c>
      <c r="AC8" s="42">
        <v>0.19841344791666665</v>
      </c>
      <c r="AD8" s="40">
        <f t="shared" si="12"/>
        <v>-3.0119161393749994</v>
      </c>
      <c r="AE8" s="40">
        <v>-7.32</v>
      </c>
      <c r="AF8" s="40">
        <v>-7.13</v>
      </c>
      <c r="AG8" s="40">
        <v>0</v>
      </c>
    </row>
    <row r="9" spans="1:33" ht="15.75" customHeight="1" x14ac:dyDescent="0.2">
      <c r="A9" s="29" t="s">
        <v>37</v>
      </c>
      <c r="B9" s="29" t="s">
        <v>448</v>
      </c>
      <c r="C9" s="16">
        <f t="shared" si="4"/>
        <v>40.071428571428569</v>
      </c>
      <c r="D9" s="30">
        <v>14</v>
      </c>
      <c r="E9" s="30">
        <v>1</v>
      </c>
      <c r="F9" s="31">
        <v>561</v>
      </c>
      <c r="G9" s="31">
        <v>0</v>
      </c>
      <c r="H9" s="32">
        <f t="shared" si="1"/>
        <v>0</v>
      </c>
      <c r="I9" s="32">
        <f t="shared" si="2"/>
        <v>0.47368166896401803</v>
      </c>
      <c r="J9" s="33">
        <f t="shared" si="5"/>
        <v>265.73541628881412</v>
      </c>
      <c r="K9" s="33">
        <f t="shared" si="3"/>
        <v>18.981101163486723</v>
      </c>
      <c r="L9" s="30">
        <v>154</v>
      </c>
      <c r="M9" s="34">
        <f t="shared" si="6"/>
        <v>9.0909090909090912E-2</v>
      </c>
      <c r="N9" s="30">
        <v>31</v>
      </c>
      <c r="O9" s="35">
        <f t="shared" ref="O9:P9" si="17">D9/7</f>
        <v>2</v>
      </c>
      <c r="P9" s="35">
        <f t="shared" si="17"/>
        <v>0.14285714285714285</v>
      </c>
      <c r="Q9" s="30">
        <f t="shared" si="8"/>
        <v>14</v>
      </c>
      <c r="R9" s="30"/>
      <c r="S9" s="36">
        <v>1.8345864661654101</v>
      </c>
      <c r="T9" s="29">
        <v>2140</v>
      </c>
      <c r="U9" s="37">
        <v>368</v>
      </c>
      <c r="V9" s="38" t="s">
        <v>449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58</v>
      </c>
      <c r="AB9" s="41">
        <f t="shared" si="11"/>
        <v>-0.69</v>
      </c>
      <c r="AC9" s="42">
        <v>0.19841344791666665</v>
      </c>
      <c r="AD9" s="40">
        <f t="shared" si="12"/>
        <v>-3.8333478137499992</v>
      </c>
      <c r="AE9" s="40">
        <v>-7.32</v>
      </c>
      <c r="AF9" s="40">
        <v>-7.4858025641025598</v>
      </c>
      <c r="AG9" s="40">
        <v>0</v>
      </c>
    </row>
    <row r="10" spans="1:33" ht="15.75" customHeight="1" x14ac:dyDescent="0.2">
      <c r="A10" s="29" t="s">
        <v>38</v>
      </c>
      <c r="B10" s="29" t="s">
        <v>450</v>
      </c>
      <c r="C10" s="16">
        <f t="shared" si="4"/>
        <v>42.753333333333337</v>
      </c>
      <c r="D10" s="30">
        <v>9</v>
      </c>
      <c r="E10" s="30">
        <v>0</v>
      </c>
      <c r="F10" s="31">
        <v>384.78000000000003</v>
      </c>
      <c r="G10" s="31">
        <v>0</v>
      </c>
      <c r="H10" s="32">
        <f t="shared" si="1"/>
        <v>0</v>
      </c>
      <c r="I10" s="32">
        <f t="shared" si="2"/>
        <v>0.49728801367002429</v>
      </c>
      <c r="J10" s="33">
        <f t="shared" si="5"/>
        <v>191.34648189995195</v>
      </c>
      <c r="K10" s="33">
        <f t="shared" si="3"/>
        <v>21.260720211105774</v>
      </c>
      <c r="L10" s="30">
        <v>148</v>
      </c>
      <c r="M10" s="34">
        <f t="shared" si="6"/>
        <v>6.0810810810810814E-2</v>
      </c>
      <c r="N10" s="30">
        <v>22</v>
      </c>
      <c r="O10" s="35">
        <f t="shared" ref="O10:P10" si="18">D10/7</f>
        <v>1.2857142857142858</v>
      </c>
      <c r="P10" s="35">
        <f t="shared" si="18"/>
        <v>0</v>
      </c>
      <c r="Q10" s="30">
        <f t="shared" si="8"/>
        <v>17</v>
      </c>
      <c r="R10" s="30"/>
      <c r="S10" s="36">
        <v>2.0063492063492001</v>
      </c>
      <c r="T10" s="29">
        <v>2300</v>
      </c>
      <c r="U10" s="37">
        <v>160</v>
      </c>
      <c r="V10" s="38" t="s">
        <v>451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58</v>
      </c>
      <c r="AB10" s="41">
        <f t="shared" si="11"/>
        <v>-0.69</v>
      </c>
      <c r="AC10" s="42">
        <v>0.19841344791666665</v>
      </c>
      <c r="AD10" s="40">
        <f t="shared" si="12"/>
        <v>-2.4642950231249996</v>
      </c>
      <c r="AE10" s="40">
        <v>-7.32</v>
      </c>
      <c r="AF10" s="40">
        <v>-7.4858025641025598</v>
      </c>
      <c r="AG10" s="40">
        <v>0</v>
      </c>
    </row>
    <row r="11" spans="1:33" ht="15.75" customHeight="1" x14ac:dyDescent="0.2">
      <c r="A11" s="29" t="s">
        <v>39</v>
      </c>
      <c r="B11" s="29" t="s">
        <v>452</v>
      </c>
      <c r="C11" s="16">
        <f t="shared" si="4"/>
        <v>47.491999999999997</v>
      </c>
      <c r="D11" s="30">
        <v>5</v>
      </c>
      <c r="E11" s="30">
        <v>0</v>
      </c>
      <c r="F11" s="31">
        <v>237.45999999999998</v>
      </c>
      <c r="G11" s="31">
        <v>0</v>
      </c>
      <c r="H11" s="32">
        <f t="shared" si="1"/>
        <v>0</v>
      </c>
      <c r="I11" s="32">
        <f t="shared" si="2"/>
        <v>0.53248098369772678</v>
      </c>
      <c r="J11" s="33">
        <f t="shared" si="5"/>
        <v>126.4429343888622</v>
      </c>
      <c r="K11" s="33">
        <f t="shared" si="3"/>
        <v>25.288586877772438</v>
      </c>
      <c r="L11" s="30">
        <v>122</v>
      </c>
      <c r="M11" s="34">
        <f t="shared" si="6"/>
        <v>4.0983606557377046E-2</v>
      </c>
      <c r="N11" s="30">
        <v>17</v>
      </c>
      <c r="O11" s="35">
        <f t="shared" ref="O11:P11" si="19">D11/7</f>
        <v>0.7142857142857143</v>
      </c>
      <c r="P11" s="35">
        <f t="shared" si="19"/>
        <v>0</v>
      </c>
      <c r="Q11" s="30">
        <f t="shared" si="8"/>
        <v>23</v>
      </c>
      <c r="R11" s="30"/>
      <c r="S11" s="36">
        <v>2.2579821200510799</v>
      </c>
      <c r="T11" s="29">
        <v>3881</v>
      </c>
      <c r="U11" s="37">
        <v>368</v>
      </c>
      <c r="V11" s="38" t="s">
        <v>453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58</v>
      </c>
      <c r="AB11" s="41">
        <f t="shared" si="11"/>
        <v>-0.69</v>
      </c>
      <c r="AC11" s="42">
        <v>0.19841344791666665</v>
      </c>
      <c r="AD11" s="40">
        <f t="shared" si="12"/>
        <v>-1.3690527906249996</v>
      </c>
      <c r="AE11" s="40">
        <v>-7.32</v>
      </c>
      <c r="AF11" s="40">
        <v>-7.4858025641025598</v>
      </c>
      <c r="AG11" s="40">
        <v>0</v>
      </c>
    </row>
    <row r="12" spans="1:33" ht="15.75" customHeight="1" x14ac:dyDescent="0.2">
      <c r="A12" s="29" t="s">
        <v>40</v>
      </c>
      <c r="B12" s="29" t="s">
        <v>454</v>
      </c>
      <c r="C12" s="16">
        <f t="shared" si="4"/>
        <v>49.248000000000005</v>
      </c>
      <c r="D12" s="30">
        <v>5</v>
      </c>
      <c r="E12" s="30">
        <v>0</v>
      </c>
      <c r="F12" s="31">
        <v>246.24</v>
      </c>
      <c r="G12" s="31">
        <v>0</v>
      </c>
      <c r="H12" s="32">
        <f t="shared" si="1"/>
        <v>0</v>
      </c>
      <c r="I12" s="32">
        <f t="shared" si="2"/>
        <v>0.54203231381158523</v>
      </c>
      <c r="J12" s="33">
        <f t="shared" si="5"/>
        <v>133.47003695296476</v>
      </c>
      <c r="K12" s="33">
        <f t="shared" si="3"/>
        <v>26.694007390592951</v>
      </c>
      <c r="L12" s="30">
        <v>113</v>
      </c>
      <c r="M12" s="34">
        <f t="shared" si="6"/>
        <v>4.4247787610619468E-2</v>
      </c>
      <c r="N12" s="30">
        <v>11</v>
      </c>
      <c r="O12" s="35">
        <f t="shared" ref="O12:P12" si="20">D12/7</f>
        <v>0.7142857142857143</v>
      </c>
      <c r="P12" s="35">
        <f t="shared" si="20"/>
        <v>0</v>
      </c>
      <c r="Q12" s="30">
        <f t="shared" si="8"/>
        <v>15</v>
      </c>
      <c r="R12" s="30"/>
      <c r="S12" s="36">
        <v>2.3671071953010201</v>
      </c>
      <c r="T12" s="29">
        <v>2109</v>
      </c>
      <c r="U12" s="37">
        <v>368</v>
      </c>
      <c r="V12" s="38" t="s">
        <v>455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58</v>
      </c>
      <c r="AB12" s="41">
        <f t="shared" si="11"/>
        <v>-0.69</v>
      </c>
      <c r="AC12" s="42">
        <v>0.19841344791666665</v>
      </c>
      <c r="AD12" s="40">
        <f t="shared" si="12"/>
        <v>-1.3690527906249996</v>
      </c>
      <c r="AE12" s="40">
        <v>-7.32</v>
      </c>
      <c r="AF12" s="40">
        <v>-7.5729820512820503</v>
      </c>
      <c r="AG12" s="40">
        <v>0</v>
      </c>
    </row>
    <row r="13" spans="1:33" ht="15.75" customHeight="1" x14ac:dyDescent="0.2">
      <c r="A13" s="29" t="s">
        <v>41</v>
      </c>
      <c r="B13" s="29" t="s">
        <v>456</v>
      </c>
      <c r="C13" s="16">
        <f t="shared" si="4"/>
        <v>51.03</v>
      </c>
      <c r="D13" s="30">
        <v>3</v>
      </c>
      <c r="E13" s="30">
        <v>1</v>
      </c>
      <c r="F13" s="33">
        <v>153.09</v>
      </c>
      <c r="G13" s="31">
        <v>0</v>
      </c>
      <c r="H13" s="32">
        <f t="shared" si="1"/>
        <v>0</v>
      </c>
      <c r="I13" s="32">
        <f t="shared" si="2"/>
        <v>0.54889260125171457</v>
      </c>
      <c r="J13" s="33">
        <f t="shared" si="5"/>
        <v>84.029968325624978</v>
      </c>
      <c r="K13" s="33">
        <f t="shared" si="3"/>
        <v>28.009989441874993</v>
      </c>
      <c r="L13" s="30">
        <v>104</v>
      </c>
      <c r="M13" s="34">
        <f t="shared" si="6"/>
        <v>2.8846153846153848E-2</v>
      </c>
      <c r="N13" s="30">
        <v>6</v>
      </c>
      <c r="O13" s="35">
        <f t="shared" ref="O13:P13" si="21">D13/7</f>
        <v>0.42857142857142855</v>
      </c>
      <c r="P13" s="35">
        <f t="shared" si="21"/>
        <v>0.14285714285714285</v>
      </c>
      <c r="Q13" s="30">
        <f t="shared" si="8"/>
        <v>10</v>
      </c>
      <c r="R13" s="30"/>
      <c r="S13" s="36">
        <v>2.3555555555555499</v>
      </c>
      <c r="T13" s="29">
        <v>2109</v>
      </c>
      <c r="U13" s="37">
        <v>368</v>
      </c>
      <c r="V13" s="38" t="s">
        <v>457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58</v>
      </c>
      <c r="AB13" s="41">
        <f t="shared" si="11"/>
        <v>-0.69</v>
      </c>
      <c r="AC13" s="42">
        <v>0.19841344791666665</v>
      </c>
      <c r="AD13" s="40">
        <f t="shared" si="12"/>
        <v>-0.82143167437499987</v>
      </c>
      <c r="AE13" s="40">
        <v>-7.32</v>
      </c>
      <c r="AF13" s="40">
        <v>-7.7717000000000001</v>
      </c>
      <c r="AG13" s="40">
        <v>0</v>
      </c>
    </row>
    <row r="14" spans="1:33" ht="15.75" customHeight="1" x14ac:dyDescent="0.2">
      <c r="A14" s="29" t="s">
        <v>42</v>
      </c>
      <c r="B14" s="29" t="s">
        <v>130</v>
      </c>
      <c r="C14" s="16">
        <f t="shared" si="4"/>
        <v>52.306666666666665</v>
      </c>
      <c r="D14" s="30">
        <v>6</v>
      </c>
      <c r="E14" s="30">
        <v>0</v>
      </c>
      <c r="F14" s="33">
        <v>313.83999999999997</v>
      </c>
      <c r="G14" s="31">
        <v>0</v>
      </c>
      <c r="H14" s="32">
        <f t="shared" si="1"/>
        <v>0</v>
      </c>
      <c r="I14" s="32">
        <f t="shared" si="2"/>
        <v>0.55624183230706714</v>
      </c>
      <c r="J14" s="33">
        <f t="shared" si="5"/>
        <v>174.57093665124992</v>
      </c>
      <c r="K14" s="33">
        <f t="shared" si="3"/>
        <v>29.095156108541655</v>
      </c>
      <c r="L14" s="30">
        <v>148</v>
      </c>
      <c r="M14" s="34">
        <f t="shared" si="6"/>
        <v>4.0540540540540543E-2</v>
      </c>
      <c r="N14" s="30">
        <v>2</v>
      </c>
      <c r="O14" s="35">
        <f t="shared" ref="O14:P14" si="22">D14/7</f>
        <v>0.8571428571428571</v>
      </c>
      <c r="P14" s="35">
        <f t="shared" si="22"/>
        <v>0</v>
      </c>
      <c r="Q14" s="30">
        <f t="shared" si="8"/>
        <v>2</v>
      </c>
      <c r="R14" s="30"/>
      <c r="S14" s="36">
        <v>2.65811965811965</v>
      </c>
      <c r="T14" s="29">
        <v>2109</v>
      </c>
      <c r="U14" s="37">
        <v>368</v>
      </c>
      <c r="V14" s="38" t="s">
        <v>457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58</v>
      </c>
      <c r="AB14" s="41">
        <f t="shared" si="11"/>
        <v>-0.69</v>
      </c>
      <c r="AC14" s="42">
        <v>0.19841344791666665</v>
      </c>
      <c r="AD14" s="40">
        <f t="shared" si="12"/>
        <v>-1.6428633487499997</v>
      </c>
      <c r="AE14" s="40">
        <v>-7.32</v>
      </c>
      <c r="AF14" s="40">
        <v>-7.7717000000000001</v>
      </c>
      <c r="AG14" s="40">
        <v>0</v>
      </c>
    </row>
    <row r="15" spans="1:33" ht="15.75" customHeight="1" x14ac:dyDescent="0.2">
      <c r="A15" s="29" t="s">
        <v>43</v>
      </c>
      <c r="B15" s="29" t="s">
        <v>179</v>
      </c>
      <c r="C15" s="16">
        <f t="shared" si="4"/>
        <v>52.715000000000003</v>
      </c>
      <c r="D15" s="30">
        <v>2</v>
      </c>
      <c r="E15" s="30">
        <v>0</v>
      </c>
      <c r="F15" s="33">
        <v>105.43</v>
      </c>
      <c r="G15" s="31">
        <v>0</v>
      </c>
      <c r="H15" s="32">
        <f t="shared" si="1"/>
        <v>0</v>
      </c>
      <c r="I15" s="32">
        <f t="shared" si="2"/>
        <v>0.55851729947595552</v>
      </c>
      <c r="J15" s="33">
        <f t="shared" si="5"/>
        <v>58.884478883749992</v>
      </c>
      <c r="K15" s="33">
        <f t="shared" si="3"/>
        <v>29.442239441874996</v>
      </c>
      <c r="L15" s="30">
        <v>134</v>
      </c>
      <c r="M15" s="34">
        <f t="shared" si="6"/>
        <v>1.4925373134328358E-2</v>
      </c>
      <c r="N15" s="30">
        <v>0</v>
      </c>
      <c r="O15" s="35">
        <f t="shared" ref="O15:P15" si="23">D15/7</f>
        <v>0.2857142857142857</v>
      </c>
      <c r="P15" s="35">
        <f t="shared" si="23"/>
        <v>0</v>
      </c>
      <c r="Q15" s="30">
        <f t="shared" si="8"/>
        <v>0</v>
      </c>
      <c r="R15" s="30"/>
      <c r="S15" s="36" t="e">
        <v>#N/A</v>
      </c>
      <c r="T15" s="29">
        <v>2109</v>
      </c>
      <c r="U15" s="37">
        <v>368</v>
      </c>
      <c r="V15" s="38" t="s">
        <v>457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58</v>
      </c>
      <c r="AB15" s="41">
        <f t="shared" si="11"/>
        <v>-0.69</v>
      </c>
      <c r="AC15" s="42">
        <v>0.19841344791666665</v>
      </c>
      <c r="AD15" s="40">
        <f t="shared" si="12"/>
        <v>-0.54762111624999987</v>
      </c>
      <c r="AE15" s="40">
        <v>-7.32</v>
      </c>
      <c r="AF15" s="40">
        <v>-7.7717000000000001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2109</v>
      </c>
      <c r="U16" s="37">
        <v>368</v>
      </c>
      <c r="V16" s="38" t="s">
        <v>458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-9.1364599999999996</v>
      </c>
      <c r="AG16" s="40">
        <v>0</v>
      </c>
    </row>
    <row r="17" spans="1:33" ht="15.75" customHeight="1" x14ac:dyDescent="0.2">
      <c r="A17" s="29" t="s">
        <v>45</v>
      </c>
      <c r="B17" s="29" t="s">
        <v>459</v>
      </c>
      <c r="C17" s="16">
        <f t="shared" si="4"/>
        <v>54.715000000000003</v>
      </c>
      <c r="D17" s="30">
        <v>2</v>
      </c>
      <c r="E17" s="30">
        <v>0</v>
      </c>
      <c r="F17" s="33">
        <v>109.43</v>
      </c>
      <c r="G17" s="31">
        <v>0</v>
      </c>
      <c r="H17" s="32">
        <f t="shared" si="1"/>
        <v>0</v>
      </c>
      <c r="I17" s="32">
        <f t="shared" si="2"/>
        <v>0.54422881187745586</v>
      </c>
      <c r="J17" s="33">
        <f t="shared" si="5"/>
        <v>59.554958883750004</v>
      </c>
      <c r="K17" s="33">
        <f t="shared" si="3"/>
        <v>29.777479441875002</v>
      </c>
      <c r="L17" s="30">
        <v>187</v>
      </c>
      <c r="M17" s="34">
        <f t="shared" si="6"/>
        <v>1.06951871657754E-2</v>
      </c>
      <c r="N17" s="30">
        <v>63</v>
      </c>
      <c r="O17" s="35">
        <f t="shared" ref="O17:P17" si="25">D17/7</f>
        <v>0.2857142857142857</v>
      </c>
      <c r="P17" s="35">
        <f t="shared" si="25"/>
        <v>0</v>
      </c>
      <c r="Q17" s="30">
        <f t="shared" si="8"/>
        <v>220</v>
      </c>
      <c r="R17" s="30"/>
      <c r="S17" s="36">
        <v>2.2838283828382799</v>
      </c>
      <c r="T17" s="29">
        <v>2109</v>
      </c>
      <c r="U17" s="37">
        <v>368</v>
      </c>
      <c r="V17" s="38" t="s">
        <v>460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58</v>
      </c>
      <c r="AB17" s="41">
        <f t="shared" si="11"/>
        <v>-0.69</v>
      </c>
      <c r="AC17" s="42">
        <v>0.19841344791666665</v>
      </c>
      <c r="AD17" s="40">
        <f t="shared" si="12"/>
        <v>-0.54762111624999987</v>
      </c>
      <c r="AE17" s="40">
        <v>-7.32</v>
      </c>
      <c r="AF17" s="40">
        <v>-9.1364599999999996</v>
      </c>
      <c r="AG17" s="40">
        <v>0</v>
      </c>
    </row>
    <row r="18" spans="1:33" ht="15.75" customHeight="1" x14ac:dyDescent="0.2">
      <c r="A18" s="29" t="s">
        <v>46</v>
      </c>
      <c r="B18" s="29" t="s">
        <v>452</v>
      </c>
      <c r="C18" s="16">
        <f t="shared" si="4"/>
        <v>39.02000000000001</v>
      </c>
      <c r="D18" s="30">
        <v>26</v>
      </c>
      <c r="E18" s="30">
        <v>2</v>
      </c>
      <c r="F18" s="33">
        <v>1014.5200000000003</v>
      </c>
      <c r="G18" s="31">
        <v>0</v>
      </c>
      <c r="H18" s="32">
        <f t="shared" si="1"/>
        <v>0</v>
      </c>
      <c r="I18" s="32">
        <f t="shared" si="2"/>
        <v>0.42123858128844194</v>
      </c>
      <c r="J18" s="33">
        <f t="shared" si="5"/>
        <v>427.35496548875022</v>
      </c>
      <c r="K18" s="33">
        <f t="shared" si="3"/>
        <v>16.436729441875009</v>
      </c>
      <c r="L18" s="30">
        <v>253</v>
      </c>
      <c r="M18" s="34">
        <f t="shared" si="6"/>
        <v>0.10276679841897234</v>
      </c>
      <c r="N18" s="30">
        <v>342</v>
      </c>
      <c r="O18" s="35">
        <f t="shared" ref="O18:P18" si="26">D18/7</f>
        <v>3.7142857142857144</v>
      </c>
      <c r="P18" s="35">
        <f t="shared" si="26"/>
        <v>0.2857142857142857</v>
      </c>
      <c r="Q18" s="30">
        <f t="shared" si="8"/>
        <v>85</v>
      </c>
      <c r="R18" s="30"/>
      <c r="S18" s="36">
        <v>1.04109589041095</v>
      </c>
      <c r="T18" s="29">
        <v>3184</v>
      </c>
      <c r="U18" s="37">
        <v>176</v>
      </c>
      <c r="V18" s="38" t="s">
        <v>461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58</v>
      </c>
      <c r="AB18" s="41">
        <f t="shared" si="11"/>
        <v>-0.69</v>
      </c>
      <c r="AC18" s="42">
        <v>0.19841344791666665</v>
      </c>
      <c r="AD18" s="40">
        <f t="shared" si="12"/>
        <v>-7.1190745112499982</v>
      </c>
      <c r="AE18" s="40">
        <v>-7.32</v>
      </c>
      <c r="AF18" s="40">
        <v>-9.1364599999999996</v>
      </c>
      <c r="AG18" s="40">
        <v>0</v>
      </c>
    </row>
    <row r="19" spans="1:33" ht="15.75" customHeight="1" x14ac:dyDescent="0.2">
      <c r="A19" s="29" t="s">
        <v>47</v>
      </c>
      <c r="B19" s="29" t="s">
        <v>462</v>
      </c>
      <c r="C19" s="16">
        <f t="shared" si="4"/>
        <v>35.594047619047622</v>
      </c>
      <c r="D19" s="30">
        <v>42</v>
      </c>
      <c r="E19" s="30">
        <v>2</v>
      </c>
      <c r="F19" s="33">
        <v>1494.95</v>
      </c>
      <c r="G19" s="31">
        <v>0</v>
      </c>
      <c r="H19" s="32">
        <f t="shared" si="1"/>
        <v>0</v>
      </c>
      <c r="I19" s="32">
        <f t="shared" si="2"/>
        <v>0.37996999000551862</v>
      </c>
      <c r="J19" s="33">
        <f t="shared" si="5"/>
        <v>568.03613655875006</v>
      </c>
      <c r="K19" s="33">
        <f t="shared" si="3"/>
        <v>13.524669918065477</v>
      </c>
      <c r="L19" s="30">
        <v>221</v>
      </c>
      <c r="M19" s="34">
        <f t="shared" si="6"/>
        <v>0.19004524886877827</v>
      </c>
      <c r="N19" s="30">
        <v>294</v>
      </c>
      <c r="O19" s="35">
        <f t="shared" ref="O19:P19" si="27">D19/7</f>
        <v>6</v>
      </c>
      <c r="P19" s="35">
        <f t="shared" si="27"/>
        <v>0.2857142857142857</v>
      </c>
      <c r="Q19" s="30">
        <f t="shared" si="8"/>
        <v>46</v>
      </c>
      <c r="R19" s="30"/>
      <c r="S19" s="36">
        <v>1.25</v>
      </c>
      <c r="T19" s="29">
        <v>2816</v>
      </c>
      <c r="U19" s="37">
        <v>176</v>
      </c>
      <c r="V19" s="38" t="s">
        <v>463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58</v>
      </c>
      <c r="AB19" s="41">
        <f t="shared" si="11"/>
        <v>-0.69</v>
      </c>
      <c r="AC19" s="42">
        <v>0.19841344791666665</v>
      </c>
      <c r="AD19" s="40">
        <f t="shared" si="12"/>
        <v>-11.500043441249998</v>
      </c>
      <c r="AE19" s="40">
        <v>-7.32</v>
      </c>
      <c r="AF19" s="40">
        <v>-9.1364599999999996</v>
      </c>
      <c r="AG19" s="40">
        <v>0</v>
      </c>
    </row>
    <row r="20" spans="1:33" ht="15.75" customHeight="1" x14ac:dyDescent="0.2">
      <c r="A20" s="29" t="s">
        <v>48</v>
      </c>
      <c r="B20" s="29" t="s">
        <v>464</v>
      </c>
      <c r="C20" s="16">
        <f t="shared" si="4"/>
        <v>34.951250000000023</v>
      </c>
      <c r="D20" s="30">
        <v>48</v>
      </c>
      <c r="E20" s="30">
        <v>2</v>
      </c>
      <c r="F20" s="33">
        <v>1677.6600000000012</v>
      </c>
      <c r="G20" s="31">
        <v>-115.97000000000003</v>
      </c>
      <c r="H20" s="32">
        <f t="shared" si="1"/>
        <v>6.9126044609754023E-2</v>
      </c>
      <c r="I20" s="32">
        <f t="shared" si="2"/>
        <v>0.30219950002384316</v>
      </c>
      <c r="J20" s="33">
        <f t="shared" si="5"/>
        <v>506.9880132100011</v>
      </c>
      <c r="K20" s="33">
        <f t="shared" si="3"/>
        <v>10.562250275208356</v>
      </c>
      <c r="L20" s="30">
        <v>253</v>
      </c>
      <c r="M20" s="34">
        <f t="shared" si="6"/>
        <v>0.18972332015810275</v>
      </c>
      <c r="N20" s="30">
        <v>233</v>
      </c>
      <c r="O20" s="35">
        <f t="shared" ref="O20:P20" si="28">D20/7</f>
        <v>6.8571428571428568</v>
      </c>
      <c r="P20" s="35">
        <f t="shared" si="28"/>
        <v>0.2857142857142857</v>
      </c>
      <c r="Q20" s="30">
        <f t="shared" si="8"/>
        <v>32</v>
      </c>
      <c r="R20" s="30"/>
      <c r="S20" s="36">
        <v>1.79459459459459</v>
      </c>
      <c r="T20" s="29">
        <v>2816</v>
      </c>
      <c r="U20" s="37">
        <v>1596</v>
      </c>
      <c r="V20" s="38" t="s">
        <v>465</v>
      </c>
      <c r="W20" s="29">
        <v>10</v>
      </c>
      <c r="X20" s="39">
        <f t="shared" si="9"/>
        <v>0.20833333333333334</v>
      </c>
      <c r="Y20" s="40">
        <f t="shared" si="10"/>
        <v>5.2713636363636374</v>
      </c>
      <c r="Z20" s="29">
        <v>12</v>
      </c>
      <c r="AA20" s="29" t="s">
        <v>58</v>
      </c>
      <c r="AB20" s="41">
        <f t="shared" si="11"/>
        <v>-0.69</v>
      </c>
      <c r="AC20" s="42">
        <v>0.19841344791666665</v>
      </c>
      <c r="AD20" s="40">
        <f t="shared" si="12"/>
        <v>-13.142906789999998</v>
      </c>
      <c r="AE20" s="40">
        <v>-7.32</v>
      </c>
      <c r="AF20" s="40">
        <v>-9.1364599999999996</v>
      </c>
      <c r="AG20" s="40">
        <v>0</v>
      </c>
    </row>
    <row r="21" spans="1:33" ht="15.75" customHeight="1" x14ac:dyDescent="0.2">
      <c r="A21" s="29" t="s">
        <v>49</v>
      </c>
      <c r="B21" s="29" t="s">
        <v>452</v>
      </c>
      <c r="C21" s="16">
        <f t="shared" si="4"/>
        <v>33.117500000000014</v>
      </c>
      <c r="D21" s="30">
        <v>56</v>
      </c>
      <c r="E21" s="30">
        <v>2</v>
      </c>
      <c r="F21" s="33">
        <v>1854.5800000000008</v>
      </c>
      <c r="G21" s="31">
        <v>-2.41</v>
      </c>
      <c r="H21" s="32">
        <f t="shared" si="1"/>
        <v>1.299485597817295E-3</v>
      </c>
      <c r="I21" s="32">
        <f t="shared" si="2"/>
        <v>0.34399078171637559</v>
      </c>
      <c r="J21" s="33">
        <f t="shared" si="5"/>
        <v>637.9584239555561</v>
      </c>
      <c r="K21" s="33">
        <f t="shared" si="3"/>
        <v>11.392114713492074</v>
      </c>
      <c r="L21" s="30">
        <v>165</v>
      </c>
      <c r="M21" s="34">
        <f t="shared" si="6"/>
        <v>0.33939393939393941</v>
      </c>
      <c r="N21" s="30">
        <v>191</v>
      </c>
      <c r="O21" s="35">
        <f t="shared" ref="O21:P21" si="29">D21/7</f>
        <v>8</v>
      </c>
      <c r="P21" s="35">
        <f t="shared" si="29"/>
        <v>0.2857142857142857</v>
      </c>
      <c r="Q21" s="30">
        <f t="shared" si="8"/>
        <v>23</v>
      </c>
      <c r="R21" s="30"/>
      <c r="S21" s="36">
        <v>2.4069767441860401</v>
      </c>
      <c r="T21" s="29">
        <v>4616</v>
      </c>
      <c r="U21" s="37">
        <v>1596</v>
      </c>
      <c r="V21" s="38" t="s">
        <v>466</v>
      </c>
      <c r="W21" s="29">
        <v>0</v>
      </c>
      <c r="X21" s="39">
        <f t="shared" si="9"/>
        <v>0</v>
      </c>
      <c r="Y21" s="40">
        <f t="shared" si="10"/>
        <v>1.2050000000000001</v>
      </c>
      <c r="Z21" s="29">
        <v>2</v>
      </c>
      <c r="AA21" s="29" t="s">
        <v>58</v>
      </c>
      <c r="AB21" s="41">
        <f t="shared" si="11"/>
        <v>-0.69</v>
      </c>
      <c r="AC21" s="42">
        <v>0.18714824074074074</v>
      </c>
      <c r="AD21" s="40">
        <f t="shared" si="12"/>
        <v>-14.462816044444445</v>
      </c>
      <c r="AE21" s="40">
        <v>-7.32</v>
      </c>
      <c r="AF21" s="40">
        <v>-9.1364599999999996</v>
      </c>
      <c r="AG21" s="40">
        <v>0</v>
      </c>
    </row>
    <row r="22" spans="1:33" ht="15.75" customHeight="1" x14ac:dyDescent="0.2">
      <c r="A22" s="29" t="s">
        <v>50</v>
      </c>
      <c r="B22" s="29" t="s">
        <v>467</v>
      </c>
      <c r="C22" s="16">
        <f t="shared" si="4"/>
        <v>30.488510638297889</v>
      </c>
      <c r="D22" s="30">
        <v>47</v>
      </c>
      <c r="E22" s="30">
        <v>1</v>
      </c>
      <c r="F22" s="31">
        <v>1432.9600000000007</v>
      </c>
      <c r="G22" s="31">
        <v>0</v>
      </c>
      <c r="H22" s="32">
        <f t="shared" si="1"/>
        <v>0</v>
      </c>
      <c r="I22" s="32">
        <f t="shared" si="2"/>
        <v>0.30176972497875432</v>
      </c>
      <c r="J22" s="33">
        <f t="shared" si="5"/>
        <v>432.42394510555602</v>
      </c>
      <c r="K22" s="33">
        <f t="shared" si="3"/>
        <v>9.2005094703309798</v>
      </c>
      <c r="L22" s="30">
        <v>306</v>
      </c>
      <c r="M22" s="34">
        <f t="shared" si="6"/>
        <v>0.15359477124183007</v>
      </c>
      <c r="N22" s="30">
        <v>1918</v>
      </c>
      <c r="O22" s="35">
        <f t="shared" ref="O22:P22" si="30">D22/7</f>
        <v>6.7142857142857144</v>
      </c>
      <c r="P22" s="35">
        <f t="shared" si="30"/>
        <v>0.14285714285714285</v>
      </c>
      <c r="Q22" s="30">
        <f t="shared" si="8"/>
        <v>279</v>
      </c>
      <c r="R22" s="30"/>
      <c r="S22" s="36">
        <v>0.42483940042826501</v>
      </c>
      <c r="T22" s="29">
        <v>2844</v>
      </c>
      <c r="U22" s="37">
        <v>300</v>
      </c>
      <c r="V22" s="38" t="s">
        <v>468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58</v>
      </c>
      <c r="AB22" s="41">
        <f t="shared" si="11"/>
        <v>-0.69</v>
      </c>
      <c r="AC22" s="42">
        <v>0.18714824074074074</v>
      </c>
      <c r="AD22" s="40">
        <f t="shared" si="12"/>
        <v>-12.138434894444444</v>
      </c>
      <c r="AE22" s="40">
        <v>-7.32</v>
      </c>
      <c r="AF22" s="40">
        <v>-9.1364599999999996</v>
      </c>
      <c r="AG22" s="40">
        <v>0</v>
      </c>
    </row>
    <row r="23" spans="1:33" ht="15.75" customHeight="1" x14ac:dyDescent="0.2">
      <c r="A23" s="29" t="s">
        <v>51</v>
      </c>
      <c r="B23" s="29" t="s">
        <v>469</v>
      </c>
      <c r="C23" s="16">
        <f t="shared" si="4"/>
        <v>27.174242424242447</v>
      </c>
      <c r="D23" s="30">
        <v>66</v>
      </c>
      <c r="E23" s="30">
        <v>0</v>
      </c>
      <c r="F23" s="33">
        <v>1793.5000000000016</v>
      </c>
      <c r="G23" s="31">
        <v>-45.810000000000016</v>
      </c>
      <c r="H23" s="32">
        <f t="shared" si="1"/>
        <v>2.5542235851686634E-2</v>
      </c>
      <c r="I23" s="32">
        <f t="shared" si="2"/>
        <v>0.20936335558033697</v>
      </c>
      <c r="J23" s="33">
        <f t="shared" si="5"/>
        <v>375.49317823333467</v>
      </c>
      <c r="K23" s="33">
        <f t="shared" si="3"/>
        <v>5.6892905792929493</v>
      </c>
      <c r="L23" s="30">
        <v>371</v>
      </c>
      <c r="M23" s="34">
        <f t="shared" si="6"/>
        <v>0.17789757412398921</v>
      </c>
      <c r="N23" s="30">
        <v>1846</v>
      </c>
      <c r="O23" s="35">
        <f t="shared" ref="O23:P23" si="31">D23/7</f>
        <v>9.4285714285714288</v>
      </c>
      <c r="P23" s="35">
        <f t="shared" si="31"/>
        <v>0</v>
      </c>
      <c r="Q23" s="30">
        <f t="shared" si="8"/>
        <v>195</v>
      </c>
      <c r="R23" s="30"/>
      <c r="S23" s="36">
        <v>0.49557522123893799</v>
      </c>
      <c r="T23" s="29">
        <v>2844</v>
      </c>
      <c r="U23" s="37">
        <v>300</v>
      </c>
      <c r="V23" s="38" t="s">
        <v>470</v>
      </c>
      <c r="W23" s="29">
        <v>4</v>
      </c>
      <c r="X23" s="39">
        <f t="shared" si="9"/>
        <v>6.0606060606060608E-2</v>
      </c>
      <c r="Y23" s="40">
        <f t="shared" si="10"/>
        <v>2.863125000000001</v>
      </c>
      <c r="Z23" s="29">
        <v>12</v>
      </c>
      <c r="AA23" s="29" t="s">
        <v>58</v>
      </c>
      <c r="AB23" s="41">
        <f t="shared" si="11"/>
        <v>-0.69</v>
      </c>
      <c r="AC23" s="42">
        <v>0.18714824074074074</v>
      </c>
      <c r="AD23" s="40">
        <f t="shared" si="12"/>
        <v>-17.045461766666666</v>
      </c>
      <c r="AE23" s="40">
        <v>-7.32</v>
      </c>
      <c r="AF23" s="40">
        <v>-9.1364599999999996</v>
      </c>
      <c r="AG23" s="40">
        <v>0</v>
      </c>
    </row>
    <row r="24" spans="1:33" ht="15.75" customHeight="1" x14ac:dyDescent="0.2">
      <c r="A24" s="29" t="s">
        <v>52</v>
      </c>
      <c r="B24" s="29" t="s">
        <v>471</v>
      </c>
      <c r="C24" s="16">
        <f t="shared" si="4"/>
        <v>24.799622641509398</v>
      </c>
      <c r="D24" s="30">
        <v>106</v>
      </c>
      <c r="E24" s="30">
        <v>5</v>
      </c>
      <c r="F24" s="33">
        <v>2628.7599999999961</v>
      </c>
      <c r="G24" s="33">
        <v>-77.29000000000002</v>
      </c>
      <c r="H24" s="32">
        <f t="shared" si="1"/>
        <v>2.9401695095786658E-2</v>
      </c>
      <c r="I24" s="32">
        <f t="shared" si="2"/>
        <v>0.14660721988482853</v>
      </c>
      <c r="J24" s="33">
        <f t="shared" si="5"/>
        <v>385.39519534444128</v>
      </c>
      <c r="K24" s="33">
        <f t="shared" si="3"/>
        <v>3.6358037296645405</v>
      </c>
      <c r="L24" s="30">
        <v>435</v>
      </c>
      <c r="M24" s="34">
        <f t="shared" si="6"/>
        <v>0.24367816091954023</v>
      </c>
      <c r="N24" s="30">
        <v>1544</v>
      </c>
      <c r="O24" s="35">
        <f t="shared" ref="O24:P24" si="32">D24/7</f>
        <v>15.142857142857142</v>
      </c>
      <c r="P24" s="35">
        <f t="shared" si="32"/>
        <v>0.7142857142857143</v>
      </c>
      <c r="Q24" s="30">
        <f t="shared" si="8"/>
        <v>97</v>
      </c>
      <c r="R24" s="30"/>
      <c r="S24" s="36">
        <v>0.65696855936180198</v>
      </c>
      <c r="T24" s="29">
        <v>2844</v>
      </c>
      <c r="U24" s="37">
        <v>300</v>
      </c>
      <c r="V24" s="38" t="s">
        <v>470</v>
      </c>
      <c r="W24" s="29">
        <v>3</v>
      </c>
      <c r="X24" s="39">
        <f t="shared" si="9"/>
        <v>2.8301886792452831E-2</v>
      </c>
      <c r="Y24" s="40">
        <f t="shared" si="10"/>
        <v>4.2938888888888904</v>
      </c>
      <c r="Z24" s="29">
        <v>15</v>
      </c>
      <c r="AA24" s="29" t="s">
        <v>58</v>
      </c>
      <c r="AB24" s="41">
        <f t="shared" si="11"/>
        <v>-0.69</v>
      </c>
      <c r="AC24" s="42">
        <v>0.18714824074074074</v>
      </c>
      <c r="AD24" s="40">
        <f t="shared" si="12"/>
        <v>-27.376044655555553</v>
      </c>
      <c r="AE24" s="40">
        <v>-7.32</v>
      </c>
      <c r="AF24" s="40">
        <v>-9.1364599999999996</v>
      </c>
      <c r="AG24" s="40">
        <v>0</v>
      </c>
    </row>
    <row r="25" spans="1:33" ht="15.75" customHeight="1" x14ac:dyDescent="0.2">
      <c r="A25" s="29" t="s">
        <v>53</v>
      </c>
      <c r="B25" s="15" t="s">
        <v>472</v>
      </c>
      <c r="C25" s="16">
        <f t="shared" si="4"/>
        <v>28.46227642276423</v>
      </c>
      <c r="D25" s="30">
        <v>123</v>
      </c>
      <c r="E25" s="30">
        <v>2</v>
      </c>
      <c r="F25" s="33">
        <v>3500.86</v>
      </c>
      <c r="G25" s="33">
        <v>-105.88</v>
      </c>
      <c r="H25" s="32">
        <f t="shared" si="1"/>
        <v>3.0243997189262066E-2</v>
      </c>
      <c r="I25" s="32">
        <f t="shared" si="2"/>
        <v>0.23237274772960551</v>
      </c>
      <c r="J25" s="33">
        <f t="shared" si="5"/>
        <v>813.50445761666674</v>
      </c>
      <c r="K25" s="33">
        <f t="shared" si="3"/>
        <v>6.6138573789972908</v>
      </c>
      <c r="L25" s="30">
        <v>660</v>
      </c>
      <c r="M25" s="34">
        <f t="shared" si="6"/>
        <v>0.18636363636363637</v>
      </c>
      <c r="N25" s="30">
        <v>1596</v>
      </c>
      <c r="O25" s="35">
        <f t="shared" ref="O25:P25" si="33">D25/7</f>
        <v>17.571428571428573</v>
      </c>
      <c r="P25" s="35">
        <f t="shared" si="33"/>
        <v>0.2857142857142857</v>
      </c>
      <c r="Q25" s="30">
        <f t="shared" si="8"/>
        <v>89</v>
      </c>
      <c r="R25" s="30"/>
      <c r="S25" s="36">
        <v>1.087048832271762</v>
      </c>
      <c r="T25" s="15"/>
      <c r="U25" s="23"/>
      <c r="V25" s="1"/>
      <c r="W25" s="15">
        <v>10</v>
      </c>
      <c r="X25" s="39">
        <f t="shared" si="9"/>
        <v>8.1300813008130079E-2</v>
      </c>
      <c r="Y25" s="40">
        <f t="shared" si="10"/>
        <v>4.2351999999999999</v>
      </c>
      <c r="Z25" s="15">
        <v>15</v>
      </c>
      <c r="AA25" s="29" t="s">
        <v>58</v>
      </c>
      <c r="AB25" s="41">
        <f t="shared" si="11"/>
        <v>-0.69</v>
      </c>
      <c r="AC25" s="42">
        <v>0.18714824074074074</v>
      </c>
      <c r="AD25" s="40">
        <f t="shared" si="12"/>
        <v>-31.766542383333331</v>
      </c>
      <c r="AE25" s="40">
        <v>-7.32</v>
      </c>
      <c r="AF25" s="40">
        <v>-9.14</v>
      </c>
      <c r="AG25" s="40">
        <v>0</v>
      </c>
    </row>
    <row r="26" spans="1:33" ht="15.75" customHeight="1" x14ac:dyDescent="0.2">
      <c r="A26" s="15" t="s">
        <v>54</v>
      </c>
      <c r="B26" s="15" t="s">
        <v>473</v>
      </c>
      <c r="C26" s="16">
        <f t="shared" si="4"/>
        <v>34.23952380952381</v>
      </c>
      <c r="D26" s="17">
        <v>84</v>
      </c>
      <c r="E26" s="17">
        <v>7</v>
      </c>
      <c r="F26" s="18">
        <v>2876.12</v>
      </c>
      <c r="G26" s="18">
        <v>-138.69999999999999</v>
      </c>
      <c r="H26" s="32">
        <f t="shared" si="1"/>
        <v>4.8224691598403403E-2</v>
      </c>
      <c r="I26" s="32">
        <f t="shared" si="2"/>
        <v>0.31769367617948252</v>
      </c>
      <c r="J26" s="33">
        <f t="shared" si="5"/>
        <v>913.72513593333326</v>
      </c>
      <c r="K26" s="33">
        <f t="shared" si="3"/>
        <v>10.87768018968254</v>
      </c>
      <c r="L26" s="17">
        <v>556</v>
      </c>
      <c r="M26" s="34">
        <f t="shared" si="6"/>
        <v>0.15107913669064749</v>
      </c>
      <c r="N26" s="17">
        <v>1530</v>
      </c>
      <c r="O26" s="35">
        <f t="shared" ref="O26:P26" si="34">D26/7</f>
        <v>12</v>
      </c>
      <c r="P26" s="35">
        <f t="shared" si="34"/>
        <v>1</v>
      </c>
      <c r="Q26" s="30">
        <f t="shared" si="8"/>
        <v>117</v>
      </c>
      <c r="R26" s="30"/>
      <c r="S26" s="22">
        <v>1.2843029637760699</v>
      </c>
      <c r="T26" s="15">
        <v>2844</v>
      </c>
      <c r="U26" s="23">
        <v>300</v>
      </c>
      <c r="V26" s="1" t="s">
        <v>474</v>
      </c>
      <c r="W26" s="15">
        <v>5</v>
      </c>
      <c r="X26" s="39">
        <f t="shared" si="9"/>
        <v>5.9523809523809521E-2</v>
      </c>
      <c r="Y26" s="40">
        <f t="shared" si="10"/>
        <v>4.0794117647058821</v>
      </c>
      <c r="Z26" s="15">
        <v>29</v>
      </c>
      <c r="AA26" s="29" t="s">
        <v>58</v>
      </c>
      <c r="AB26" s="41">
        <f t="shared" si="11"/>
        <v>-0.69</v>
      </c>
      <c r="AC26" s="42">
        <v>0.18714824074074074</v>
      </c>
      <c r="AD26" s="40">
        <f t="shared" si="12"/>
        <v>-21.694224066666667</v>
      </c>
      <c r="AE26" s="26">
        <v>-7.18</v>
      </c>
      <c r="AF26" s="26">
        <v>-9.1364599999999996</v>
      </c>
      <c r="AG26" s="26">
        <v>0</v>
      </c>
    </row>
    <row r="27" spans="1:33" ht="15.75" customHeight="1" x14ac:dyDescent="0.2">
      <c r="A27" s="15" t="s">
        <v>74</v>
      </c>
      <c r="B27" s="15" t="s">
        <v>475</v>
      </c>
      <c r="C27" s="16">
        <f t="shared" si="4"/>
        <v>30.396146788990823</v>
      </c>
      <c r="D27" s="17">
        <v>109</v>
      </c>
      <c r="E27" s="17">
        <v>4</v>
      </c>
      <c r="F27" s="18">
        <v>3313.18</v>
      </c>
      <c r="G27" s="18">
        <v>-261.97000000000003</v>
      </c>
      <c r="H27" s="32">
        <f t="shared" si="1"/>
        <v>7.9069051485280012E-2</v>
      </c>
      <c r="I27" s="32">
        <f t="shared" si="2"/>
        <v>0.22564062973571555</v>
      </c>
      <c r="J27" s="33">
        <f t="shared" si="5"/>
        <v>747.58802162777806</v>
      </c>
      <c r="K27" s="33">
        <f t="shared" si="3"/>
        <v>6.8586057030071386</v>
      </c>
      <c r="L27" s="17">
        <v>589</v>
      </c>
      <c r="M27" s="34">
        <f t="shared" si="6"/>
        <v>0.18505942275042445</v>
      </c>
      <c r="N27" s="17">
        <v>1419</v>
      </c>
      <c r="O27" s="35">
        <f t="shared" ref="O27:P27" si="35">D27/7</f>
        <v>15.571428571428571</v>
      </c>
      <c r="P27" s="35">
        <f t="shared" si="35"/>
        <v>0.5714285714285714</v>
      </c>
      <c r="Q27" s="30">
        <f t="shared" si="8"/>
        <v>87</v>
      </c>
      <c r="R27" s="30"/>
      <c r="S27" s="22">
        <v>0.7543478260869565</v>
      </c>
      <c r="T27" s="15">
        <v>1344</v>
      </c>
      <c r="U27" s="23">
        <v>300</v>
      </c>
      <c r="V27" s="1" t="s">
        <v>474</v>
      </c>
      <c r="W27" s="15">
        <v>17</v>
      </c>
      <c r="X27" s="39">
        <f t="shared" si="9"/>
        <v>0.15596330275229359</v>
      </c>
      <c r="Y27" s="40">
        <f t="shared" si="10"/>
        <v>3.7424285714285719</v>
      </c>
      <c r="Z27" s="15">
        <v>53</v>
      </c>
      <c r="AA27" s="29" t="s">
        <v>58</v>
      </c>
      <c r="AB27" s="41">
        <f t="shared" si="11"/>
        <v>-0.69</v>
      </c>
      <c r="AC27" s="42">
        <v>0.18714824074074074</v>
      </c>
      <c r="AD27" s="40">
        <f t="shared" si="12"/>
        <v>-28.150838372222221</v>
      </c>
      <c r="AE27" s="26">
        <v>-7.18</v>
      </c>
      <c r="AF27" s="26">
        <v>-9.1364599999999996</v>
      </c>
      <c r="AG27" s="26">
        <v>0</v>
      </c>
    </row>
    <row r="28" spans="1:33" ht="15.75" customHeight="1" x14ac:dyDescent="0.2">
      <c r="A28" s="15" t="s">
        <v>75</v>
      </c>
      <c r="B28" s="15" t="s">
        <v>476</v>
      </c>
      <c r="C28" s="16">
        <f t="shared" si="4"/>
        <v>29.25798742138365</v>
      </c>
      <c r="D28" s="17">
        <v>159</v>
      </c>
      <c r="E28" s="17">
        <v>11</v>
      </c>
      <c r="F28" s="18">
        <v>4652.0200000000004</v>
      </c>
      <c r="G28" s="18">
        <v>-323.01</v>
      </c>
      <c r="H28" s="32">
        <f t="shared" si="1"/>
        <v>6.9434353248696262E-2</v>
      </c>
      <c r="I28" s="32">
        <f t="shared" si="2"/>
        <v>0.2140630936704199</v>
      </c>
      <c r="J28" s="33">
        <f t="shared" si="5"/>
        <v>995.82579301666692</v>
      </c>
      <c r="K28" s="33">
        <f t="shared" si="3"/>
        <v>6.2630553019916162</v>
      </c>
      <c r="L28" s="17">
        <v>718</v>
      </c>
      <c r="M28" s="34">
        <f t="shared" si="6"/>
        <v>0.2214484679665738</v>
      </c>
      <c r="N28" s="17">
        <v>1248</v>
      </c>
      <c r="O28" s="35">
        <f t="shared" ref="O28:P28" si="36">D28/7</f>
        <v>22.714285714285715</v>
      </c>
      <c r="P28" s="35">
        <f t="shared" si="36"/>
        <v>1.5714285714285714</v>
      </c>
      <c r="Q28" s="30">
        <f t="shared" si="8"/>
        <v>51</v>
      </c>
      <c r="R28" s="30"/>
      <c r="S28" s="22">
        <v>0.98826291079812212</v>
      </c>
      <c r="T28" s="15">
        <v>1644</v>
      </c>
      <c r="U28" s="23">
        <v>300</v>
      </c>
      <c r="V28" s="1" t="s">
        <v>477</v>
      </c>
      <c r="W28" s="15">
        <v>21</v>
      </c>
      <c r="X28" s="39">
        <f t="shared" si="9"/>
        <v>0.13207547169811321</v>
      </c>
      <c r="Y28" s="40">
        <f t="shared" si="10"/>
        <v>3.5109782608695652</v>
      </c>
      <c r="Z28" s="15">
        <v>71</v>
      </c>
      <c r="AA28" s="29" t="s">
        <v>58</v>
      </c>
      <c r="AB28" s="41">
        <f t="shared" si="11"/>
        <v>-0.69</v>
      </c>
      <c r="AC28" s="42">
        <v>0.18714824074074074</v>
      </c>
      <c r="AD28" s="40">
        <f t="shared" si="12"/>
        <v>-41.064066983333333</v>
      </c>
      <c r="AE28" s="26">
        <v>-7.18</v>
      </c>
      <c r="AF28" s="26">
        <v>-9.1364599999999996</v>
      </c>
      <c r="AG28" s="26">
        <v>0</v>
      </c>
    </row>
    <row r="29" spans="1:33" ht="15.75" customHeight="1" x14ac:dyDescent="0.2">
      <c r="A29" s="15" t="s">
        <v>77</v>
      </c>
      <c r="B29" s="15" t="s">
        <v>478</v>
      </c>
      <c r="C29" s="16">
        <f t="shared" si="4"/>
        <v>27.795652173913044</v>
      </c>
      <c r="D29" s="17">
        <v>115</v>
      </c>
      <c r="E29" s="17">
        <v>3</v>
      </c>
      <c r="F29" s="18">
        <v>3196.5</v>
      </c>
      <c r="G29" s="18">
        <v>-341.92000000000007</v>
      </c>
      <c r="H29" s="32">
        <f t="shared" si="1"/>
        <v>0.10696699515094638</v>
      </c>
      <c r="I29" s="32">
        <f t="shared" si="2"/>
        <v>0.14577135117924125</v>
      </c>
      <c r="J29" s="33">
        <f t="shared" si="5"/>
        <v>465.95812404444467</v>
      </c>
      <c r="K29" s="33">
        <f t="shared" si="3"/>
        <v>4.0518097742995192</v>
      </c>
      <c r="L29" s="17">
        <v>729</v>
      </c>
      <c r="M29" s="34">
        <f t="shared" si="6"/>
        <v>0.15775034293552812</v>
      </c>
      <c r="N29" s="17">
        <v>1129</v>
      </c>
      <c r="O29" s="35">
        <f t="shared" ref="O29:P29" si="37">D29/7</f>
        <v>16.428571428571427</v>
      </c>
      <c r="P29" s="35">
        <f t="shared" si="37"/>
        <v>0.42857142857142855</v>
      </c>
      <c r="Q29" s="30">
        <f t="shared" si="8"/>
        <v>66</v>
      </c>
      <c r="R29" s="30"/>
      <c r="S29" s="22">
        <v>1.2856674319449</v>
      </c>
      <c r="T29" s="15">
        <v>1644</v>
      </c>
      <c r="U29" s="23">
        <v>300</v>
      </c>
      <c r="V29" s="1" t="s">
        <v>477</v>
      </c>
      <c r="W29" s="15">
        <v>20</v>
      </c>
      <c r="X29" s="39">
        <f t="shared" si="9"/>
        <v>0.17391304347826086</v>
      </c>
      <c r="Y29" s="40">
        <f t="shared" si="10"/>
        <v>3.7991111111111118</v>
      </c>
      <c r="Z29" s="15">
        <v>70</v>
      </c>
      <c r="AA29" s="29" t="s">
        <v>58</v>
      </c>
      <c r="AB29" s="41">
        <f t="shared" si="11"/>
        <v>-0.69</v>
      </c>
      <c r="AC29" s="42">
        <v>0.18714824074074074</v>
      </c>
      <c r="AD29" s="40">
        <f t="shared" si="12"/>
        <v>-29.700425805555554</v>
      </c>
      <c r="AE29" s="26">
        <v>-7.18</v>
      </c>
      <c r="AF29" s="26">
        <v>-9.1630126099999991</v>
      </c>
      <c r="AG29" s="26">
        <v>0</v>
      </c>
    </row>
    <row r="30" spans="1:33" ht="15.75" customHeight="1" x14ac:dyDescent="0.2">
      <c r="A30" s="15" t="s">
        <v>78</v>
      </c>
      <c r="B30" s="15" t="s">
        <v>479</v>
      </c>
      <c r="C30" s="16">
        <f t="shared" si="4"/>
        <v>28.936458333333309</v>
      </c>
      <c r="D30" s="17">
        <v>144</v>
      </c>
      <c r="E30" s="17">
        <v>7</v>
      </c>
      <c r="F30" s="18">
        <v>4166.8499999999967</v>
      </c>
      <c r="G30" s="18">
        <v>-358.56999999999988</v>
      </c>
      <c r="H30" s="32">
        <f t="shared" si="1"/>
        <v>8.6053013667398676E-2</v>
      </c>
      <c r="I30" s="32">
        <f t="shared" si="2"/>
        <v>0.21681521078512528</v>
      </c>
      <c r="J30" s="33">
        <f t="shared" si="5"/>
        <v>903.43646105999858</v>
      </c>
      <c r="K30" s="33">
        <f t="shared" si="3"/>
        <v>6.2738643129166567</v>
      </c>
      <c r="L30" s="17">
        <v>652</v>
      </c>
      <c r="M30" s="34">
        <f t="shared" si="6"/>
        <v>0.22085889570552147</v>
      </c>
      <c r="N30" s="17">
        <v>971</v>
      </c>
      <c r="O30" s="35">
        <f t="shared" ref="O30:P30" si="38">D30/7</f>
        <v>20.571428571428573</v>
      </c>
      <c r="P30" s="35">
        <f t="shared" si="38"/>
        <v>1</v>
      </c>
      <c r="Q30" s="30">
        <f t="shared" si="8"/>
        <v>45</v>
      </c>
      <c r="R30" s="30"/>
      <c r="S30" s="22">
        <v>1.4752542372881361</v>
      </c>
      <c r="T30" s="29">
        <v>1344</v>
      </c>
      <c r="U30" s="37">
        <v>300</v>
      </c>
      <c r="V30" s="38" t="s">
        <v>474</v>
      </c>
      <c r="W30" s="15">
        <v>38</v>
      </c>
      <c r="X30" s="39">
        <f t="shared" si="9"/>
        <v>0.2638888888888889</v>
      </c>
      <c r="Y30" s="40">
        <f t="shared" si="10"/>
        <v>2.8685599999999991</v>
      </c>
      <c r="Z30" s="15">
        <v>87</v>
      </c>
      <c r="AA30" s="29" t="s">
        <v>58</v>
      </c>
      <c r="AB30" s="41">
        <f t="shared" si="11"/>
        <v>-0.69</v>
      </c>
      <c r="AC30" s="42">
        <v>0.18714824074074074</v>
      </c>
      <c r="AD30" s="40">
        <f t="shared" si="12"/>
        <v>-37.190098399999997</v>
      </c>
      <c r="AE30" s="26">
        <v>-7.18</v>
      </c>
      <c r="AF30" s="26">
        <v>-8.3937912537499901</v>
      </c>
      <c r="AG30" s="26">
        <v>0</v>
      </c>
    </row>
    <row r="31" spans="1:33" ht="15.75" customHeight="1" x14ac:dyDescent="0.2">
      <c r="A31" s="15" t="s">
        <v>55</v>
      </c>
      <c r="B31" s="15" t="s">
        <v>480</v>
      </c>
      <c r="C31" s="16">
        <f t="shared" si="4"/>
        <v>28.723888888888865</v>
      </c>
      <c r="D31" s="17">
        <v>180</v>
      </c>
      <c r="E31" s="17">
        <v>10</v>
      </c>
      <c r="F31" s="18">
        <v>5170.2999999999956</v>
      </c>
      <c r="G31" s="43">
        <v>-485.03</v>
      </c>
      <c r="H31" s="32">
        <f t="shared" si="1"/>
        <v>9.3810804015240973E-2</v>
      </c>
      <c r="I31" s="32">
        <f t="shared" si="2"/>
        <v>0.20500840402394405</v>
      </c>
      <c r="J31" s="33">
        <f t="shared" si="5"/>
        <v>1059.954951324997</v>
      </c>
      <c r="K31" s="33">
        <f t="shared" si="3"/>
        <v>5.8886386184722053</v>
      </c>
      <c r="L31" s="17">
        <v>992</v>
      </c>
      <c r="M31" s="34">
        <f t="shared" si="6"/>
        <v>0.18145161290322581</v>
      </c>
      <c r="N31" s="17">
        <v>783</v>
      </c>
      <c r="O31" s="35">
        <f t="shared" ref="O31:P31" si="39">D31/7</f>
        <v>25.714285714285715</v>
      </c>
      <c r="P31" s="35">
        <f t="shared" si="39"/>
        <v>1.4285714285714286</v>
      </c>
      <c r="Q31" s="30">
        <f t="shared" si="8"/>
        <v>28</v>
      </c>
      <c r="R31" s="30"/>
      <c r="S31" s="22">
        <v>1.04418356456776</v>
      </c>
      <c r="T31" s="15">
        <v>2816</v>
      </c>
      <c r="U31" s="23">
        <v>300</v>
      </c>
      <c r="V31" s="1" t="s">
        <v>481</v>
      </c>
      <c r="W31" s="15">
        <v>36</v>
      </c>
      <c r="X31" s="39">
        <f t="shared" si="9"/>
        <v>0.2</v>
      </c>
      <c r="Y31" s="40">
        <f t="shared" si="10"/>
        <v>3.3221232876712325</v>
      </c>
      <c r="Z31" s="15">
        <v>110</v>
      </c>
      <c r="AA31" s="15" t="s">
        <v>58</v>
      </c>
      <c r="AB31" s="41">
        <f t="shared" si="11"/>
        <v>-0.69</v>
      </c>
      <c r="AC31" s="28">
        <v>0.18714824074074074</v>
      </c>
      <c r="AD31" s="40">
        <f t="shared" si="12"/>
        <v>-46.487622999999999</v>
      </c>
      <c r="AE31" s="44">
        <v>-7.18</v>
      </c>
      <c r="AF31" s="44">
        <v>-8.393791253749999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29.419481481481483</v>
      </c>
      <c r="D32" s="17">
        <v>135</v>
      </c>
      <c r="E32" s="17">
        <v>7</v>
      </c>
      <c r="F32" s="18">
        <v>3971.63</v>
      </c>
      <c r="G32" s="18">
        <v>-259.20999999999998</v>
      </c>
      <c r="H32" s="32">
        <f t="shared" si="1"/>
        <v>6.5265394812709127E-2</v>
      </c>
      <c r="I32" s="32">
        <f t="shared" si="2"/>
        <v>0.24658590137896813</v>
      </c>
      <c r="J32" s="33">
        <f t="shared" si="5"/>
        <v>979.34796349375119</v>
      </c>
      <c r="K32" s="33">
        <f t="shared" si="3"/>
        <v>7.2544293592129714</v>
      </c>
      <c r="L32" s="17">
        <v>821</v>
      </c>
      <c r="M32" s="34">
        <f t="shared" si="6"/>
        <v>0.16443361753958588</v>
      </c>
      <c r="N32" s="17">
        <v>630</v>
      </c>
      <c r="O32" s="35">
        <f t="shared" ref="O32:P32" si="40">D32/7</f>
        <v>19.285714285714285</v>
      </c>
      <c r="P32" s="35">
        <f t="shared" si="40"/>
        <v>1</v>
      </c>
      <c r="Q32" s="30">
        <f t="shared" si="8"/>
        <v>31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1.3540553666828561</v>
      </c>
      <c r="T32" s="15">
        <f ca="1">IFERROR(__xludf.DUMMYFUNCTION("IFERROR(VLOOKUP($B$2,IMPORTRANGE(""https://docs.google.com/spreadsheets/d/1KiWZV1ko8G7lnRucBRBd29jj3Be6ltMfljMDqzOkQmI/edit#gid=1381463014"",""Lookup!A:D""),4,FALSE),"""")"),2816)</f>
        <v>2816</v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S210718   - 300 units 09/17")</f>
        <v>| S210718   - 300 units 09/17</v>
      </c>
      <c r="W32" s="15">
        <v>16</v>
      </c>
      <c r="X32" s="39">
        <f t="shared" si="9"/>
        <v>0.11851851851851852</v>
      </c>
      <c r="Y32" s="40">
        <f t="shared" si="10"/>
        <v>3.2811392405063287</v>
      </c>
      <c r="Z32" s="15">
        <v>63</v>
      </c>
      <c r="AA32" s="15" t="s">
        <v>58</v>
      </c>
      <c r="AB32" s="41">
        <f t="shared" si="11"/>
        <v>-0.69</v>
      </c>
      <c r="AC32" s="28">
        <v>0.18714824074074074</v>
      </c>
      <c r="AD32" s="40">
        <f t="shared" si="12"/>
        <v>-34.865717249999996</v>
      </c>
      <c r="AE32" s="26">
        <v>-7.18</v>
      </c>
      <c r="AF32" s="26">
        <v>-8.3937912537499901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1:33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1:33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1:33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1:33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1:33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1:33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1:33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1:33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1:33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1:33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1:33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1:33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69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Info!B1:BJ7000""),3,FALSE),"""")"),"Professional Cornhole Bags - Set of 8 Regulation All Weather Two Sided Bean Bags for Pro Corn Hole Game - 4 Royal Blue &amp; 4 Gray")</f>
        <v>Professional Cornhole Bags - Set of 8 Regulation All Weather Two Sided Bean Bags for Pro Corn Hole Game - 4 Royal Blue &amp; 4 Gray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Info!B1:BJ7000""),2,FALSE),"""")"),"B07ZTHNXWG")</f>
        <v>B07ZTHNXWG</v>
      </c>
      <c r="B2" s="47" t="s">
        <v>482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18.32210735735293</v>
      </c>
      <c r="D3" s="5">
        <f>SUM(D4:D99765)</f>
        <v>1268</v>
      </c>
      <c r="E3" s="5"/>
      <c r="F3" s="6">
        <f t="shared" ref="F3:G3" si="0">SUM(F4:F99765)</f>
        <v>39776.269999999997</v>
      </c>
      <c r="G3" s="6">
        <f t="shared" si="0"/>
        <v>-336.52</v>
      </c>
      <c r="H3" s="7">
        <f t="shared" ref="H3:H32" si="1">G3/F3*-1</f>
        <v>8.4603206886920274E-3</v>
      </c>
      <c r="I3" s="8">
        <f t="shared" ref="I3:I32" si="2">J3/F3</f>
        <v>0.3183011255281244</v>
      </c>
      <c r="J3" s="6">
        <f>SUM(J4:J99765)</f>
        <v>12660.831510310567</v>
      </c>
      <c r="K3" s="6">
        <f t="shared" ref="K3:K32" si="3">J3/D3</f>
        <v>9.9848828945666934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Sheet!a1:g5000""),2,FALSE),"""")"),"6 - March
6.5 - April
8 - May
16.5 - June
22 - July
16 - Aug
14 - Sept
2 - Oct
2 - Nov
4 - Dec
6 - Jan
6 - Feb")</f>
        <v>6 - March
6.5 - April
8 - May
16.5 - June
22 - July
16 - Aug
14 - Sept
2 - Oct
2 - Nov
4 - Dec
6 - Jan
6 -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QTY-111")</f>
        <v>Del QTY-111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21</v>
      </c>
      <c r="X3" s="7">
        <f>W3/D3</f>
        <v>1.6561514195583597E-2</v>
      </c>
      <c r="Y3" s="6"/>
      <c r="Z3" s="5"/>
      <c r="AA3" s="5"/>
      <c r="AB3" s="5"/>
      <c r="AC3" s="5"/>
      <c r="AD3" s="6">
        <f>SUM(AD4:AD99765)</f>
        <v>-360.21027157498031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483</v>
      </c>
      <c r="C4" s="16">
        <f t="shared" ref="C4:C32" si="4">IFERROR(F4/D4," - ")</f>
        <v>23.067419354838716</v>
      </c>
      <c r="D4" s="17">
        <v>31</v>
      </c>
      <c r="E4" s="17">
        <v>1</v>
      </c>
      <c r="F4" s="18">
        <v>715.09000000000015</v>
      </c>
      <c r="G4" s="18">
        <v>0</v>
      </c>
      <c r="H4" s="19">
        <f t="shared" si="1"/>
        <v>0</v>
      </c>
      <c r="I4" s="19">
        <f t="shared" si="2"/>
        <v>0.20963964822681463</v>
      </c>
      <c r="J4" s="18">
        <f t="shared" ref="J4:J32" si="5">F4*0.85+G4+AF4*D4+D4*AE4+AG4+AD4</f>
        <v>149.91121605051291</v>
      </c>
      <c r="K4" s="18">
        <f t="shared" si="3"/>
        <v>4.8358456790488038</v>
      </c>
      <c r="L4" s="17">
        <v>43</v>
      </c>
      <c r="M4" s="20">
        <f t="shared" ref="M4:M32" si="6">IFERROR(D4/L4,"-")</f>
        <v>0.72093023255813948</v>
      </c>
      <c r="N4" s="17">
        <v>44</v>
      </c>
      <c r="O4" s="21">
        <f t="shared" ref="O4:P4" si="7">D4/7</f>
        <v>4.4285714285714288</v>
      </c>
      <c r="P4" s="21">
        <f t="shared" si="7"/>
        <v>0.14285714285714285</v>
      </c>
      <c r="Q4" s="17">
        <f t="shared" ref="Q4:Q32" si="8">ROUNDDOWN(N4/(O4+P4),0)</f>
        <v>9</v>
      </c>
      <c r="R4" s="17"/>
      <c r="S4" s="22">
        <v>3.22866894197952</v>
      </c>
      <c r="T4" s="15">
        <v>1564</v>
      </c>
      <c r="U4" s="23">
        <v>136</v>
      </c>
      <c r="V4" s="24" t="s">
        <v>484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0.23106038888888888</v>
      </c>
      <c r="AD4" s="26">
        <f t="shared" ref="AD4:AD32" si="12">IFERROR(AB4*AC4*D4*2,0)</f>
        <v>-9.8847634366666668</v>
      </c>
      <c r="AE4" s="26">
        <v>-7.32</v>
      </c>
      <c r="AF4" s="26">
        <v>-7.132597435897436</v>
      </c>
      <c r="AG4" s="26">
        <v>0</v>
      </c>
    </row>
    <row r="5" spans="1:33" ht="15.75" customHeight="1" x14ac:dyDescent="0.2">
      <c r="A5" s="29" t="s">
        <v>33</v>
      </c>
      <c r="B5" s="29" t="s">
        <v>485</v>
      </c>
      <c r="C5" s="16">
        <f t="shared" si="4"/>
        <v>24.603829787234055</v>
      </c>
      <c r="D5" s="30">
        <v>47</v>
      </c>
      <c r="E5" s="30">
        <v>0</v>
      </c>
      <c r="F5" s="31">
        <v>1156.3800000000006</v>
      </c>
      <c r="G5" s="31">
        <v>0</v>
      </c>
      <c r="H5" s="32">
        <f t="shared" si="1"/>
        <v>0</v>
      </c>
      <c r="I5" s="32">
        <f t="shared" si="2"/>
        <v>0.24961256508699611</v>
      </c>
      <c r="J5" s="33">
        <f t="shared" si="5"/>
        <v>288.6469780153007</v>
      </c>
      <c r="K5" s="33">
        <f t="shared" si="3"/>
        <v>6.1414250641553343</v>
      </c>
      <c r="L5" s="30">
        <v>69</v>
      </c>
      <c r="M5" s="34">
        <f t="shared" si="6"/>
        <v>0.6811594202898551</v>
      </c>
      <c r="N5" s="30">
        <v>9</v>
      </c>
      <c r="O5" s="35">
        <f t="shared" ref="O5:P5" si="13">D5/7</f>
        <v>6.7142857142857144</v>
      </c>
      <c r="P5" s="35">
        <f t="shared" si="13"/>
        <v>0</v>
      </c>
      <c r="Q5" s="30">
        <f t="shared" si="8"/>
        <v>1</v>
      </c>
      <c r="R5" s="30"/>
      <c r="S5" s="36">
        <v>2.6968325791855201</v>
      </c>
      <c r="T5" s="29">
        <v>2116</v>
      </c>
      <c r="U5" s="37">
        <v>136</v>
      </c>
      <c r="V5" s="38" t="s">
        <v>486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58</v>
      </c>
      <c r="AB5" s="41">
        <f t="shared" si="11"/>
        <v>-0.69</v>
      </c>
      <c r="AC5" s="42">
        <v>0.23132812977983777</v>
      </c>
      <c r="AD5" s="40">
        <f t="shared" si="12"/>
        <v>-15.003942497520278</v>
      </c>
      <c r="AE5" s="40">
        <v>-7.32</v>
      </c>
      <c r="AF5" s="40">
        <v>-7.132597435897436</v>
      </c>
      <c r="AG5" s="40">
        <v>0</v>
      </c>
    </row>
    <row r="6" spans="1:33" ht="15.75" customHeight="1" x14ac:dyDescent="0.2">
      <c r="A6" s="29" t="s">
        <v>34</v>
      </c>
      <c r="B6" s="29" t="s">
        <v>487</v>
      </c>
      <c r="C6" s="16">
        <f t="shared" si="4"/>
        <v>29.95</v>
      </c>
      <c r="D6" s="30">
        <v>2</v>
      </c>
      <c r="E6" s="30">
        <v>0</v>
      </c>
      <c r="F6" s="31">
        <v>59.9</v>
      </c>
      <c r="G6" s="31">
        <v>0</v>
      </c>
      <c r="H6" s="32">
        <f t="shared" si="1"/>
        <v>0</v>
      </c>
      <c r="I6" s="32">
        <f t="shared" si="2"/>
        <v>0.35678363088502135</v>
      </c>
      <c r="J6" s="33">
        <f t="shared" si="5"/>
        <v>21.37133949001278</v>
      </c>
      <c r="K6" s="33">
        <f t="shared" si="3"/>
        <v>10.68566974500639</v>
      </c>
      <c r="L6" s="30">
        <v>16</v>
      </c>
      <c r="M6" s="34">
        <f t="shared" si="6"/>
        <v>0.125</v>
      </c>
      <c r="N6" s="30">
        <v>1</v>
      </c>
      <c r="O6" s="35">
        <f t="shared" ref="O6:P6" si="14">D6/7</f>
        <v>0.2857142857142857</v>
      </c>
      <c r="P6" s="35">
        <f t="shared" si="14"/>
        <v>0</v>
      </c>
      <c r="Q6" s="30">
        <f t="shared" si="8"/>
        <v>3</v>
      </c>
      <c r="R6" s="30"/>
      <c r="S6" s="36" t="e">
        <v>#N/A</v>
      </c>
      <c r="T6" s="29">
        <v>2116</v>
      </c>
      <c r="U6" s="37">
        <v>136</v>
      </c>
      <c r="V6" s="38" t="s">
        <v>488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58</v>
      </c>
      <c r="AB6" s="41">
        <f t="shared" si="11"/>
        <v>-0.69</v>
      </c>
      <c r="AC6" s="42">
        <v>0.23132812977983777</v>
      </c>
      <c r="AD6" s="40">
        <f t="shared" si="12"/>
        <v>-0.63846563819235225</v>
      </c>
      <c r="AE6" s="40">
        <v>-7.32</v>
      </c>
      <c r="AF6" s="40">
        <v>-7.132597435897436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2116</v>
      </c>
      <c r="U7" s="37">
        <v>136</v>
      </c>
      <c r="V7" s="38" t="s">
        <v>489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-7.132597435897436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2116</v>
      </c>
      <c r="U8" s="37">
        <v>136</v>
      </c>
      <c r="V8" s="38" t="s">
        <v>490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-7.13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2116</v>
      </c>
      <c r="U9" s="37">
        <v>136</v>
      </c>
      <c r="V9" s="38" t="s">
        <v>491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-7.4858025641025598</v>
      </c>
      <c r="AG9" s="40">
        <v>0</v>
      </c>
    </row>
    <row r="10" spans="1:33" ht="15.75" customHeight="1" x14ac:dyDescent="0.2">
      <c r="A10" s="29" t="s">
        <v>38</v>
      </c>
      <c r="B10" s="29" t="s">
        <v>179</v>
      </c>
      <c r="C10" s="16">
        <f t="shared" si="4"/>
        <v>29.95</v>
      </c>
      <c r="D10" s="30">
        <v>2</v>
      </c>
      <c r="E10" s="30">
        <v>0</v>
      </c>
      <c r="F10" s="31">
        <v>59.9</v>
      </c>
      <c r="G10" s="31">
        <v>0</v>
      </c>
      <c r="H10" s="32">
        <f t="shared" si="1"/>
        <v>0</v>
      </c>
      <c r="I10" s="32">
        <f t="shared" si="2"/>
        <v>0.34499047134561817</v>
      </c>
      <c r="J10" s="33">
        <f t="shared" si="5"/>
        <v>20.664929233602528</v>
      </c>
      <c r="K10" s="33">
        <f t="shared" si="3"/>
        <v>10.332464616801264</v>
      </c>
      <c r="L10" s="30">
        <v>16</v>
      </c>
      <c r="M10" s="34">
        <f t="shared" si="6"/>
        <v>0.125</v>
      </c>
      <c r="N10" s="30">
        <v>0</v>
      </c>
      <c r="O10" s="35">
        <f t="shared" ref="O10:P10" si="18">D10/7</f>
        <v>0.2857142857142857</v>
      </c>
      <c r="P10" s="35">
        <f t="shared" si="18"/>
        <v>0</v>
      </c>
      <c r="Q10" s="30">
        <f t="shared" si="8"/>
        <v>0</v>
      </c>
      <c r="R10" s="30"/>
      <c r="S10" s="36" t="e">
        <v>#N/A</v>
      </c>
      <c r="T10" s="29">
        <v>2236</v>
      </c>
      <c r="U10" s="37">
        <v>136</v>
      </c>
      <c r="V10" s="38" t="s">
        <v>492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58</v>
      </c>
      <c r="AB10" s="41">
        <f t="shared" si="11"/>
        <v>-0.69</v>
      </c>
      <c r="AC10" s="42">
        <v>0.23132812977983777</v>
      </c>
      <c r="AD10" s="40">
        <f t="shared" si="12"/>
        <v>-0.63846563819235225</v>
      </c>
      <c r="AE10" s="40">
        <v>-7.32</v>
      </c>
      <c r="AF10" s="40">
        <v>-7.4858025641025598</v>
      </c>
      <c r="AG10" s="40">
        <v>0</v>
      </c>
    </row>
    <row r="11" spans="1:33" ht="15.75" customHeight="1" x14ac:dyDescent="0.2">
      <c r="A11" s="29" t="s">
        <v>39</v>
      </c>
      <c r="B11" s="29" t="s">
        <v>179</v>
      </c>
      <c r="C11" s="16">
        <f t="shared" si="4"/>
        <v>29.95</v>
      </c>
      <c r="D11" s="30">
        <v>1</v>
      </c>
      <c r="E11" s="30">
        <v>0</v>
      </c>
      <c r="F11" s="31">
        <v>29.95</v>
      </c>
      <c r="G11" s="31">
        <v>0</v>
      </c>
      <c r="H11" s="32">
        <f t="shared" si="1"/>
        <v>0</v>
      </c>
      <c r="I11" s="32">
        <f t="shared" si="2"/>
        <v>0.34499047134561817</v>
      </c>
      <c r="J11" s="33">
        <f t="shared" si="5"/>
        <v>10.332464616801264</v>
      </c>
      <c r="K11" s="33">
        <f t="shared" si="3"/>
        <v>10.332464616801264</v>
      </c>
      <c r="L11" s="30">
        <v>4</v>
      </c>
      <c r="M11" s="34">
        <f t="shared" si="6"/>
        <v>0.25</v>
      </c>
      <c r="N11" s="30">
        <v>0</v>
      </c>
      <c r="O11" s="35">
        <f t="shared" ref="O11:P11" si="19">D11/7</f>
        <v>0.14285714285714285</v>
      </c>
      <c r="P11" s="35">
        <f t="shared" si="19"/>
        <v>0</v>
      </c>
      <c r="Q11" s="30">
        <f t="shared" si="8"/>
        <v>0</v>
      </c>
      <c r="R11" s="30"/>
      <c r="S11" s="36" t="e">
        <v>#N/A</v>
      </c>
      <c r="T11" s="29">
        <v>3104</v>
      </c>
      <c r="U11" s="37">
        <v>136</v>
      </c>
      <c r="V11" s="38" t="s">
        <v>493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58</v>
      </c>
      <c r="AB11" s="41">
        <f t="shared" si="11"/>
        <v>-0.69</v>
      </c>
      <c r="AC11" s="42">
        <v>0.23132812977983777</v>
      </c>
      <c r="AD11" s="40">
        <f t="shared" si="12"/>
        <v>-0.31923281909617612</v>
      </c>
      <c r="AE11" s="40">
        <v>-7.32</v>
      </c>
      <c r="AF11" s="40">
        <v>-7.4858025641025598</v>
      </c>
      <c r="AG11" s="40">
        <v>0</v>
      </c>
    </row>
    <row r="12" spans="1:33" ht="15.75" customHeight="1" x14ac:dyDescent="0.2">
      <c r="A12" s="29" t="s">
        <v>40</v>
      </c>
      <c r="B12" s="29" t="s">
        <v>179</v>
      </c>
      <c r="C12" s="16">
        <f t="shared" si="4"/>
        <v>29.95</v>
      </c>
      <c r="D12" s="30">
        <v>1</v>
      </c>
      <c r="E12" s="30">
        <v>0</v>
      </c>
      <c r="F12" s="31">
        <v>29.95</v>
      </c>
      <c r="G12" s="31">
        <v>0</v>
      </c>
      <c r="H12" s="32">
        <f t="shared" si="1"/>
        <v>0</v>
      </c>
      <c r="I12" s="32">
        <f t="shared" si="2"/>
        <v>0.34500280798767191</v>
      </c>
      <c r="J12" s="33">
        <f t="shared" si="5"/>
        <v>10.332834099230773</v>
      </c>
      <c r="K12" s="33">
        <f t="shared" si="3"/>
        <v>10.332834099230773</v>
      </c>
      <c r="L12" s="30">
        <v>7</v>
      </c>
      <c r="M12" s="34">
        <f t="shared" si="6"/>
        <v>0.14285714285714285</v>
      </c>
      <c r="N12" s="30">
        <v>4</v>
      </c>
      <c r="O12" s="35">
        <f t="shared" ref="O12:P12" si="20">D12/7</f>
        <v>0.14285714285714285</v>
      </c>
      <c r="P12" s="35">
        <f t="shared" si="20"/>
        <v>0</v>
      </c>
      <c r="Q12" s="30">
        <f t="shared" si="8"/>
        <v>28</v>
      </c>
      <c r="R12" s="30"/>
      <c r="S12" s="36">
        <v>7.4424242424242397</v>
      </c>
      <c r="T12" s="29">
        <v>1968</v>
      </c>
      <c r="U12" s="37">
        <v>552</v>
      </c>
      <c r="V12" s="38" t="s">
        <v>494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58</v>
      </c>
      <c r="AB12" s="41">
        <f t="shared" si="11"/>
        <v>-0.69</v>
      </c>
      <c r="AC12" s="42">
        <v>0.23106038888888888</v>
      </c>
      <c r="AD12" s="40">
        <f t="shared" si="12"/>
        <v>-0.31886333666666666</v>
      </c>
      <c r="AE12" s="40">
        <v>-7.32</v>
      </c>
      <c r="AF12" s="40">
        <v>-7.4858025641025598</v>
      </c>
      <c r="AG12" s="40">
        <v>0</v>
      </c>
    </row>
    <row r="13" spans="1:33" ht="15.75" customHeight="1" x14ac:dyDescent="0.2">
      <c r="A13" s="29" t="s">
        <v>41</v>
      </c>
      <c r="B13" s="29" t="s">
        <v>179</v>
      </c>
      <c r="C13" s="16">
        <f t="shared" si="4"/>
        <v>29.95</v>
      </c>
      <c r="D13" s="30">
        <v>3</v>
      </c>
      <c r="E13" s="30">
        <v>0</v>
      </c>
      <c r="F13" s="33">
        <v>89.85</v>
      </c>
      <c r="G13" s="31">
        <v>0</v>
      </c>
      <c r="H13" s="32">
        <f t="shared" si="1"/>
        <v>0</v>
      </c>
      <c r="I13" s="32">
        <f t="shared" si="2"/>
        <v>0.33879588191430143</v>
      </c>
      <c r="J13" s="33">
        <f t="shared" si="5"/>
        <v>30.440809989999984</v>
      </c>
      <c r="K13" s="33">
        <f t="shared" si="3"/>
        <v>10.146936663333328</v>
      </c>
      <c r="L13" s="30">
        <v>23</v>
      </c>
      <c r="M13" s="34">
        <f t="shared" si="6"/>
        <v>0.13043478260869565</v>
      </c>
      <c r="N13" s="30">
        <v>0</v>
      </c>
      <c r="O13" s="35">
        <f t="shared" ref="O13:P13" si="21">D13/7</f>
        <v>0.42857142857142855</v>
      </c>
      <c r="P13" s="35">
        <f t="shared" si="21"/>
        <v>0</v>
      </c>
      <c r="Q13" s="30">
        <f t="shared" si="8"/>
        <v>0</v>
      </c>
      <c r="R13" s="30"/>
      <c r="S13" s="36">
        <v>8.8296296296296202</v>
      </c>
      <c r="T13" s="29">
        <v>1968</v>
      </c>
      <c r="U13" s="37">
        <v>552</v>
      </c>
      <c r="V13" s="38" t="s">
        <v>495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58</v>
      </c>
      <c r="AB13" s="41">
        <f t="shared" si="11"/>
        <v>-0.69</v>
      </c>
      <c r="AC13" s="42">
        <v>0.23106038888888888</v>
      </c>
      <c r="AD13" s="40">
        <f t="shared" si="12"/>
        <v>-0.95659000999999999</v>
      </c>
      <c r="AE13" s="40">
        <v>-7.32</v>
      </c>
      <c r="AF13" s="40">
        <v>-7.6717000000000004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1968</v>
      </c>
      <c r="U14" s="37">
        <v>552</v>
      </c>
      <c r="V14" s="38" t="s">
        <v>495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-7.6717000000000004</v>
      </c>
      <c r="AG14" s="40">
        <v>0</v>
      </c>
    </row>
    <row r="15" spans="1:33" ht="15.75" customHeight="1" x14ac:dyDescent="0.2">
      <c r="A15" s="29" t="s">
        <v>43</v>
      </c>
      <c r="B15" s="29" t="s">
        <v>462</v>
      </c>
      <c r="C15" s="16">
        <f t="shared" si="4"/>
        <v>29.950000000000003</v>
      </c>
      <c r="D15" s="30">
        <v>21</v>
      </c>
      <c r="E15" s="30">
        <v>2</v>
      </c>
      <c r="F15" s="33">
        <v>628.95000000000005</v>
      </c>
      <c r="G15" s="31">
        <v>0</v>
      </c>
      <c r="H15" s="32">
        <f t="shared" si="1"/>
        <v>0</v>
      </c>
      <c r="I15" s="32">
        <f t="shared" si="2"/>
        <v>0.33879588191430166</v>
      </c>
      <c r="J15" s="33">
        <f t="shared" si="5"/>
        <v>213.08566993000005</v>
      </c>
      <c r="K15" s="33">
        <f t="shared" si="3"/>
        <v>10.146936663333335</v>
      </c>
      <c r="L15" s="30">
        <v>47</v>
      </c>
      <c r="M15" s="34">
        <f t="shared" si="6"/>
        <v>0.44680851063829785</v>
      </c>
      <c r="N15" s="30">
        <v>114</v>
      </c>
      <c r="O15" s="35">
        <f t="shared" ref="O15:P15" si="23">D15/7</f>
        <v>3</v>
      </c>
      <c r="P15" s="35">
        <f t="shared" si="23"/>
        <v>0.2857142857142857</v>
      </c>
      <c r="Q15" s="30">
        <f t="shared" si="8"/>
        <v>34</v>
      </c>
      <c r="R15" s="30"/>
      <c r="S15" s="36">
        <v>2.4827586206896499</v>
      </c>
      <c r="T15" s="29">
        <v>1968</v>
      </c>
      <c r="U15" s="37">
        <v>552</v>
      </c>
      <c r="V15" s="38" t="s">
        <v>495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58</v>
      </c>
      <c r="AB15" s="41">
        <f t="shared" si="11"/>
        <v>-0.69</v>
      </c>
      <c r="AC15" s="42">
        <v>0.23106038888888888</v>
      </c>
      <c r="AD15" s="40">
        <f t="shared" si="12"/>
        <v>-6.6961300699999997</v>
      </c>
      <c r="AE15" s="40">
        <v>-7.32</v>
      </c>
      <c r="AF15" s="40">
        <v>-7.6717000000000004</v>
      </c>
      <c r="AG15" s="40">
        <v>0</v>
      </c>
    </row>
    <row r="16" spans="1:33" ht="15.75" customHeight="1" x14ac:dyDescent="0.2">
      <c r="A16" s="29" t="s">
        <v>44</v>
      </c>
      <c r="B16" s="29" t="s">
        <v>496</v>
      </c>
      <c r="C16" s="16">
        <f t="shared" si="4"/>
        <v>29.042812500000018</v>
      </c>
      <c r="D16" s="30">
        <v>32</v>
      </c>
      <c r="E16" s="30">
        <v>1</v>
      </c>
      <c r="F16" s="33">
        <v>929.37000000000057</v>
      </c>
      <c r="G16" s="31">
        <v>-16.12</v>
      </c>
      <c r="H16" s="32">
        <f t="shared" si="1"/>
        <v>1.7345083228423545E-2</v>
      </c>
      <c r="I16" s="32">
        <f t="shared" si="2"/>
        <v>0.25849140087012384</v>
      </c>
      <c r="J16" s="33">
        <f t="shared" si="5"/>
        <v>240.23415322666716</v>
      </c>
      <c r="K16" s="33">
        <f t="shared" si="3"/>
        <v>7.5073172883333488</v>
      </c>
      <c r="L16" s="30">
        <v>120</v>
      </c>
      <c r="M16" s="34">
        <f t="shared" si="6"/>
        <v>0.26666666666666666</v>
      </c>
      <c r="N16" s="30">
        <v>80</v>
      </c>
      <c r="O16" s="35">
        <f t="shared" ref="O16:P16" si="24">D16/7</f>
        <v>4.5714285714285712</v>
      </c>
      <c r="P16" s="35">
        <f t="shared" si="24"/>
        <v>0.14285714285714285</v>
      </c>
      <c r="Q16" s="30">
        <f t="shared" si="8"/>
        <v>16</v>
      </c>
      <c r="R16" s="30"/>
      <c r="S16" s="36">
        <v>2.85148514851485</v>
      </c>
      <c r="T16" s="29">
        <v>1968</v>
      </c>
      <c r="U16" s="37">
        <v>552</v>
      </c>
      <c r="V16" s="38" t="s">
        <v>497</v>
      </c>
      <c r="W16" s="29">
        <v>1</v>
      </c>
      <c r="X16" s="39">
        <f t="shared" si="9"/>
        <v>3.125E-2</v>
      </c>
      <c r="Y16" s="40">
        <f t="shared" si="10"/>
        <v>2.686666666666667</v>
      </c>
      <c r="Z16" s="29">
        <v>5</v>
      </c>
      <c r="AA16" s="29" t="s">
        <v>58</v>
      </c>
      <c r="AB16" s="41">
        <f t="shared" si="11"/>
        <v>-0.69</v>
      </c>
      <c r="AC16" s="42">
        <v>0.23106038888888888</v>
      </c>
      <c r="AD16" s="40">
        <f t="shared" si="12"/>
        <v>-10.203626773333333</v>
      </c>
      <c r="AE16" s="40">
        <v>-7.32</v>
      </c>
      <c r="AF16" s="40">
        <v>-9.0364599999999999</v>
      </c>
      <c r="AG16" s="40">
        <v>0</v>
      </c>
    </row>
    <row r="17" spans="1:33" ht="15.75" customHeight="1" x14ac:dyDescent="0.2">
      <c r="A17" s="29" t="s">
        <v>45</v>
      </c>
      <c r="B17" s="29" t="s">
        <v>452</v>
      </c>
      <c r="C17" s="16">
        <f t="shared" si="4"/>
        <v>32.44468085106385</v>
      </c>
      <c r="D17" s="30">
        <v>47</v>
      </c>
      <c r="E17" s="30">
        <v>2</v>
      </c>
      <c r="F17" s="33">
        <v>1524.900000000001</v>
      </c>
      <c r="G17" s="31">
        <v>-29.640000000000004</v>
      </c>
      <c r="H17" s="32">
        <f t="shared" si="1"/>
        <v>1.9437340153452675E-2</v>
      </c>
      <c r="I17" s="32">
        <f t="shared" si="2"/>
        <v>0.31660095952302914</v>
      </c>
      <c r="J17" s="33">
        <f t="shared" si="5"/>
        <v>482.78480317666742</v>
      </c>
      <c r="K17" s="33">
        <f t="shared" si="3"/>
        <v>10.272017088865264</v>
      </c>
      <c r="L17" s="30">
        <v>90</v>
      </c>
      <c r="M17" s="34">
        <f t="shared" si="6"/>
        <v>0.52222222222222225</v>
      </c>
      <c r="N17" s="30">
        <v>133</v>
      </c>
      <c r="O17" s="35">
        <f t="shared" ref="O17:P17" si="25">D17/7</f>
        <v>6.7142857142857144</v>
      </c>
      <c r="P17" s="35">
        <f t="shared" si="25"/>
        <v>0.2857142857142857</v>
      </c>
      <c r="Q17" s="30">
        <f t="shared" si="8"/>
        <v>19</v>
      </c>
      <c r="R17" s="30"/>
      <c r="S17" s="36">
        <v>2.6311111111111098</v>
      </c>
      <c r="T17" s="29">
        <v>1968</v>
      </c>
      <c r="U17" s="37">
        <v>552</v>
      </c>
      <c r="V17" s="38" t="s">
        <v>498</v>
      </c>
      <c r="W17" s="29">
        <v>4</v>
      </c>
      <c r="X17" s="39">
        <f t="shared" si="9"/>
        <v>8.5106382978723402E-2</v>
      </c>
      <c r="Y17" s="40">
        <f t="shared" si="10"/>
        <v>4.2342857142857149</v>
      </c>
      <c r="Z17" s="29">
        <v>3</v>
      </c>
      <c r="AA17" s="29" t="s">
        <v>58</v>
      </c>
      <c r="AB17" s="41">
        <f t="shared" si="11"/>
        <v>-0.69</v>
      </c>
      <c r="AC17" s="42">
        <v>0.23106038888888888</v>
      </c>
      <c r="AD17" s="40">
        <f t="shared" si="12"/>
        <v>-14.986576823333333</v>
      </c>
      <c r="AE17" s="40">
        <v>-7.32</v>
      </c>
      <c r="AF17" s="40">
        <v>-9.0364599999999999</v>
      </c>
      <c r="AG17" s="40">
        <v>0</v>
      </c>
    </row>
    <row r="18" spans="1:33" ht="15.75" customHeight="1" x14ac:dyDescent="0.2">
      <c r="A18" s="29" t="s">
        <v>46</v>
      </c>
      <c r="B18" s="29" t="s">
        <v>452</v>
      </c>
      <c r="C18" s="16">
        <f t="shared" si="4"/>
        <v>36.550909090909101</v>
      </c>
      <c r="D18" s="30">
        <v>44</v>
      </c>
      <c r="E18" s="30">
        <v>2</v>
      </c>
      <c r="F18" s="33">
        <v>1608.2400000000005</v>
      </c>
      <c r="G18" s="31">
        <v>-16.349999999999998</v>
      </c>
      <c r="H18" s="32">
        <f t="shared" si="1"/>
        <v>1.0166393075660345E-2</v>
      </c>
      <c r="I18" s="32">
        <f t="shared" si="2"/>
        <v>0.38087584762639087</v>
      </c>
      <c r="J18" s="33">
        <f t="shared" si="5"/>
        <v>612.53977318666705</v>
      </c>
      <c r="K18" s="33">
        <f t="shared" si="3"/>
        <v>13.92135848151516</v>
      </c>
      <c r="L18" s="30">
        <v>101</v>
      </c>
      <c r="M18" s="34">
        <f t="shared" si="6"/>
        <v>0.43564356435643564</v>
      </c>
      <c r="N18" s="30">
        <v>326</v>
      </c>
      <c r="O18" s="35">
        <f t="shared" ref="O18:P18" si="26">D18/7</f>
        <v>6.2857142857142856</v>
      </c>
      <c r="P18" s="35">
        <f t="shared" si="26"/>
        <v>0.2857142857142857</v>
      </c>
      <c r="Q18" s="30">
        <f t="shared" si="8"/>
        <v>49</v>
      </c>
      <c r="R18" s="30"/>
      <c r="S18" s="36">
        <v>1.6319999999999999</v>
      </c>
      <c r="T18" s="29">
        <v>2940</v>
      </c>
      <c r="U18" s="37">
        <v>428</v>
      </c>
      <c r="V18" s="38" t="s">
        <v>499</v>
      </c>
      <c r="W18" s="29">
        <v>3</v>
      </c>
      <c r="X18" s="39">
        <f t="shared" si="9"/>
        <v>6.8181818181818177E-2</v>
      </c>
      <c r="Y18" s="40">
        <f t="shared" si="10"/>
        <v>1.6349999999999998</v>
      </c>
      <c r="Z18" s="29">
        <v>7</v>
      </c>
      <c r="AA18" s="29" t="s">
        <v>58</v>
      </c>
      <c r="AB18" s="41">
        <f t="shared" si="11"/>
        <v>-0.69</v>
      </c>
      <c r="AC18" s="42">
        <v>0.23106038888888888</v>
      </c>
      <c r="AD18" s="40">
        <f t="shared" si="12"/>
        <v>-14.029986813333334</v>
      </c>
      <c r="AE18" s="40">
        <v>-7.32</v>
      </c>
      <c r="AF18" s="40">
        <v>-9.1364599999999996</v>
      </c>
      <c r="AG18" s="40">
        <v>0</v>
      </c>
    </row>
    <row r="19" spans="1:33" ht="15.75" customHeight="1" x14ac:dyDescent="0.2">
      <c r="A19" s="29" t="s">
        <v>47</v>
      </c>
      <c r="B19" s="29" t="s">
        <v>395</v>
      </c>
      <c r="C19" s="16">
        <f t="shared" si="4"/>
        <v>36.488904109589051</v>
      </c>
      <c r="D19" s="30">
        <v>73</v>
      </c>
      <c r="E19" s="30">
        <v>0</v>
      </c>
      <c r="F19" s="33">
        <v>2663.6900000000005</v>
      </c>
      <c r="G19" s="31">
        <v>-11.040000000000001</v>
      </c>
      <c r="H19" s="32">
        <f t="shared" si="1"/>
        <v>4.1446264392628268E-3</v>
      </c>
      <c r="I19" s="32">
        <f t="shared" si="2"/>
        <v>0.38611771505818393</v>
      </c>
      <c r="J19" s="33">
        <f t="shared" si="5"/>
        <v>1028.4978964233342</v>
      </c>
      <c r="K19" s="33">
        <f t="shared" si="3"/>
        <v>14.089012279771701</v>
      </c>
      <c r="L19" s="30">
        <v>89</v>
      </c>
      <c r="M19" s="34">
        <f t="shared" si="6"/>
        <v>0.8202247191011236</v>
      </c>
      <c r="N19" s="30">
        <v>248</v>
      </c>
      <c r="O19" s="35">
        <f t="shared" ref="O19:P19" si="27">D19/7</f>
        <v>10.428571428571429</v>
      </c>
      <c r="P19" s="35">
        <f t="shared" si="27"/>
        <v>0</v>
      </c>
      <c r="Q19" s="30">
        <f t="shared" si="8"/>
        <v>23</v>
      </c>
      <c r="R19" s="30"/>
      <c r="S19" s="36">
        <v>1.6017897091722499</v>
      </c>
      <c r="T19" s="29">
        <v>2388</v>
      </c>
      <c r="U19" s="37">
        <v>428</v>
      </c>
      <c r="V19" s="38" t="s">
        <v>500</v>
      </c>
      <c r="W19" s="29">
        <v>1</v>
      </c>
      <c r="X19" s="39">
        <f t="shared" si="9"/>
        <v>1.3698630136986301E-2</v>
      </c>
      <c r="Y19" s="40">
        <f t="shared" si="10"/>
        <v>11.040000000000001</v>
      </c>
      <c r="Z19" s="29">
        <v>0</v>
      </c>
      <c r="AA19" s="29" t="s">
        <v>58</v>
      </c>
      <c r="AB19" s="41">
        <f t="shared" si="11"/>
        <v>-0.69</v>
      </c>
      <c r="AC19" s="42">
        <v>0.23106038888888888</v>
      </c>
      <c r="AD19" s="40">
        <f t="shared" si="12"/>
        <v>-23.277023576666668</v>
      </c>
      <c r="AE19" s="40">
        <v>-7.32</v>
      </c>
      <c r="AF19" s="40">
        <v>-9.1364599999999996</v>
      </c>
      <c r="AG19" s="40">
        <v>0</v>
      </c>
    </row>
    <row r="20" spans="1:33" ht="15.75" customHeight="1" x14ac:dyDescent="0.2">
      <c r="A20" s="29" t="s">
        <v>48</v>
      </c>
      <c r="B20" s="29" t="s">
        <v>452</v>
      </c>
      <c r="C20" s="16">
        <f t="shared" si="4"/>
        <v>34.683962264150949</v>
      </c>
      <c r="D20" s="30">
        <v>53</v>
      </c>
      <c r="E20" s="30">
        <v>0</v>
      </c>
      <c r="F20" s="33">
        <v>1838.2500000000002</v>
      </c>
      <c r="G20" s="31">
        <v>-1.55</v>
      </c>
      <c r="H20" s="32">
        <f t="shared" si="1"/>
        <v>8.431932544539643E-4</v>
      </c>
      <c r="I20" s="32">
        <f t="shared" si="2"/>
        <v>0.36549455360079791</v>
      </c>
      <c r="J20" s="33">
        <f t="shared" si="5"/>
        <v>671.87036315666683</v>
      </c>
      <c r="K20" s="33">
        <f t="shared" si="3"/>
        <v>12.676799304842771</v>
      </c>
      <c r="L20" s="30">
        <v>105</v>
      </c>
      <c r="M20" s="34">
        <f t="shared" si="6"/>
        <v>0.50476190476190474</v>
      </c>
      <c r="N20" s="30">
        <v>181</v>
      </c>
      <c r="O20" s="35">
        <f t="shared" ref="O20:P20" si="28">D20/7</f>
        <v>7.5714285714285712</v>
      </c>
      <c r="P20" s="35">
        <f t="shared" si="28"/>
        <v>0</v>
      </c>
      <c r="Q20" s="30">
        <f t="shared" si="8"/>
        <v>23</v>
      </c>
      <c r="R20" s="30"/>
      <c r="S20" s="36">
        <v>3.3054662379421198</v>
      </c>
      <c r="T20" s="29">
        <v>2588</v>
      </c>
      <c r="U20" s="37">
        <v>428</v>
      </c>
      <c r="V20" s="38" t="s">
        <v>501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58</v>
      </c>
      <c r="AB20" s="41">
        <f t="shared" si="11"/>
        <v>-0.69</v>
      </c>
      <c r="AC20" s="42">
        <v>0.23106038888888888</v>
      </c>
      <c r="AD20" s="40">
        <f t="shared" si="12"/>
        <v>-16.899756843333332</v>
      </c>
      <c r="AE20" s="40">
        <v>-7.32</v>
      </c>
      <c r="AF20" s="40">
        <v>-9.1364599999999996</v>
      </c>
      <c r="AG20" s="40">
        <v>0</v>
      </c>
    </row>
    <row r="21" spans="1:33" ht="15.75" customHeight="1" x14ac:dyDescent="0.2">
      <c r="A21" s="29" t="s">
        <v>49</v>
      </c>
      <c r="B21" s="29" t="s">
        <v>502</v>
      </c>
      <c r="C21" s="16">
        <f t="shared" si="4"/>
        <v>35.693833333333345</v>
      </c>
      <c r="D21" s="30">
        <v>60</v>
      </c>
      <c r="E21" s="30">
        <v>2</v>
      </c>
      <c r="F21" s="33">
        <v>2141.6300000000006</v>
      </c>
      <c r="G21" s="31">
        <v>0</v>
      </c>
      <c r="H21" s="32">
        <f t="shared" si="1"/>
        <v>0</v>
      </c>
      <c r="I21" s="32">
        <f t="shared" si="2"/>
        <v>0.38002180572741323</v>
      </c>
      <c r="J21" s="33">
        <f t="shared" si="5"/>
        <v>813.86609980000026</v>
      </c>
      <c r="K21" s="33">
        <f t="shared" si="3"/>
        <v>13.564434996666671</v>
      </c>
      <c r="L21" s="30">
        <v>55</v>
      </c>
      <c r="M21" s="34">
        <f t="shared" si="6"/>
        <v>1.0909090909090908</v>
      </c>
      <c r="N21" s="30">
        <v>344</v>
      </c>
      <c r="O21" s="35">
        <f t="shared" ref="O21:P21" si="29">D21/7</f>
        <v>8.5714285714285712</v>
      </c>
      <c r="P21" s="35">
        <f t="shared" si="29"/>
        <v>0.2857142857142857</v>
      </c>
      <c r="Q21" s="30">
        <f t="shared" si="8"/>
        <v>38</v>
      </c>
      <c r="R21" s="30"/>
      <c r="S21" s="36">
        <v>2.3690036900368998</v>
      </c>
      <c r="T21" s="29">
        <v>4160</v>
      </c>
      <c r="U21" s="37">
        <v>988</v>
      </c>
      <c r="V21" s="38" t="s">
        <v>503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58</v>
      </c>
      <c r="AB21" s="41">
        <f t="shared" si="11"/>
        <v>-0.69</v>
      </c>
      <c r="AC21" s="42">
        <v>0.23106038888888888</v>
      </c>
      <c r="AD21" s="40">
        <f t="shared" si="12"/>
        <v>-19.131800200000001</v>
      </c>
      <c r="AE21" s="40">
        <v>-7.32</v>
      </c>
      <c r="AF21" s="40">
        <v>-9.1364599999999996</v>
      </c>
      <c r="AG21" s="40">
        <v>0</v>
      </c>
    </row>
    <row r="22" spans="1:33" ht="15.75" customHeight="1" x14ac:dyDescent="0.2">
      <c r="A22" s="29" t="s">
        <v>50</v>
      </c>
      <c r="B22" s="29" t="s">
        <v>504</v>
      </c>
      <c r="C22" s="16">
        <f t="shared" si="4"/>
        <v>32.704047619047635</v>
      </c>
      <c r="D22" s="30">
        <v>42</v>
      </c>
      <c r="E22" s="30">
        <v>0</v>
      </c>
      <c r="F22" s="31">
        <v>1373.5700000000006</v>
      </c>
      <c r="G22" s="31">
        <v>-6.01</v>
      </c>
      <c r="H22" s="32">
        <f t="shared" si="1"/>
        <v>4.3754595688607041E-3</v>
      </c>
      <c r="I22" s="32">
        <f t="shared" si="2"/>
        <v>0.33268120289464698</v>
      </c>
      <c r="J22" s="33">
        <f t="shared" si="5"/>
        <v>456.96091986000044</v>
      </c>
      <c r="K22" s="33">
        <f t="shared" si="3"/>
        <v>10.880021901428583</v>
      </c>
      <c r="L22" s="30">
        <v>117</v>
      </c>
      <c r="M22" s="34">
        <f t="shared" si="6"/>
        <v>0.35897435897435898</v>
      </c>
      <c r="N22" s="30">
        <v>299</v>
      </c>
      <c r="O22" s="35">
        <f t="shared" ref="O22:P22" si="30">D22/7</f>
        <v>6</v>
      </c>
      <c r="P22" s="35">
        <f t="shared" si="30"/>
        <v>0</v>
      </c>
      <c r="Q22" s="30">
        <f t="shared" si="8"/>
        <v>49</v>
      </c>
      <c r="R22" s="30"/>
      <c r="S22" s="36">
        <v>2.1345029239766</v>
      </c>
      <c r="T22" s="29">
        <v>4160</v>
      </c>
      <c r="U22" s="37">
        <v>988</v>
      </c>
      <c r="V22" s="38" t="s">
        <v>505</v>
      </c>
      <c r="W22" s="29">
        <v>0</v>
      </c>
      <c r="X22" s="39">
        <f t="shared" si="9"/>
        <v>0</v>
      </c>
      <c r="Y22" s="40">
        <f t="shared" si="10"/>
        <v>6.01</v>
      </c>
      <c r="Z22" s="29">
        <v>1</v>
      </c>
      <c r="AA22" s="29" t="s">
        <v>58</v>
      </c>
      <c r="AB22" s="41">
        <f t="shared" si="11"/>
        <v>-0.69</v>
      </c>
      <c r="AC22" s="42">
        <v>0.23106038888888888</v>
      </c>
      <c r="AD22" s="40">
        <f t="shared" si="12"/>
        <v>-13.392260139999999</v>
      </c>
      <c r="AE22" s="40">
        <v>-7.32</v>
      </c>
      <c r="AF22" s="40">
        <v>-9.1364599999999996</v>
      </c>
      <c r="AG22" s="40">
        <v>0</v>
      </c>
    </row>
    <row r="23" spans="1:33" ht="15.75" customHeight="1" x14ac:dyDescent="0.2">
      <c r="A23" s="29" t="s">
        <v>51</v>
      </c>
      <c r="B23" s="29" t="s">
        <v>506</v>
      </c>
      <c r="C23" s="16">
        <f t="shared" si="4"/>
        <v>27.124567901234574</v>
      </c>
      <c r="D23" s="30">
        <v>81</v>
      </c>
      <c r="E23" s="30">
        <v>3</v>
      </c>
      <c r="F23" s="33">
        <v>2197.0900000000006</v>
      </c>
      <c r="G23" s="31">
        <v>-29.130000000000003</v>
      </c>
      <c r="H23" s="32">
        <f t="shared" si="1"/>
        <v>1.3258446399555774E-2</v>
      </c>
      <c r="I23" s="32">
        <f t="shared" si="2"/>
        <v>0.2182866017004311</v>
      </c>
      <c r="J23" s="33">
        <f t="shared" si="5"/>
        <v>479.59530973000028</v>
      </c>
      <c r="K23" s="33">
        <f t="shared" si="3"/>
        <v>5.9209297497530899</v>
      </c>
      <c r="L23" s="30">
        <v>198</v>
      </c>
      <c r="M23" s="34">
        <f t="shared" si="6"/>
        <v>0.40909090909090912</v>
      </c>
      <c r="N23" s="30">
        <v>169</v>
      </c>
      <c r="O23" s="35">
        <f t="shared" ref="O23:P23" si="31">D23/7</f>
        <v>11.571428571428571</v>
      </c>
      <c r="P23" s="35">
        <f t="shared" si="31"/>
        <v>0.42857142857142855</v>
      </c>
      <c r="Q23" s="30">
        <f t="shared" si="8"/>
        <v>14</v>
      </c>
      <c r="R23" s="30"/>
      <c r="S23" s="36">
        <v>3.0649350649350602</v>
      </c>
      <c r="T23" s="29">
        <v>4160</v>
      </c>
      <c r="U23" s="37">
        <v>988</v>
      </c>
      <c r="V23" s="38" t="s">
        <v>507</v>
      </c>
      <c r="W23" s="29">
        <v>1</v>
      </c>
      <c r="X23" s="39">
        <f t="shared" si="9"/>
        <v>1.2345679012345678E-2</v>
      </c>
      <c r="Y23" s="40">
        <f t="shared" si="10"/>
        <v>4.8550000000000004</v>
      </c>
      <c r="Z23" s="29">
        <v>5</v>
      </c>
      <c r="AA23" s="29" t="s">
        <v>58</v>
      </c>
      <c r="AB23" s="41">
        <f t="shared" si="11"/>
        <v>-0.69</v>
      </c>
      <c r="AC23" s="42">
        <v>0.23106038888888888</v>
      </c>
      <c r="AD23" s="40">
        <f t="shared" si="12"/>
        <v>-25.82793027</v>
      </c>
      <c r="AE23" s="40">
        <v>-7.32</v>
      </c>
      <c r="AF23" s="40">
        <v>-9.1364599999999996</v>
      </c>
      <c r="AG23" s="40">
        <v>0</v>
      </c>
    </row>
    <row r="24" spans="1:33" ht="15.75" customHeight="1" x14ac:dyDescent="0.2">
      <c r="A24" s="29" t="s">
        <v>52</v>
      </c>
      <c r="B24" s="29" t="s">
        <v>508</v>
      </c>
      <c r="C24" s="16">
        <f t="shared" si="4"/>
        <v>24.544308943089401</v>
      </c>
      <c r="D24" s="30">
        <v>123</v>
      </c>
      <c r="E24" s="30">
        <v>8</v>
      </c>
      <c r="F24" s="33">
        <v>3018.9499999999962</v>
      </c>
      <c r="G24" s="33">
        <v>-77.55</v>
      </c>
      <c r="H24" s="32">
        <f t="shared" si="1"/>
        <v>2.5687739114592854E-2</v>
      </c>
      <c r="I24" s="32">
        <f t="shared" si="2"/>
        <v>0.14084126255486087</v>
      </c>
      <c r="J24" s="33">
        <f t="shared" si="5"/>
        <v>425.1927295899967</v>
      </c>
      <c r="K24" s="33">
        <f t="shared" si="3"/>
        <v>3.4568514600812739</v>
      </c>
      <c r="L24" s="30">
        <v>203</v>
      </c>
      <c r="M24" s="34">
        <f t="shared" si="6"/>
        <v>0.60591133004926112</v>
      </c>
      <c r="N24" s="30">
        <v>62</v>
      </c>
      <c r="O24" s="35">
        <f t="shared" ref="O24:P24" si="32">D24/7</f>
        <v>17.571428571428573</v>
      </c>
      <c r="P24" s="35">
        <f t="shared" si="32"/>
        <v>1.1428571428571428</v>
      </c>
      <c r="Q24" s="30">
        <f t="shared" si="8"/>
        <v>3</v>
      </c>
      <c r="R24" s="30"/>
      <c r="S24" s="36">
        <v>4.1622718052738303</v>
      </c>
      <c r="T24" s="29">
        <v>4160</v>
      </c>
      <c r="U24" s="37">
        <v>200</v>
      </c>
      <c r="V24" s="38" t="s">
        <v>509</v>
      </c>
      <c r="W24" s="29">
        <v>6</v>
      </c>
      <c r="X24" s="39">
        <f t="shared" si="9"/>
        <v>4.878048780487805E-2</v>
      </c>
      <c r="Y24" s="40">
        <f t="shared" si="10"/>
        <v>3.8774999999999999</v>
      </c>
      <c r="Z24" s="29">
        <v>14</v>
      </c>
      <c r="AA24" s="29" t="s">
        <v>58</v>
      </c>
      <c r="AB24" s="41">
        <f t="shared" si="11"/>
        <v>-0.69</v>
      </c>
      <c r="AC24" s="42">
        <v>0.23106038888888888</v>
      </c>
      <c r="AD24" s="40">
        <f t="shared" si="12"/>
        <v>-39.220190410000001</v>
      </c>
      <c r="AE24" s="40">
        <v>-7.32</v>
      </c>
      <c r="AF24" s="40">
        <v>-9.1364599999999996</v>
      </c>
      <c r="AG24" s="40">
        <v>0</v>
      </c>
    </row>
    <row r="25" spans="1:33" ht="15.75" customHeight="1" x14ac:dyDescent="0.2">
      <c r="A25" s="29" t="s">
        <v>53</v>
      </c>
      <c r="B25" s="15" t="s">
        <v>510</v>
      </c>
      <c r="C25" s="16">
        <f t="shared" si="4"/>
        <v>29.240714285714287</v>
      </c>
      <c r="D25" s="30">
        <v>56</v>
      </c>
      <c r="E25" s="30">
        <v>2</v>
      </c>
      <c r="F25" s="33">
        <v>1637.48</v>
      </c>
      <c r="G25" s="33">
        <v>-6.01</v>
      </c>
      <c r="H25" s="32">
        <f t="shared" si="1"/>
        <v>3.6702738354056231E-3</v>
      </c>
      <c r="I25" s="32">
        <f t="shared" si="2"/>
        <v>0.27500561605587037</v>
      </c>
      <c r="J25" s="33">
        <f t="shared" si="5"/>
        <v>450.31619617916658</v>
      </c>
      <c r="K25" s="33">
        <f t="shared" si="3"/>
        <v>8.0413606460565461</v>
      </c>
      <c r="L25" s="30">
        <v>193</v>
      </c>
      <c r="M25" s="34">
        <f t="shared" si="6"/>
        <v>0.29015544041450775</v>
      </c>
      <c r="N25" s="30">
        <v>236</v>
      </c>
      <c r="O25" s="35">
        <f t="shared" ref="O25:P25" si="33">D25/7</f>
        <v>8</v>
      </c>
      <c r="P25" s="35">
        <f t="shared" si="33"/>
        <v>0.2857142857142857</v>
      </c>
      <c r="Q25" s="30">
        <f t="shared" si="8"/>
        <v>28</v>
      </c>
      <c r="R25" s="30"/>
      <c r="S25" s="36">
        <v>3.4755927475592752</v>
      </c>
      <c r="T25" s="15"/>
      <c r="U25" s="23"/>
      <c r="V25" s="1"/>
      <c r="W25" s="15">
        <v>1</v>
      </c>
      <c r="X25" s="39">
        <f t="shared" si="9"/>
        <v>1.7857142857142856E-2</v>
      </c>
      <c r="Y25" s="40">
        <f t="shared" si="10"/>
        <v>6.01</v>
      </c>
      <c r="Z25" s="15">
        <v>0</v>
      </c>
      <c r="AA25" s="29" t="s">
        <v>58</v>
      </c>
      <c r="AB25" s="41">
        <f t="shared" si="11"/>
        <v>-0.69</v>
      </c>
      <c r="AC25" s="42">
        <v>0.17820657118055558</v>
      </c>
      <c r="AD25" s="40">
        <f t="shared" si="12"/>
        <v>-13.771803820833334</v>
      </c>
      <c r="AE25" s="40">
        <v>-7.32</v>
      </c>
      <c r="AF25" s="40">
        <v>-9.14</v>
      </c>
      <c r="AG25" s="40">
        <v>0</v>
      </c>
    </row>
    <row r="26" spans="1:33" ht="15.75" customHeight="1" x14ac:dyDescent="0.2">
      <c r="A26" s="15" t="s">
        <v>54</v>
      </c>
      <c r="B26" s="51" t="s">
        <v>511</v>
      </c>
      <c r="C26" s="16">
        <f t="shared" si="4"/>
        <v>34.518518518518519</v>
      </c>
      <c r="D26" s="17">
        <v>81</v>
      </c>
      <c r="E26" s="17">
        <v>4</v>
      </c>
      <c r="F26" s="18">
        <v>2796</v>
      </c>
      <c r="G26" s="18">
        <v>-18.89</v>
      </c>
      <c r="H26" s="32">
        <f t="shared" si="1"/>
        <v>6.7560801144492134E-3</v>
      </c>
      <c r="I26" s="32">
        <f t="shared" si="2"/>
        <v>0.36343233529092905</v>
      </c>
      <c r="J26" s="33">
        <f t="shared" si="5"/>
        <v>1016.1568094734376</v>
      </c>
      <c r="K26" s="33">
        <f t="shared" si="3"/>
        <v>12.545145795968367</v>
      </c>
      <c r="L26" s="17">
        <v>210</v>
      </c>
      <c r="M26" s="34">
        <f t="shared" si="6"/>
        <v>0.38571428571428573</v>
      </c>
      <c r="N26" s="17">
        <v>200</v>
      </c>
      <c r="O26" s="35">
        <f t="shared" ref="O26:P26" si="34">D26/7</f>
        <v>11.571428571428571</v>
      </c>
      <c r="P26" s="35">
        <f t="shared" si="34"/>
        <v>0.5714285714285714</v>
      </c>
      <c r="Q26" s="30">
        <f t="shared" si="8"/>
        <v>16</v>
      </c>
      <c r="R26" s="30"/>
      <c r="S26" s="22">
        <v>3.871148459383754</v>
      </c>
      <c r="T26" s="15">
        <v>3960</v>
      </c>
      <c r="U26" s="23">
        <v>988</v>
      </c>
      <c r="V26" s="1" t="s">
        <v>512</v>
      </c>
      <c r="W26" s="15">
        <v>1</v>
      </c>
      <c r="X26" s="39">
        <f t="shared" si="9"/>
        <v>1.2345679012345678E-2</v>
      </c>
      <c r="Y26" s="40">
        <f t="shared" si="10"/>
        <v>4.7225000000000001</v>
      </c>
      <c r="Z26" s="15">
        <v>3</v>
      </c>
      <c r="AA26" s="29" t="s">
        <v>58</v>
      </c>
      <c r="AB26" s="41">
        <f t="shared" si="11"/>
        <v>-0.69</v>
      </c>
      <c r="AC26" s="42">
        <v>0.17820657118055558</v>
      </c>
      <c r="AD26" s="40">
        <f t="shared" si="12"/>
        <v>-19.919930526562503</v>
      </c>
      <c r="AE26" s="26">
        <v>-7.18</v>
      </c>
      <c r="AF26" s="26">
        <v>-9.1364599999999996</v>
      </c>
      <c r="AG26" s="26">
        <v>0</v>
      </c>
    </row>
    <row r="27" spans="1:33" ht="15.75" customHeight="1" x14ac:dyDescent="0.2">
      <c r="A27" s="15" t="s">
        <v>74</v>
      </c>
      <c r="B27" s="52" t="s">
        <v>395</v>
      </c>
      <c r="C27" s="16">
        <f t="shared" si="4"/>
        <v>33.584653465346534</v>
      </c>
      <c r="D27" s="17">
        <v>101</v>
      </c>
      <c r="E27" s="17">
        <v>2</v>
      </c>
      <c r="F27" s="18">
        <v>3392.05</v>
      </c>
      <c r="G27" s="18">
        <v>-30.52</v>
      </c>
      <c r="H27" s="32">
        <f t="shared" si="1"/>
        <v>8.9975088810601254E-3</v>
      </c>
      <c r="I27" s="32">
        <f t="shared" si="2"/>
        <v>0.34784912018067388</v>
      </c>
      <c r="J27" s="33">
        <f t="shared" si="5"/>
        <v>1179.9216081088548</v>
      </c>
      <c r="K27" s="33">
        <f t="shared" si="3"/>
        <v>11.682392159493611</v>
      </c>
      <c r="L27" s="17">
        <v>298</v>
      </c>
      <c r="M27" s="34">
        <f t="shared" si="6"/>
        <v>0.33892617449664431</v>
      </c>
      <c r="N27" s="17">
        <v>157</v>
      </c>
      <c r="O27" s="35">
        <f t="shared" ref="O27:P27" si="35">D27/7</f>
        <v>14.428571428571429</v>
      </c>
      <c r="P27" s="35">
        <f t="shared" si="35"/>
        <v>0.2857142857142857</v>
      </c>
      <c r="Q27" s="30">
        <f t="shared" si="8"/>
        <v>10</v>
      </c>
      <c r="R27" s="30"/>
      <c r="S27" s="22">
        <v>4.5314285714285711</v>
      </c>
      <c r="T27" s="15">
        <v>2960</v>
      </c>
      <c r="U27" s="23">
        <v>988</v>
      </c>
      <c r="V27" s="1" t="s">
        <v>513</v>
      </c>
      <c r="W27" s="15">
        <v>2</v>
      </c>
      <c r="X27" s="39">
        <f t="shared" si="9"/>
        <v>1.9801980198019802E-2</v>
      </c>
      <c r="Y27" s="40">
        <f t="shared" si="10"/>
        <v>6.1040000000000001</v>
      </c>
      <c r="Z27" s="15">
        <v>3</v>
      </c>
      <c r="AA27" s="29" t="s">
        <v>58</v>
      </c>
      <c r="AB27" s="41">
        <f t="shared" si="11"/>
        <v>-0.69</v>
      </c>
      <c r="AC27" s="42">
        <v>0.17820657118055558</v>
      </c>
      <c r="AD27" s="40">
        <f t="shared" si="12"/>
        <v>-24.838431891145834</v>
      </c>
      <c r="AE27" s="26">
        <v>-7.18</v>
      </c>
      <c r="AF27" s="26">
        <v>-9.1364599999999996</v>
      </c>
      <c r="AG27" s="26">
        <v>0</v>
      </c>
    </row>
    <row r="28" spans="1:33" ht="15.75" customHeight="1" x14ac:dyDescent="0.2">
      <c r="A28" s="15" t="s">
        <v>75</v>
      </c>
      <c r="B28" s="52" t="s">
        <v>514</v>
      </c>
      <c r="C28" s="16">
        <f t="shared" si="4"/>
        <v>32.321052631578944</v>
      </c>
      <c r="D28" s="17">
        <v>114</v>
      </c>
      <c r="E28" s="17">
        <v>6</v>
      </c>
      <c r="F28" s="18">
        <v>3684.6</v>
      </c>
      <c r="G28" s="18">
        <v>0</v>
      </c>
      <c r="H28" s="32">
        <f t="shared" si="1"/>
        <v>0</v>
      </c>
      <c r="I28" s="32">
        <f t="shared" si="2"/>
        <v>0.3375666564136881</v>
      </c>
      <c r="J28" s="33">
        <f t="shared" si="5"/>
        <v>1243.7981022218751</v>
      </c>
      <c r="K28" s="33">
        <f t="shared" si="3"/>
        <v>10.910509668612939</v>
      </c>
      <c r="L28" s="17">
        <v>335</v>
      </c>
      <c r="M28" s="34">
        <f t="shared" si="6"/>
        <v>0.34029850746268658</v>
      </c>
      <c r="N28" s="17">
        <v>130</v>
      </c>
      <c r="O28" s="35">
        <f t="shared" ref="O28:P28" si="36">D28/7</f>
        <v>16.285714285714285</v>
      </c>
      <c r="P28" s="35">
        <f t="shared" si="36"/>
        <v>0.8571428571428571</v>
      </c>
      <c r="Q28" s="30">
        <f t="shared" si="8"/>
        <v>7</v>
      </c>
      <c r="R28" s="30"/>
      <c r="S28" s="22">
        <v>5.2244897959183669</v>
      </c>
      <c r="T28" s="15">
        <v>2960</v>
      </c>
      <c r="U28" s="23">
        <v>988</v>
      </c>
      <c r="V28" s="1" t="s">
        <v>515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0.17820657118055558</v>
      </c>
      <c r="AD28" s="40">
        <f t="shared" si="12"/>
        <v>-28.035457778125</v>
      </c>
      <c r="AE28" s="26">
        <v>-7.18</v>
      </c>
      <c r="AF28" s="26">
        <v>-9.1364599999999996</v>
      </c>
      <c r="AG28" s="26">
        <v>0</v>
      </c>
    </row>
    <row r="29" spans="1:33" ht="15.75" customHeight="1" x14ac:dyDescent="0.2">
      <c r="A29" s="15" t="s">
        <v>77</v>
      </c>
      <c r="B29" s="52" t="s">
        <v>516</v>
      </c>
      <c r="C29" s="16">
        <f t="shared" si="4"/>
        <v>32.950897435897438</v>
      </c>
      <c r="D29" s="17">
        <v>78</v>
      </c>
      <c r="E29" s="17">
        <v>2</v>
      </c>
      <c r="F29" s="18">
        <v>2570.17</v>
      </c>
      <c r="G29" s="18">
        <v>0</v>
      </c>
      <c r="H29" s="32">
        <f t="shared" si="1"/>
        <v>0</v>
      </c>
      <c r="I29" s="32">
        <f t="shared" si="2"/>
        <v>0.34655581580133799</v>
      </c>
      <c r="J29" s="33">
        <f t="shared" si="5"/>
        <v>890.70736109812481</v>
      </c>
      <c r="K29" s="33">
        <f t="shared" si="3"/>
        <v>11.419325142283652</v>
      </c>
      <c r="L29" s="17">
        <v>358</v>
      </c>
      <c r="M29" s="34">
        <f t="shared" si="6"/>
        <v>0.21787709497206703</v>
      </c>
      <c r="N29" s="17">
        <v>58</v>
      </c>
      <c r="O29" s="35">
        <f t="shared" ref="O29:P29" si="37">D29/7</f>
        <v>11.142857142857142</v>
      </c>
      <c r="P29" s="35">
        <f t="shared" si="37"/>
        <v>0.2857142857142857</v>
      </c>
      <c r="Q29" s="30">
        <f t="shared" si="8"/>
        <v>5</v>
      </c>
      <c r="R29" s="30"/>
      <c r="S29" s="22">
        <v>6.0031496062992122</v>
      </c>
      <c r="T29" s="15">
        <v>2960</v>
      </c>
      <c r="U29" s="23">
        <v>988</v>
      </c>
      <c r="V29" s="1" t="s">
        <v>517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0.17820657118055558</v>
      </c>
      <c r="AD29" s="40">
        <f t="shared" si="12"/>
        <v>-19.182155321875001</v>
      </c>
      <c r="AE29" s="26">
        <v>-7.18</v>
      </c>
      <c r="AF29" s="26">
        <v>-9.1630126099999991</v>
      </c>
      <c r="AG29" s="26">
        <v>0</v>
      </c>
    </row>
    <row r="30" spans="1:33" ht="15.75" customHeight="1" x14ac:dyDescent="0.2">
      <c r="A30" s="15" t="s">
        <v>78</v>
      </c>
      <c r="B30" s="15" t="s">
        <v>518</v>
      </c>
      <c r="C30" s="16">
        <f t="shared" si="4"/>
        <v>28.349523809523806</v>
      </c>
      <c r="D30" s="17">
        <v>21</v>
      </c>
      <c r="E30" s="17">
        <v>2</v>
      </c>
      <c r="F30" s="18">
        <v>595.33999999999992</v>
      </c>
      <c r="G30" s="18">
        <v>0</v>
      </c>
      <c r="H30" s="32">
        <f t="shared" si="1"/>
        <v>0</v>
      </c>
      <c r="I30" s="32">
        <f t="shared" si="2"/>
        <v>0.29197594187932552</v>
      </c>
      <c r="J30" s="33">
        <f t="shared" si="5"/>
        <v>173.82495723843763</v>
      </c>
      <c r="K30" s="33">
        <f t="shared" si="3"/>
        <v>8.2773789161160778</v>
      </c>
      <c r="L30" s="17">
        <v>222</v>
      </c>
      <c r="M30" s="34">
        <f t="shared" si="6"/>
        <v>9.45945945945946E-2</v>
      </c>
      <c r="N30" s="17">
        <v>1074</v>
      </c>
      <c r="O30" s="35">
        <f t="shared" ref="O30:P30" si="38">D30/7</f>
        <v>3</v>
      </c>
      <c r="P30" s="35">
        <f t="shared" si="38"/>
        <v>0.2857142857142857</v>
      </c>
      <c r="Q30" s="30">
        <f t="shared" si="8"/>
        <v>326</v>
      </c>
      <c r="R30" s="30"/>
      <c r="S30" s="22">
        <v>4.2749445676274949</v>
      </c>
      <c r="T30" s="29">
        <v>1972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0.17820657118055558</v>
      </c>
      <c r="AD30" s="40">
        <f t="shared" si="12"/>
        <v>-5.1644264328125002</v>
      </c>
      <c r="AE30" s="26">
        <v>-7.18</v>
      </c>
      <c r="AF30" s="26">
        <v>-8.3937912537499901</v>
      </c>
      <c r="AG30" s="26">
        <v>0</v>
      </c>
    </row>
    <row r="31" spans="1:33" ht="15.75" customHeight="1" x14ac:dyDescent="0.2">
      <c r="A31" s="15" t="s">
        <v>55</v>
      </c>
      <c r="B31" s="15" t="s">
        <v>519</v>
      </c>
      <c r="C31" s="16">
        <f t="shared" si="4"/>
        <v>32.950000000000024</v>
      </c>
      <c r="D31" s="17">
        <v>65</v>
      </c>
      <c r="E31" s="17">
        <v>6</v>
      </c>
      <c r="F31" s="18">
        <v>2141.7500000000014</v>
      </c>
      <c r="G31" s="43">
        <v>-12.61</v>
      </c>
      <c r="H31" s="32">
        <f t="shared" si="1"/>
        <v>5.8877086494688886E-3</v>
      </c>
      <c r="I31" s="32">
        <f t="shared" si="2"/>
        <v>0.36399950464403175</v>
      </c>
      <c r="J31" s="33">
        <f t="shared" si="5"/>
        <v>779.59593907135547</v>
      </c>
      <c r="K31" s="33">
        <f t="shared" si="3"/>
        <v>11.993783678020854</v>
      </c>
      <c r="L31" s="17">
        <v>323</v>
      </c>
      <c r="M31" s="34">
        <f t="shared" si="6"/>
        <v>0.20123839009287925</v>
      </c>
      <c r="N31" s="17">
        <v>1012</v>
      </c>
      <c r="O31" s="35">
        <f t="shared" ref="O31:P31" si="39">D31/7</f>
        <v>9.2857142857142865</v>
      </c>
      <c r="P31" s="35">
        <f t="shared" si="39"/>
        <v>0.8571428571428571</v>
      </c>
      <c r="Q31" s="30">
        <f t="shared" si="8"/>
        <v>99</v>
      </c>
      <c r="R31" s="30"/>
      <c r="S31" s="22">
        <v>1.96074380165289</v>
      </c>
      <c r="T31" s="15">
        <v>1692</v>
      </c>
      <c r="U31" s="23">
        <v>280</v>
      </c>
      <c r="V31" s="1" t="s">
        <v>520</v>
      </c>
      <c r="W31" s="15">
        <v>0</v>
      </c>
      <c r="X31" s="39">
        <f t="shared" si="9"/>
        <v>0</v>
      </c>
      <c r="Y31" s="40">
        <f t="shared" si="10"/>
        <v>6.3049999999999997</v>
      </c>
      <c r="Z31" s="15">
        <v>2</v>
      </c>
      <c r="AA31" s="15" t="s">
        <v>58</v>
      </c>
      <c r="AB31" s="41">
        <f t="shared" si="11"/>
        <v>-0.69</v>
      </c>
      <c r="AC31" s="28">
        <v>0.17820657118055558</v>
      </c>
      <c r="AD31" s="40">
        <f t="shared" si="12"/>
        <v>-15.985129434895834</v>
      </c>
      <c r="AE31" s="44">
        <v>-7.18</v>
      </c>
      <c r="AF31" s="44">
        <v>-8.393791253749999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32.508089887640445</v>
      </c>
      <c r="D32" s="17">
        <v>89</v>
      </c>
      <c r="E32" s="17">
        <v>3</v>
      </c>
      <c r="F32" s="18">
        <v>2893.22</v>
      </c>
      <c r="G32" s="18">
        <v>-81.100000000000009</v>
      </c>
      <c r="H32" s="32">
        <f t="shared" si="1"/>
        <v>2.8031051907563203E-2</v>
      </c>
      <c r="I32" s="32">
        <f t="shared" si="2"/>
        <v>0.33532957996414198</v>
      </c>
      <c r="J32" s="33">
        <f t="shared" si="5"/>
        <v>970.18224734385478</v>
      </c>
      <c r="K32" s="33">
        <f t="shared" si="3"/>
        <v>10.900924127459042</v>
      </c>
      <c r="L32" s="17">
        <v>247</v>
      </c>
      <c r="M32" s="34">
        <f t="shared" si="6"/>
        <v>0.36032388663967613</v>
      </c>
      <c r="N32" s="17">
        <v>909</v>
      </c>
      <c r="O32" s="35">
        <f t="shared" ref="O32:P32" si="40">D32/7</f>
        <v>12.714285714285714</v>
      </c>
      <c r="P32" s="35">
        <f t="shared" si="40"/>
        <v>0.42857142857142855</v>
      </c>
      <c r="Q32" s="30">
        <f t="shared" si="8"/>
        <v>69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2.5882352941176472</v>
      </c>
      <c r="T32" s="15">
        <f ca="1">IFERROR(__xludf.DUMMYFUNCTION("IFERROR(VLOOKUP($B$2,IMPORTRANGE(""https://docs.google.com/spreadsheets/d/1KiWZV1ko8G7lnRucBRBd29jj3Be6ltMfljMDqzOkQmI/edit#gid=1381463014"",""Lookup!A:D""),4,FALSE),"""")"),1692)</f>
        <v>1692</v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S210718   - 280 units 09/17")</f>
        <v>| S210718   - 280 units 09/17</v>
      </c>
      <c r="W32" s="15">
        <v>1</v>
      </c>
      <c r="X32" s="39">
        <f t="shared" si="9"/>
        <v>1.1235955056179775E-2</v>
      </c>
      <c r="Y32" s="40">
        <f t="shared" si="10"/>
        <v>4.2684210526315791</v>
      </c>
      <c r="Z32" s="15">
        <v>18</v>
      </c>
      <c r="AA32" s="15" t="s">
        <v>58</v>
      </c>
      <c r="AB32" s="41">
        <f t="shared" si="11"/>
        <v>-0.69</v>
      </c>
      <c r="AC32" s="28">
        <v>0.17820657118055558</v>
      </c>
      <c r="AD32" s="40">
        <f t="shared" si="12"/>
        <v>-21.887331072395835</v>
      </c>
      <c r="AE32" s="26">
        <v>-7.18</v>
      </c>
      <c r="AF32" s="26">
        <v>-8.3937912537499901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08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Info!B1:BJ7000""),3,FALSE),"""")"),"Professional Cornhole Bags - Set of 8 Regulation All Weather Two Sided American Flag Bean Bags for Pro Corn Hole Game - 4 Stars &amp; 4 Stripes")</f>
        <v>Professional Cornhole Bags - Set of 8 Regulation All Weather Two Sided American Flag Bean Bags for Pro Corn Hole Game - 4 Stars &amp; 4 Stripes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Info!B1:BJ7000""),2,FALSE),"""")"),"B07YGBWJC7")</f>
        <v>B07YGBWJC7</v>
      </c>
      <c r="B2" s="47" t="s">
        <v>521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18.32210735735293</v>
      </c>
      <c r="D3" s="5">
        <f>SUM(D4:D99765)</f>
        <v>3931</v>
      </c>
      <c r="E3" s="5"/>
      <c r="F3" s="6">
        <f t="shared" ref="F3:G3" si="0">SUM(F4:F99765)</f>
        <v>113808.14999999988</v>
      </c>
      <c r="G3" s="6">
        <f t="shared" si="0"/>
        <v>-3650.4699999999993</v>
      </c>
      <c r="H3" s="7">
        <f t="shared" ref="H3:H32" si="1">G3/F3*-1</f>
        <v>3.2075646603516562E-2</v>
      </c>
      <c r="I3" s="8">
        <f t="shared" ref="I3:I32" si="2">J3/F3</f>
        <v>0.22795809159158006</v>
      </c>
      <c r="J3" s="6">
        <f>SUM(J4:J99765)</f>
        <v>25943.488681568255</v>
      </c>
      <c r="K3" s="6">
        <f t="shared" ref="K3:K32" si="3">J3/D3</f>
        <v>6.5997172937085358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Sheet!a1:g5000""),2,FALSE),"""")"),"3.5 - March
17 - April
13 - May
17 - June
50 - July
28 - Aug
23 - Sept
15 - Oct
12.5 - Nov
8 - Dec
2 - Jan
1.5 - Feb")</f>
        <v>3.5 - March
17 - April
13 - May
17 - June
50 - July
28 - Aug
23 - Sept
15 - Oct
12.5 - Nov
8 - Dec
2 -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QTY-35")</f>
        <v>Del QTY-35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558</v>
      </c>
      <c r="X3" s="7">
        <f>W3/D3</f>
        <v>0.1419486135843297</v>
      </c>
      <c r="Y3" s="6"/>
      <c r="Z3" s="5"/>
      <c r="AA3" s="5"/>
      <c r="AB3" s="5"/>
      <c r="AC3" s="5"/>
      <c r="AD3" s="6">
        <f>SUM(AD4:AD99765)</f>
        <v>-1190.4341631097341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SUM(AG4:AG99765)</f>
        <v>-3290</v>
      </c>
    </row>
    <row r="4" spans="1:33" ht="15.75" customHeight="1" x14ac:dyDescent="0.2">
      <c r="A4" s="15" t="s">
        <v>32</v>
      </c>
      <c r="B4" s="15" t="s">
        <v>522</v>
      </c>
      <c r="C4" s="16">
        <f t="shared" ref="C4:C32" si="4">IFERROR(F4/D4," - ")</f>
        <v>20.023913043478267</v>
      </c>
      <c r="D4" s="17">
        <v>92</v>
      </c>
      <c r="E4" s="17">
        <v>4</v>
      </c>
      <c r="F4" s="18">
        <v>1842.2000000000005</v>
      </c>
      <c r="G4" s="18">
        <v>-44.639999999999993</v>
      </c>
      <c r="H4" s="19">
        <f t="shared" si="1"/>
        <v>2.4231896645315373E-2</v>
      </c>
      <c r="I4" s="19">
        <f t="shared" si="2"/>
        <v>8.8762949389960946E-2</v>
      </c>
      <c r="J4" s="18">
        <f t="shared" ref="J4:J32" si="5">F4*0.85+G4+AF4*D4+D4*AE4+AG4+AD4</f>
        <v>163.5191053661861</v>
      </c>
      <c r="K4" s="18">
        <f t="shared" si="3"/>
        <v>1.7773815800672401</v>
      </c>
      <c r="L4" s="17">
        <v>107</v>
      </c>
      <c r="M4" s="20">
        <f t="shared" ref="M4:M32" si="6">IFERROR(D4/L4,"-")</f>
        <v>0.85981308411214952</v>
      </c>
      <c r="N4" s="17">
        <v>994</v>
      </c>
      <c r="O4" s="21">
        <f t="shared" ref="O4:P4" si="7">D4/7</f>
        <v>13.142857142857142</v>
      </c>
      <c r="P4" s="21">
        <f t="shared" si="7"/>
        <v>0.5714285714285714</v>
      </c>
      <c r="Q4" s="17">
        <f t="shared" ref="Q4:Q32" si="8">ROUNDDOWN(N4/(O4+P4),0)</f>
        <v>72</v>
      </c>
      <c r="R4" s="17"/>
      <c r="S4" s="22">
        <v>0.87493319080705501</v>
      </c>
      <c r="T4" s="15">
        <v>3524</v>
      </c>
      <c r="U4" s="23">
        <v>548</v>
      </c>
      <c r="V4" s="24" t="s">
        <v>523</v>
      </c>
      <c r="W4" s="15">
        <v>7</v>
      </c>
      <c r="X4" s="25">
        <f t="shared" ref="X4:X32" si="9">IFERROR(W4/D4,0)</f>
        <v>7.6086956521739135E-2</v>
      </c>
      <c r="Y4" s="26">
        <f t="shared" ref="Y4:Y32" si="10">IFERROR(G4/(W4+Z4)*-1,0)</f>
        <v>4.4639999999999995</v>
      </c>
      <c r="Z4" s="15">
        <v>3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0.22110846354166666</v>
      </c>
      <c r="AD4" s="26">
        <f t="shared" ref="AD4:AD32" si="12">IFERROR(AB4*AC4*D4*2,0)</f>
        <v>-28.07193053125</v>
      </c>
      <c r="AE4" s="26">
        <v>-7.32</v>
      </c>
      <c r="AF4" s="26">
        <v>-7.132597435897436</v>
      </c>
      <c r="AG4" s="26">
        <v>0</v>
      </c>
    </row>
    <row r="5" spans="1:33" ht="15.75" customHeight="1" x14ac:dyDescent="0.2">
      <c r="A5" s="29" t="s">
        <v>33</v>
      </c>
      <c r="B5" s="29" t="s">
        <v>524</v>
      </c>
      <c r="C5" s="16">
        <f t="shared" si="4"/>
        <v>19.695555555555561</v>
      </c>
      <c r="D5" s="30">
        <v>63</v>
      </c>
      <c r="E5" s="30">
        <v>4</v>
      </c>
      <c r="F5" s="31">
        <v>1240.8200000000004</v>
      </c>
      <c r="G5" s="31">
        <v>-4.43</v>
      </c>
      <c r="H5" s="32">
        <f t="shared" si="1"/>
        <v>3.570219693428538E-3</v>
      </c>
      <c r="I5" s="32">
        <f t="shared" si="2"/>
        <v>9.7119579711774054E-2</v>
      </c>
      <c r="J5" s="33">
        <f t="shared" si="5"/>
        <v>120.50791689796351</v>
      </c>
      <c r="K5" s="33">
        <f t="shared" si="3"/>
        <v>1.9128240777454526</v>
      </c>
      <c r="L5" s="30">
        <v>118</v>
      </c>
      <c r="M5" s="34">
        <f t="shared" si="6"/>
        <v>0.53389830508474578</v>
      </c>
      <c r="N5" s="30">
        <v>911</v>
      </c>
      <c r="O5" s="35">
        <f t="shared" ref="O5:P5" si="13">D5/7</f>
        <v>9</v>
      </c>
      <c r="P5" s="35">
        <f t="shared" si="13"/>
        <v>0.5714285714285714</v>
      </c>
      <c r="Q5" s="30">
        <f t="shared" si="8"/>
        <v>95</v>
      </c>
      <c r="R5" s="30"/>
      <c r="S5" s="36">
        <v>0.88946986201888101</v>
      </c>
      <c r="T5" s="29">
        <v>3708</v>
      </c>
      <c r="U5" s="37">
        <v>548</v>
      </c>
      <c r="V5" s="38" t="s">
        <v>525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58</v>
      </c>
      <c r="AB5" s="41">
        <f t="shared" si="11"/>
        <v>-0.69</v>
      </c>
      <c r="AC5" s="42">
        <v>0.22136467265353418</v>
      </c>
      <c r="AD5" s="40">
        <f t="shared" si="12"/>
        <v>-19.245444640498263</v>
      </c>
      <c r="AE5" s="40">
        <v>-7.32</v>
      </c>
      <c r="AF5" s="40">
        <v>-7.132597435897436</v>
      </c>
      <c r="AG5" s="40">
        <v>0</v>
      </c>
    </row>
    <row r="6" spans="1:33" ht="15.75" customHeight="1" x14ac:dyDescent="0.2">
      <c r="A6" s="29" t="s">
        <v>34</v>
      </c>
      <c r="B6" s="29" t="s">
        <v>452</v>
      </c>
      <c r="C6" s="16">
        <f t="shared" si="4"/>
        <v>28.78529411764708</v>
      </c>
      <c r="D6" s="30">
        <v>68</v>
      </c>
      <c r="E6" s="30">
        <v>5</v>
      </c>
      <c r="F6" s="31">
        <v>1957.4000000000015</v>
      </c>
      <c r="G6" s="31">
        <v>-41.81</v>
      </c>
      <c r="H6" s="32">
        <f t="shared" si="1"/>
        <v>2.135996730356594E-2</v>
      </c>
      <c r="I6" s="32">
        <f t="shared" si="2"/>
        <v>0.19148204564229343</v>
      </c>
      <c r="J6" s="33">
        <f t="shared" si="5"/>
        <v>374.80695614022545</v>
      </c>
      <c r="K6" s="33">
        <f t="shared" si="3"/>
        <v>5.5118670020621394</v>
      </c>
      <c r="L6" s="30">
        <v>124</v>
      </c>
      <c r="M6" s="34">
        <f t="shared" si="6"/>
        <v>0.54838709677419351</v>
      </c>
      <c r="N6" s="30">
        <v>838</v>
      </c>
      <c r="O6" s="35">
        <f t="shared" ref="O6:P6" si="14">D6/7</f>
        <v>9.7142857142857135</v>
      </c>
      <c r="P6" s="35">
        <f t="shared" si="14"/>
        <v>0.7142857142857143</v>
      </c>
      <c r="Q6" s="30">
        <f t="shared" si="8"/>
        <v>80</v>
      </c>
      <c r="R6" s="30"/>
      <c r="S6" s="36">
        <v>0.92484829625019405</v>
      </c>
      <c r="T6" s="29">
        <v>3708</v>
      </c>
      <c r="U6" s="37">
        <v>548</v>
      </c>
      <c r="V6" s="38" t="s">
        <v>526</v>
      </c>
      <c r="W6" s="29">
        <v>9</v>
      </c>
      <c r="X6" s="39">
        <f t="shared" si="9"/>
        <v>0.13235294117647059</v>
      </c>
      <c r="Y6" s="40">
        <f t="shared" si="10"/>
        <v>3.4841666666666669</v>
      </c>
      <c r="Z6" s="29">
        <v>3</v>
      </c>
      <c r="AA6" s="29" t="s">
        <v>58</v>
      </c>
      <c r="AB6" s="41">
        <f t="shared" si="11"/>
        <v>-0.69</v>
      </c>
      <c r="AC6" s="42">
        <v>0.22110846354166666</v>
      </c>
      <c r="AD6" s="40">
        <f t="shared" si="12"/>
        <v>-20.748818218749999</v>
      </c>
      <c r="AE6" s="40">
        <v>-7.32</v>
      </c>
      <c r="AF6" s="40">
        <v>-7.3332974358974363</v>
      </c>
      <c r="AG6" s="40">
        <v>-230</v>
      </c>
    </row>
    <row r="7" spans="1:33" ht="15.75" customHeight="1" x14ac:dyDescent="0.2">
      <c r="A7" s="29" t="s">
        <v>35</v>
      </c>
      <c r="B7" s="29" t="s">
        <v>527</v>
      </c>
      <c r="C7" s="16">
        <f t="shared" si="4"/>
        <v>29.95000000000001</v>
      </c>
      <c r="D7" s="30">
        <v>76</v>
      </c>
      <c r="E7" s="30">
        <v>5</v>
      </c>
      <c r="F7" s="31">
        <v>2276.2000000000007</v>
      </c>
      <c r="G7" s="31">
        <v>-49.830000000000005</v>
      </c>
      <c r="H7" s="32">
        <f t="shared" si="1"/>
        <v>2.1891749406906243E-2</v>
      </c>
      <c r="I7" s="32">
        <f t="shared" si="2"/>
        <v>0.16171669414618459</v>
      </c>
      <c r="J7" s="33">
        <f t="shared" si="5"/>
        <v>368.09953921554546</v>
      </c>
      <c r="K7" s="33">
        <f t="shared" si="3"/>
        <v>4.8434149896782301</v>
      </c>
      <c r="L7" s="30">
        <v>123</v>
      </c>
      <c r="M7" s="34">
        <f t="shared" si="6"/>
        <v>0.61788617886178865</v>
      </c>
      <c r="N7" s="30">
        <v>754</v>
      </c>
      <c r="O7" s="35">
        <f t="shared" ref="O7:P7" si="15">D7/7</f>
        <v>10.857142857142858</v>
      </c>
      <c r="P7" s="35">
        <f t="shared" si="15"/>
        <v>0.7142857142857143</v>
      </c>
      <c r="Q7" s="30">
        <f t="shared" si="8"/>
        <v>65</v>
      </c>
      <c r="R7" s="30"/>
      <c r="S7" s="36">
        <v>0.97521497218007003</v>
      </c>
      <c r="T7" s="29">
        <v>3708</v>
      </c>
      <c r="U7" s="37">
        <v>548</v>
      </c>
      <c r="V7" s="38" t="s">
        <v>528</v>
      </c>
      <c r="W7" s="29">
        <v>11</v>
      </c>
      <c r="X7" s="39">
        <f t="shared" si="9"/>
        <v>0.14473684210526316</v>
      </c>
      <c r="Y7" s="40">
        <f t="shared" si="10"/>
        <v>3.5592857142857146</v>
      </c>
      <c r="Z7" s="29">
        <v>3</v>
      </c>
      <c r="AA7" s="29" t="s">
        <v>58</v>
      </c>
      <c r="AB7" s="41">
        <f t="shared" si="11"/>
        <v>-0.69</v>
      </c>
      <c r="AC7" s="42">
        <v>0.22110846354166666</v>
      </c>
      <c r="AD7" s="40">
        <f t="shared" si="12"/>
        <v>-23.18985565625</v>
      </c>
      <c r="AE7" s="40">
        <v>-7.32</v>
      </c>
      <c r="AF7" s="40">
        <v>-7.3332974358974363</v>
      </c>
      <c r="AG7" s="40">
        <v>-380</v>
      </c>
    </row>
    <row r="8" spans="1:33" ht="15.75" customHeight="1" x14ac:dyDescent="0.2">
      <c r="A8" s="29" t="s">
        <v>36</v>
      </c>
      <c r="B8" s="29" t="s">
        <v>506</v>
      </c>
      <c r="C8" s="16">
        <f t="shared" si="4"/>
        <v>28.078125000000025</v>
      </c>
      <c r="D8" s="30">
        <v>48</v>
      </c>
      <c r="E8" s="30">
        <v>3</v>
      </c>
      <c r="F8" s="31">
        <v>1347.7500000000011</v>
      </c>
      <c r="G8" s="31">
        <v>-32.099999999999994</v>
      </c>
      <c r="H8" s="32">
        <f t="shared" si="1"/>
        <v>2.3817473567056182E-2</v>
      </c>
      <c r="I8" s="32">
        <f t="shared" si="2"/>
        <v>0.16000094629938852</v>
      </c>
      <c r="J8" s="33">
        <f t="shared" si="5"/>
        <v>215.64127537500104</v>
      </c>
      <c r="K8" s="33">
        <f t="shared" si="3"/>
        <v>4.4925265703125215</v>
      </c>
      <c r="L8" s="30">
        <v>76</v>
      </c>
      <c r="M8" s="34">
        <f t="shared" si="6"/>
        <v>0.63157894736842102</v>
      </c>
      <c r="N8" s="30">
        <v>696</v>
      </c>
      <c r="O8" s="35">
        <f t="shared" ref="O8:P8" si="16">D8/7</f>
        <v>6.8571428571428568</v>
      </c>
      <c r="P8" s="35">
        <f t="shared" si="16"/>
        <v>0.42857142857142855</v>
      </c>
      <c r="Q8" s="30">
        <f t="shared" si="8"/>
        <v>95</v>
      </c>
      <c r="R8" s="30"/>
      <c r="S8" s="36">
        <v>1.01154401154401</v>
      </c>
      <c r="T8" s="29">
        <v>3708</v>
      </c>
      <c r="U8" s="37">
        <v>548</v>
      </c>
      <c r="V8" s="38" t="s">
        <v>529</v>
      </c>
      <c r="W8" s="29">
        <v>4</v>
      </c>
      <c r="X8" s="39">
        <f t="shared" si="9"/>
        <v>8.3333333333333329E-2</v>
      </c>
      <c r="Y8" s="40">
        <f t="shared" si="10"/>
        <v>3.566666666666666</v>
      </c>
      <c r="Z8" s="29">
        <v>5</v>
      </c>
      <c r="AA8" s="29" t="s">
        <v>58</v>
      </c>
      <c r="AB8" s="41">
        <f t="shared" si="11"/>
        <v>-0.69</v>
      </c>
      <c r="AC8" s="42">
        <v>0.22110846354166666</v>
      </c>
      <c r="AD8" s="40">
        <f t="shared" si="12"/>
        <v>-14.646224624999999</v>
      </c>
      <c r="AE8" s="40">
        <v>-7.32</v>
      </c>
      <c r="AF8" s="40">
        <v>-7.33</v>
      </c>
      <c r="AG8" s="40">
        <v>-180</v>
      </c>
    </row>
    <row r="9" spans="1:33" ht="15.75" customHeight="1" x14ac:dyDescent="0.2">
      <c r="A9" s="29" t="s">
        <v>37</v>
      </c>
      <c r="B9" s="29" t="s">
        <v>527</v>
      </c>
      <c r="C9" s="16">
        <f t="shared" si="4"/>
        <v>29.950000000000024</v>
      </c>
      <c r="D9" s="30">
        <v>50</v>
      </c>
      <c r="E9" s="30">
        <v>1</v>
      </c>
      <c r="F9" s="31">
        <v>1497.5000000000011</v>
      </c>
      <c r="G9" s="31">
        <v>-48.1</v>
      </c>
      <c r="H9" s="32">
        <f t="shared" si="1"/>
        <v>3.2120200333889792E-2</v>
      </c>
      <c r="I9" s="32">
        <f t="shared" si="2"/>
        <v>0.16640626898864624</v>
      </c>
      <c r="J9" s="33">
        <f t="shared" si="5"/>
        <v>249.19338781049794</v>
      </c>
      <c r="K9" s="33">
        <f t="shared" si="3"/>
        <v>4.9838677562099587</v>
      </c>
      <c r="L9" s="30">
        <v>115</v>
      </c>
      <c r="M9" s="34">
        <f t="shared" si="6"/>
        <v>0.43478260869565216</v>
      </c>
      <c r="N9" s="30">
        <v>650</v>
      </c>
      <c r="O9" s="35">
        <f t="shared" ref="O9:P9" si="17">D9/7</f>
        <v>7.1428571428571432</v>
      </c>
      <c r="P9" s="35">
        <f t="shared" si="17"/>
        <v>0.14285714285714285</v>
      </c>
      <c r="Q9" s="30">
        <f t="shared" si="8"/>
        <v>89</v>
      </c>
      <c r="R9" s="30"/>
      <c r="S9" s="36">
        <v>1.0383343062852599</v>
      </c>
      <c r="T9" s="29">
        <v>3708</v>
      </c>
      <c r="U9" s="37">
        <v>548</v>
      </c>
      <c r="V9" s="38" t="s">
        <v>530</v>
      </c>
      <c r="W9" s="29">
        <v>11</v>
      </c>
      <c r="X9" s="39">
        <f t="shared" si="9"/>
        <v>0.22</v>
      </c>
      <c r="Y9" s="40">
        <f t="shared" si="10"/>
        <v>3.7</v>
      </c>
      <c r="Z9" s="29">
        <v>2</v>
      </c>
      <c r="AA9" s="29" t="s">
        <v>58</v>
      </c>
      <c r="AB9" s="41">
        <f t="shared" si="11"/>
        <v>-0.69</v>
      </c>
      <c r="AC9" s="42">
        <v>0.22110846354166666</v>
      </c>
      <c r="AD9" s="40">
        <f t="shared" si="12"/>
        <v>-15.256483984374999</v>
      </c>
      <c r="AE9" s="40">
        <v>-7.32</v>
      </c>
      <c r="AF9" s="40">
        <v>-7.6865025641025602</v>
      </c>
      <c r="AG9" s="40">
        <v>-210</v>
      </c>
    </row>
    <row r="10" spans="1:33" ht="15.75" customHeight="1" x14ac:dyDescent="0.2">
      <c r="A10" s="29" t="s">
        <v>38</v>
      </c>
      <c r="B10" s="29" t="s">
        <v>506</v>
      </c>
      <c r="C10" s="16">
        <f t="shared" si="4"/>
        <v>29.950000000000017</v>
      </c>
      <c r="D10" s="30">
        <v>40</v>
      </c>
      <c r="E10" s="30">
        <v>3</v>
      </c>
      <c r="F10" s="31">
        <v>1198.0000000000007</v>
      </c>
      <c r="G10" s="31">
        <v>-35.949999999999996</v>
      </c>
      <c r="H10" s="32">
        <f t="shared" si="1"/>
        <v>3.0008347245408993E-2</v>
      </c>
      <c r="I10" s="32">
        <f t="shared" si="2"/>
        <v>0.1600499978596811</v>
      </c>
      <c r="J10" s="33">
        <f t="shared" si="5"/>
        <v>191.73989743589809</v>
      </c>
      <c r="K10" s="33">
        <f t="shared" si="3"/>
        <v>4.7934974358974518</v>
      </c>
      <c r="L10" s="30">
        <v>91</v>
      </c>
      <c r="M10" s="34">
        <f t="shared" si="6"/>
        <v>0.43956043956043955</v>
      </c>
      <c r="N10" s="30">
        <v>605</v>
      </c>
      <c r="O10" s="35">
        <f t="shared" ref="O10:P10" si="18">D10/7</f>
        <v>5.7142857142857144</v>
      </c>
      <c r="P10" s="35">
        <f t="shared" si="18"/>
        <v>0.42857142857142855</v>
      </c>
      <c r="Q10" s="30">
        <f t="shared" si="8"/>
        <v>98</v>
      </c>
      <c r="R10" s="30"/>
      <c r="S10" s="36">
        <v>1.0680672268907501</v>
      </c>
      <c r="T10" s="29">
        <v>3988</v>
      </c>
      <c r="U10" s="37">
        <v>548</v>
      </c>
      <c r="V10" s="38" t="s">
        <v>531</v>
      </c>
      <c r="W10" s="29">
        <v>2</v>
      </c>
      <c r="X10" s="39">
        <f t="shared" si="9"/>
        <v>0.05</v>
      </c>
      <c r="Y10" s="40">
        <f t="shared" si="10"/>
        <v>11.983333333333333</v>
      </c>
      <c r="Z10" s="29">
        <v>1</v>
      </c>
      <c r="AA10" s="29" t="s">
        <v>58</v>
      </c>
      <c r="AB10" s="41">
        <f t="shared" si="11"/>
        <v>-0.69</v>
      </c>
      <c r="AC10" s="42">
        <v>0.1875</v>
      </c>
      <c r="AD10" s="40">
        <f t="shared" si="12"/>
        <v>-10.35</v>
      </c>
      <c r="AE10" s="40">
        <v>-7.32</v>
      </c>
      <c r="AF10" s="40">
        <v>-7.6865025641025602</v>
      </c>
      <c r="AG10" s="40">
        <v>-180</v>
      </c>
    </row>
    <row r="11" spans="1:33" ht="15.75" customHeight="1" x14ac:dyDescent="0.2">
      <c r="A11" s="29" t="s">
        <v>39</v>
      </c>
      <c r="B11" s="29" t="s">
        <v>532</v>
      </c>
      <c r="C11" s="16">
        <f t="shared" si="4"/>
        <v>29.950000000000024</v>
      </c>
      <c r="D11" s="30">
        <v>43</v>
      </c>
      <c r="E11" s="30">
        <v>2</v>
      </c>
      <c r="F11" s="31">
        <v>1287.850000000001</v>
      </c>
      <c r="G11" s="31">
        <v>-25.880000000000003</v>
      </c>
      <c r="H11" s="32">
        <f t="shared" si="1"/>
        <v>2.0095508017238018E-2</v>
      </c>
      <c r="I11" s="32">
        <f t="shared" si="2"/>
        <v>0.22703470104716419</v>
      </c>
      <c r="J11" s="33">
        <f t="shared" si="5"/>
        <v>292.38663974359065</v>
      </c>
      <c r="K11" s="33">
        <f t="shared" si="3"/>
        <v>6.7996892963625735</v>
      </c>
      <c r="L11" s="30">
        <v>75</v>
      </c>
      <c r="M11" s="34">
        <f t="shared" si="6"/>
        <v>0.57333333333333336</v>
      </c>
      <c r="N11" s="30">
        <v>566</v>
      </c>
      <c r="O11" s="35">
        <f t="shared" ref="O11:P11" si="19">D11/7</f>
        <v>6.1428571428571432</v>
      </c>
      <c r="P11" s="35">
        <f t="shared" si="19"/>
        <v>0.2857142857142857</v>
      </c>
      <c r="Q11" s="30">
        <f t="shared" si="8"/>
        <v>88</v>
      </c>
      <c r="R11" s="30"/>
      <c r="S11" s="36">
        <v>1.11059907834101</v>
      </c>
      <c r="T11" s="29">
        <v>6092</v>
      </c>
      <c r="U11" s="37">
        <v>548</v>
      </c>
      <c r="V11" s="38" t="s">
        <v>533</v>
      </c>
      <c r="W11" s="29">
        <v>6</v>
      </c>
      <c r="X11" s="39">
        <f t="shared" si="9"/>
        <v>0.13953488372093023</v>
      </c>
      <c r="Y11" s="40">
        <f t="shared" si="10"/>
        <v>3.2350000000000003</v>
      </c>
      <c r="Z11" s="29">
        <v>2</v>
      </c>
      <c r="AA11" s="29" t="s">
        <v>58</v>
      </c>
      <c r="AB11" s="41">
        <f t="shared" si="11"/>
        <v>-0.69</v>
      </c>
      <c r="AC11" s="42">
        <v>0.1875</v>
      </c>
      <c r="AD11" s="40">
        <f t="shared" si="12"/>
        <v>-11.126249999999999</v>
      </c>
      <c r="AE11" s="40">
        <v>-7.32</v>
      </c>
      <c r="AF11" s="40">
        <v>-7.6865025641025602</v>
      </c>
      <c r="AG11" s="40">
        <v>-120</v>
      </c>
    </row>
    <row r="12" spans="1:33" ht="15.75" customHeight="1" x14ac:dyDescent="0.2">
      <c r="A12" s="29" t="s">
        <v>40</v>
      </c>
      <c r="B12" s="29" t="s">
        <v>506</v>
      </c>
      <c r="C12" s="16">
        <f t="shared" si="4"/>
        <v>29.950000000000024</v>
      </c>
      <c r="D12" s="30">
        <v>53</v>
      </c>
      <c r="E12" s="30">
        <v>1</v>
      </c>
      <c r="F12" s="31">
        <v>1587.3500000000013</v>
      </c>
      <c r="G12" s="31">
        <v>-38.32</v>
      </c>
      <c r="H12" s="32">
        <f t="shared" si="1"/>
        <v>2.414086370365702E-2</v>
      </c>
      <c r="I12" s="32">
        <f t="shared" si="2"/>
        <v>0.25025898590862261</v>
      </c>
      <c r="J12" s="33">
        <f t="shared" si="5"/>
        <v>397.24860128205239</v>
      </c>
      <c r="K12" s="33">
        <f t="shared" si="3"/>
        <v>7.4952566279632524</v>
      </c>
      <c r="L12" s="30">
        <v>78</v>
      </c>
      <c r="M12" s="34">
        <f t="shared" si="6"/>
        <v>0.67948717948717952</v>
      </c>
      <c r="N12" s="30">
        <v>513</v>
      </c>
      <c r="O12" s="35">
        <f t="shared" ref="O12:P12" si="20">D12/7</f>
        <v>7.5714285714285712</v>
      </c>
      <c r="P12" s="35">
        <f t="shared" si="20"/>
        <v>0.14285714285714285</v>
      </c>
      <c r="Q12" s="30">
        <f t="shared" si="8"/>
        <v>66</v>
      </c>
      <c r="R12" s="30"/>
      <c r="S12" s="36">
        <v>1.14271506713078</v>
      </c>
      <c r="T12" s="29">
        <v>3504</v>
      </c>
      <c r="U12" s="37">
        <v>548</v>
      </c>
      <c r="V12" s="38" t="s">
        <v>534</v>
      </c>
      <c r="W12" s="29">
        <v>8</v>
      </c>
      <c r="X12" s="39">
        <f t="shared" si="9"/>
        <v>0.15094339622641509</v>
      </c>
      <c r="Y12" s="40">
        <f t="shared" si="10"/>
        <v>3.4836363636363639</v>
      </c>
      <c r="Z12" s="29">
        <v>3</v>
      </c>
      <c r="AA12" s="29" t="s">
        <v>58</v>
      </c>
      <c r="AB12" s="41">
        <f t="shared" si="11"/>
        <v>-0.69</v>
      </c>
      <c r="AC12" s="42">
        <v>0.1875</v>
      </c>
      <c r="AD12" s="40">
        <f t="shared" si="12"/>
        <v>-13.713749999999999</v>
      </c>
      <c r="AE12" s="40">
        <v>-7.32</v>
      </c>
      <c r="AF12" s="40">
        <v>-7.7736820512820497</v>
      </c>
      <c r="AG12" s="40">
        <v>-100</v>
      </c>
    </row>
    <row r="13" spans="1:33" ht="15.75" customHeight="1" x14ac:dyDescent="0.2">
      <c r="A13" s="29" t="s">
        <v>41</v>
      </c>
      <c r="B13" s="29" t="s">
        <v>535</v>
      </c>
      <c r="C13" s="16">
        <f t="shared" si="4"/>
        <v>29.950000000000028</v>
      </c>
      <c r="D13" s="30">
        <v>49</v>
      </c>
      <c r="E13" s="30">
        <v>0</v>
      </c>
      <c r="F13" s="33">
        <v>1467.5500000000013</v>
      </c>
      <c r="G13" s="31">
        <v>-92.740000000000009</v>
      </c>
      <c r="H13" s="32">
        <f t="shared" si="1"/>
        <v>6.3193758304657371E-2</v>
      </c>
      <c r="I13" s="32">
        <f t="shared" si="2"/>
        <v>9.721723280297162E-2</v>
      </c>
      <c r="J13" s="33">
        <f t="shared" si="5"/>
        <v>142.67115000000112</v>
      </c>
      <c r="K13" s="33">
        <f t="shared" si="3"/>
        <v>2.9116561224490023</v>
      </c>
      <c r="L13" s="30">
        <v>77</v>
      </c>
      <c r="M13" s="34">
        <f t="shared" si="6"/>
        <v>0.63636363636363635</v>
      </c>
      <c r="N13" s="30">
        <v>463</v>
      </c>
      <c r="O13" s="35">
        <f t="shared" ref="O13:P13" si="21">D13/7</f>
        <v>7</v>
      </c>
      <c r="P13" s="35">
        <f t="shared" si="21"/>
        <v>0</v>
      </c>
      <c r="Q13" s="30">
        <f t="shared" si="8"/>
        <v>66</v>
      </c>
      <c r="R13" s="30"/>
      <c r="S13" s="36">
        <v>1.15881147540983</v>
      </c>
      <c r="T13" s="29">
        <v>2956</v>
      </c>
      <c r="U13" s="37">
        <v>184</v>
      </c>
      <c r="V13" s="38" t="s">
        <v>536</v>
      </c>
      <c r="W13" s="29">
        <v>15</v>
      </c>
      <c r="X13" s="39">
        <f t="shared" si="9"/>
        <v>0.30612244897959184</v>
      </c>
      <c r="Y13" s="40">
        <f t="shared" si="10"/>
        <v>5.4552941176470595</v>
      </c>
      <c r="Z13" s="29">
        <v>2</v>
      </c>
      <c r="AA13" s="29" t="s">
        <v>58</v>
      </c>
      <c r="AB13" s="41">
        <f t="shared" si="11"/>
        <v>-0.69</v>
      </c>
      <c r="AC13" s="42">
        <v>0.1875</v>
      </c>
      <c r="AD13" s="40">
        <f t="shared" si="12"/>
        <v>-12.678749999999999</v>
      </c>
      <c r="AE13" s="40">
        <v>-7.32</v>
      </c>
      <c r="AF13" s="40">
        <v>-7.9724000000000004</v>
      </c>
      <c r="AG13" s="40">
        <v>-250</v>
      </c>
    </row>
    <row r="14" spans="1:33" ht="15.75" customHeight="1" x14ac:dyDescent="0.2">
      <c r="A14" s="29" t="s">
        <v>42</v>
      </c>
      <c r="B14" s="29" t="s">
        <v>537</v>
      </c>
      <c r="C14" s="16">
        <f t="shared" si="4"/>
        <v>29.95</v>
      </c>
      <c r="D14" s="30">
        <v>83</v>
      </c>
      <c r="E14" s="30">
        <v>3</v>
      </c>
      <c r="F14" s="33">
        <v>2485.85</v>
      </c>
      <c r="G14" s="31">
        <v>-104.6</v>
      </c>
      <c r="H14" s="32">
        <f t="shared" si="1"/>
        <v>4.2078162399179352E-2</v>
      </c>
      <c r="I14" s="32">
        <f t="shared" si="2"/>
        <v>0.15995617193314154</v>
      </c>
      <c r="J14" s="33">
        <f t="shared" si="5"/>
        <v>397.62704999999988</v>
      </c>
      <c r="K14" s="33">
        <f t="shared" si="3"/>
        <v>4.7906873493975892</v>
      </c>
      <c r="L14" s="30">
        <v>166</v>
      </c>
      <c r="M14" s="34">
        <f t="shared" si="6"/>
        <v>0.5</v>
      </c>
      <c r="N14" s="30">
        <v>385</v>
      </c>
      <c r="O14" s="35">
        <f t="shared" ref="O14:P14" si="22">D14/7</f>
        <v>11.857142857142858</v>
      </c>
      <c r="P14" s="35">
        <f t="shared" si="22"/>
        <v>0.42857142857142855</v>
      </c>
      <c r="Q14" s="30">
        <f t="shared" si="8"/>
        <v>31</v>
      </c>
      <c r="R14" s="30"/>
      <c r="S14" s="36">
        <v>1.17029525797793</v>
      </c>
      <c r="T14" s="29">
        <v>2956</v>
      </c>
      <c r="U14" s="37">
        <v>184</v>
      </c>
      <c r="V14" s="38" t="s">
        <v>536</v>
      </c>
      <c r="W14" s="29">
        <v>13</v>
      </c>
      <c r="X14" s="39">
        <f t="shared" si="9"/>
        <v>0.15662650602409639</v>
      </c>
      <c r="Y14" s="40">
        <f t="shared" si="10"/>
        <v>6.1529411764705877</v>
      </c>
      <c r="Z14" s="29">
        <v>4</v>
      </c>
      <c r="AA14" s="29" t="s">
        <v>58</v>
      </c>
      <c r="AB14" s="41">
        <f t="shared" si="11"/>
        <v>-0.69</v>
      </c>
      <c r="AC14" s="42">
        <v>0.1875</v>
      </c>
      <c r="AD14" s="40">
        <f t="shared" si="12"/>
        <v>-21.476249999999997</v>
      </c>
      <c r="AE14" s="40">
        <v>-7.32</v>
      </c>
      <c r="AF14" s="40">
        <v>-7.9724000000000004</v>
      </c>
      <c r="AG14" s="40">
        <v>-320</v>
      </c>
    </row>
    <row r="15" spans="1:33" ht="15.75" customHeight="1" x14ac:dyDescent="0.2">
      <c r="A15" s="29" t="s">
        <v>43</v>
      </c>
      <c r="B15" s="29" t="s">
        <v>452</v>
      </c>
      <c r="C15" s="16">
        <f t="shared" si="4"/>
        <v>29.985897435897353</v>
      </c>
      <c r="D15" s="30">
        <v>117</v>
      </c>
      <c r="E15" s="30">
        <v>3</v>
      </c>
      <c r="F15" s="33">
        <v>3508.3499999999904</v>
      </c>
      <c r="G15" s="31">
        <v>-94.460000000000008</v>
      </c>
      <c r="H15" s="32">
        <f t="shared" si="1"/>
        <v>2.6924337651602681E-2</v>
      </c>
      <c r="I15" s="32">
        <f t="shared" si="2"/>
        <v>0.1761947781720733</v>
      </c>
      <c r="J15" s="33">
        <f t="shared" si="5"/>
        <v>618.15294999999162</v>
      </c>
      <c r="K15" s="33">
        <f t="shared" si="3"/>
        <v>5.2833585470084756</v>
      </c>
      <c r="L15" s="30">
        <v>148</v>
      </c>
      <c r="M15" s="34">
        <f t="shared" si="6"/>
        <v>0.79054054054054057</v>
      </c>
      <c r="N15" s="30">
        <v>281</v>
      </c>
      <c r="O15" s="35">
        <f t="shared" ref="O15:P15" si="23">D15/7</f>
        <v>16.714285714285715</v>
      </c>
      <c r="P15" s="35">
        <f t="shared" si="23"/>
        <v>0.42857142857142855</v>
      </c>
      <c r="Q15" s="30">
        <f t="shared" si="8"/>
        <v>16</v>
      </c>
      <c r="R15" s="30"/>
      <c r="S15" s="36">
        <v>1.2376438727149599</v>
      </c>
      <c r="T15" s="29">
        <v>2956</v>
      </c>
      <c r="U15" s="37">
        <v>184</v>
      </c>
      <c r="V15" s="38" t="s">
        <v>536</v>
      </c>
      <c r="W15" s="29">
        <v>17</v>
      </c>
      <c r="X15" s="39">
        <f t="shared" si="9"/>
        <v>0.14529914529914531</v>
      </c>
      <c r="Y15" s="40">
        <f t="shared" si="10"/>
        <v>2.9518750000000002</v>
      </c>
      <c r="Z15" s="29">
        <v>15</v>
      </c>
      <c r="AA15" s="29" t="s">
        <v>58</v>
      </c>
      <c r="AB15" s="41">
        <f t="shared" si="11"/>
        <v>-0.69</v>
      </c>
      <c r="AC15" s="42">
        <v>0.1875</v>
      </c>
      <c r="AD15" s="40">
        <f t="shared" si="12"/>
        <v>-30.273749999999996</v>
      </c>
      <c r="AE15" s="40">
        <v>-7.32</v>
      </c>
      <c r="AF15" s="40">
        <v>-7.9724000000000004</v>
      </c>
      <c r="AG15" s="40">
        <v>-450</v>
      </c>
    </row>
    <row r="16" spans="1:33" ht="15.75" customHeight="1" x14ac:dyDescent="0.2">
      <c r="A16" s="29" t="s">
        <v>44</v>
      </c>
      <c r="B16" s="29" t="s">
        <v>535</v>
      </c>
      <c r="C16" s="16">
        <f t="shared" si="4"/>
        <v>29.989999999999913</v>
      </c>
      <c r="D16" s="30">
        <v>117</v>
      </c>
      <c r="E16" s="30">
        <v>2</v>
      </c>
      <c r="F16" s="33">
        <v>3508.8299999999899</v>
      </c>
      <c r="G16" s="31">
        <v>-127.53</v>
      </c>
      <c r="H16" s="32">
        <f t="shared" si="1"/>
        <v>3.6345448482827711E-2</v>
      </c>
      <c r="I16" s="32">
        <f t="shared" si="2"/>
        <v>0.13220062171052893</v>
      </c>
      <c r="J16" s="33">
        <f t="shared" si="5"/>
        <v>463.86950747655391</v>
      </c>
      <c r="K16" s="33">
        <f t="shared" si="3"/>
        <v>3.9646966450987513</v>
      </c>
      <c r="L16" s="30">
        <v>199</v>
      </c>
      <c r="M16" s="34">
        <f t="shared" si="6"/>
        <v>0.5879396984924623</v>
      </c>
      <c r="N16" s="30">
        <v>336</v>
      </c>
      <c r="O16" s="35">
        <f t="shared" ref="O16:P16" si="24">D16/7</f>
        <v>16.714285714285715</v>
      </c>
      <c r="P16" s="35">
        <f t="shared" si="24"/>
        <v>0.2857142857142857</v>
      </c>
      <c r="Q16" s="30">
        <f t="shared" si="8"/>
        <v>19</v>
      </c>
      <c r="R16" s="30"/>
      <c r="S16" s="36">
        <v>1.3270825820411101</v>
      </c>
      <c r="T16" s="29">
        <v>2956</v>
      </c>
      <c r="U16" s="37">
        <v>184</v>
      </c>
      <c r="V16" s="38" t="s">
        <v>538</v>
      </c>
      <c r="W16" s="29">
        <v>19</v>
      </c>
      <c r="X16" s="39">
        <f t="shared" si="9"/>
        <v>0.1623931623931624</v>
      </c>
      <c r="Y16" s="40">
        <f t="shared" si="10"/>
        <v>4.7233333333333336</v>
      </c>
      <c r="Z16" s="29">
        <v>8</v>
      </c>
      <c r="AA16" s="29" t="s">
        <v>58</v>
      </c>
      <c r="AB16" s="41">
        <f t="shared" si="11"/>
        <v>-0.69</v>
      </c>
      <c r="AC16" s="42">
        <v>0.22110846354166666</v>
      </c>
      <c r="AD16" s="40">
        <f t="shared" si="12"/>
        <v>-35.700172523437502</v>
      </c>
      <c r="AE16" s="40">
        <v>-7.32</v>
      </c>
      <c r="AF16" s="40">
        <v>-9.1364599999999996</v>
      </c>
      <c r="AG16" s="40">
        <v>-430</v>
      </c>
    </row>
    <row r="17" spans="1:33" ht="15.75" customHeight="1" x14ac:dyDescent="0.2">
      <c r="A17" s="29" t="s">
        <v>45</v>
      </c>
      <c r="B17" s="29" t="s">
        <v>535</v>
      </c>
      <c r="C17" s="16">
        <f t="shared" si="4"/>
        <v>32.273741007194154</v>
      </c>
      <c r="D17" s="30">
        <v>139</v>
      </c>
      <c r="E17" s="30">
        <v>5</v>
      </c>
      <c r="F17" s="33">
        <v>4486.0499999999874</v>
      </c>
      <c r="G17" s="31">
        <v>-157.26</v>
      </c>
      <c r="H17" s="32">
        <f t="shared" si="1"/>
        <v>3.505533821513368E-2</v>
      </c>
      <c r="I17" s="32">
        <f t="shared" si="2"/>
        <v>0.19750594276109912</v>
      </c>
      <c r="J17" s="33">
        <f t="shared" si="5"/>
        <v>886.02153452342623</v>
      </c>
      <c r="K17" s="33">
        <f t="shared" si="3"/>
        <v>6.3742556440534264</v>
      </c>
      <c r="L17" s="30">
        <v>183</v>
      </c>
      <c r="M17" s="34">
        <f t="shared" si="6"/>
        <v>0.7595628415300546</v>
      </c>
      <c r="N17" s="30">
        <v>374</v>
      </c>
      <c r="O17" s="35">
        <f t="shared" ref="O17:P17" si="25">D17/7</f>
        <v>19.857142857142858</v>
      </c>
      <c r="P17" s="35">
        <f t="shared" si="25"/>
        <v>0.7142857142857143</v>
      </c>
      <c r="Q17" s="30">
        <f t="shared" si="8"/>
        <v>18</v>
      </c>
      <c r="R17" s="30"/>
      <c r="S17" s="36">
        <v>1.45031871016122</v>
      </c>
      <c r="T17" s="29">
        <v>2956</v>
      </c>
      <c r="U17" s="37">
        <v>184</v>
      </c>
      <c r="V17" s="38" t="s">
        <v>539</v>
      </c>
      <c r="W17" s="29">
        <v>28</v>
      </c>
      <c r="X17" s="39">
        <f t="shared" si="9"/>
        <v>0.20143884892086331</v>
      </c>
      <c r="Y17" s="40">
        <f t="shared" si="10"/>
        <v>3.7442857142857142</v>
      </c>
      <c r="Z17" s="29">
        <v>14</v>
      </c>
      <c r="AA17" s="29" t="s">
        <v>58</v>
      </c>
      <c r="AB17" s="41">
        <f t="shared" si="11"/>
        <v>-0.69</v>
      </c>
      <c r="AC17" s="42">
        <v>0.22110846354166666</v>
      </c>
      <c r="AD17" s="40">
        <f t="shared" si="12"/>
        <v>-42.413025476562495</v>
      </c>
      <c r="AE17" s="40">
        <v>-7.32</v>
      </c>
      <c r="AF17" s="40">
        <v>-9.1364599999999996</v>
      </c>
      <c r="AG17" s="40">
        <v>-440</v>
      </c>
    </row>
    <row r="18" spans="1:33" ht="15.75" customHeight="1" x14ac:dyDescent="0.2">
      <c r="A18" s="29" t="s">
        <v>46</v>
      </c>
      <c r="B18" s="29" t="s">
        <v>506</v>
      </c>
      <c r="C18" s="16">
        <f t="shared" si="4"/>
        <v>35.308235294117594</v>
      </c>
      <c r="D18" s="30">
        <v>102</v>
      </c>
      <c r="E18" s="30">
        <v>3</v>
      </c>
      <c r="F18" s="33">
        <v>3601.4399999999946</v>
      </c>
      <c r="G18" s="31">
        <v>-128.65</v>
      </c>
      <c r="H18" s="32">
        <f t="shared" si="1"/>
        <v>3.5721822382158305E-2</v>
      </c>
      <c r="I18" s="32">
        <f t="shared" si="2"/>
        <v>0.33955635875424051</v>
      </c>
      <c r="J18" s="33">
        <f t="shared" si="5"/>
        <v>1222.8918526718701</v>
      </c>
      <c r="K18" s="33">
        <f t="shared" si="3"/>
        <v>11.989135810508531</v>
      </c>
      <c r="L18" s="30">
        <v>189</v>
      </c>
      <c r="M18" s="34">
        <f t="shared" si="6"/>
        <v>0.53968253968253965</v>
      </c>
      <c r="N18" s="30">
        <v>454</v>
      </c>
      <c r="O18" s="35">
        <f t="shared" ref="O18:P18" si="26">D18/7</f>
        <v>14.571428571428571</v>
      </c>
      <c r="P18" s="35">
        <f t="shared" si="26"/>
        <v>0.42857142857142855</v>
      </c>
      <c r="Q18" s="30">
        <f t="shared" si="8"/>
        <v>30</v>
      </c>
      <c r="R18" s="30"/>
      <c r="S18" s="36">
        <v>1.59807846277021</v>
      </c>
      <c r="T18" s="29">
        <v>3808</v>
      </c>
      <c r="U18" s="37">
        <v>388</v>
      </c>
      <c r="V18" s="38" t="s">
        <v>540</v>
      </c>
      <c r="W18" s="29">
        <v>18</v>
      </c>
      <c r="X18" s="39">
        <f t="shared" si="9"/>
        <v>0.17647058823529413</v>
      </c>
      <c r="Y18" s="40">
        <f t="shared" si="10"/>
        <v>4.7648148148148151</v>
      </c>
      <c r="Z18" s="29">
        <v>9</v>
      </c>
      <c r="AA18" s="29" t="s">
        <v>58</v>
      </c>
      <c r="AB18" s="41">
        <f t="shared" si="11"/>
        <v>-0.69</v>
      </c>
      <c r="AC18" s="42">
        <v>0.22110846354166666</v>
      </c>
      <c r="AD18" s="40">
        <f t="shared" si="12"/>
        <v>-31.123227328124997</v>
      </c>
      <c r="AE18" s="40">
        <v>-7.32</v>
      </c>
      <c r="AF18" s="40">
        <v>-9.1364599999999996</v>
      </c>
      <c r="AG18" s="40">
        <v>0</v>
      </c>
    </row>
    <row r="19" spans="1:33" ht="15.75" customHeight="1" x14ac:dyDescent="0.2">
      <c r="A19" s="29" t="s">
        <v>47</v>
      </c>
      <c r="B19" s="29" t="s">
        <v>541</v>
      </c>
      <c r="C19" s="16">
        <f t="shared" si="4"/>
        <v>35.198617021276569</v>
      </c>
      <c r="D19" s="30">
        <v>94</v>
      </c>
      <c r="E19" s="30">
        <v>2</v>
      </c>
      <c r="F19" s="33">
        <v>3308.6699999999973</v>
      </c>
      <c r="G19" s="31">
        <v>-99.84999999999998</v>
      </c>
      <c r="H19" s="32">
        <f t="shared" si="1"/>
        <v>3.0178289161506E-2</v>
      </c>
      <c r="I19" s="32">
        <f t="shared" si="2"/>
        <v>0.34362147633622375</v>
      </c>
      <c r="J19" s="33">
        <f t="shared" si="5"/>
        <v>1136.9300701093725</v>
      </c>
      <c r="K19" s="33">
        <f t="shared" si="3"/>
        <v>12.09500074584439</v>
      </c>
      <c r="L19" s="30">
        <v>151</v>
      </c>
      <c r="M19" s="34">
        <f t="shared" si="6"/>
        <v>0.62251655629139069</v>
      </c>
      <c r="N19" s="30">
        <v>358</v>
      </c>
      <c r="O19" s="35">
        <f t="shared" ref="O19:P19" si="27">D19/7</f>
        <v>13.428571428571429</v>
      </c>
      <c r="P19" s="35">
        <f t="shared" si="27"/>
        <v>0.2857142857142857</v>
      </c>
      <c r="Q19" s="30">
        <f t="shared" si="8"/>
        <v>26</v>
      </c>
      <c r="R19" s="30"/>
      <c r="S19" s="36">
        <v>1.79566563467492</v>
      </c>
      <c r="T19" s="29">
        <v>3624</v>
      </c>
      <c r="U19" s="37">
        <v>388</v>
      </c>
      <c r="V19" s="38" t="s">
        <v>542</v>
      </c>
      <c r="W19" s="29">
        <v>15</v>
      </c>
      <c r="X19" s="39">
        <f t="shared" si="9"/>
        <v>0.15957446808510639</v>
      </c>
      <c r="Y19" s="40">
        <f t="shared" si="10"/>
        <v>5.5472222222222207</v>
      </c>
      <c r="Z19" s="29">
        <v>3</v>
      </c>
      <c r="AA19" s="29" t="s">
        <v>58</v>
      </c>
      <c r="AB19" s="41">
        <f t="shared" si="11"/>
        <v>-0.69</v>
      </c>
      <c r="AC19" s="42">
        <v>0.22110846354166666</v>
      </c>
      <c r="AD19" s="40">
        <f t="shared" si="12"/>
        <v>-28.682189890625001</v>
      </c>
      <c r="AE19" s="40">
        <v>-7.32</v>
      </c>
      <c r="AF19" s="40">
        <v>-9.1364599999999996</v>
      </c>
      <c r="AG19" s="40">
        <v>0</v>
      </c>
    </row>
    <row r="20" spans="1:33" ht="15.75" customHeight="1" x14ac:dyDescent="0.2">
      <c r="A20" s="29" t="s">
        <v>48</v>
      </c>
      <c r="B20" s="29" t="s">
        <v>506</v>
      </c>
      <c r="C20" s="16">
        <f t="shared" si="4"/>
        <v>35.096315789473636</v>
      </c>
      <c r="D20" s="30">
        <v>76</v>
      </c>
      <c r="E20" s="30">
        <v>2</v>
      </c>
      <c r="F20" s="33">
        <v>2667.3199999999965</v>
      </c>
      <c r="G20" s="31">
        <v>-79.52</v>
      </c>
      <c r="H20" s="32">
        <f t="shared" si="1"/>
        <v>2.9812695889507107E-2</v>
      </c>
      <c r="I20" s="32">
        <f t="shared" si="2"/>
        <v>0.34259900737209942</v>
      </c>
      <c r="J20" s="33">
        <f t="shared" si="5"/>
        <v>913.82118434374706</v>
      </c>
      <c r="K20" s="33">
        <f t="shared" si="3"/>
        <v>12.023962951891409</v>
      </c>
      <c r="L20" s="30">
        <v>148</v>
      </c>
      <c r="M20" s="34">
        <f t="shared" si="6"/>
        <v>0.51351351351351349</v>
      </c>
      <c r="N20" s="30">
        <v>255</v>
      </c>
      <c r="O20" s="35">
        <f t="shared" ref="O20:P20" si="28">D20/7</f>
        <v>10.857142857142858</v>
      </c>
      <c r="P20" s="35">
        <f t="shared" si="28"/>
        <v>0.2857142857142857</v>
      </c>
      <c r="Q20" s="30">
        <f t="shared" si="8"/>
        <v>22</v>
      </c>
      <c r="R20" s="30"/>
      <c r="S20" s="36">
        <v>2.0009751340809299</v>
      </c>
      <c r="T20" s="29">
        <v>4624</v>
      </c>
      <c r="U20" s="37">
        <v>388</v>
      </c>
      <c r="V20" s="38" t="s">
        <v>543</v>
      </c>
      <c r="W20" s="29">
        <v>7</v>
      </c>
      <c r="X20" s="39">
        <f t="shared" si="9"/>
        <v>9.2105263157894732E-2</v>
      </c>
      <c r="Y20" s="40">
        <f t="shared" si="10"/>
        <v>5.301333333333333</v>
      </c>
      <c r="Z20" s="29">
        <v>8</v>
      </c>
      <c r="AA20" s="29" t="s">
        <v>58</v>
      </c>
      <c r="AB20" s="41">
        <f t="shared" si="11"/>
        <v>-0.69</v>
      </c>
      <c r="AC20" s="42">
        <v>0.22110846354166666</v>
      </c>
      <c r="AD20" s="40">
        <f t="shared" si="12"/>
        <v>-23.18985565625</v>
      </c>
      <c r="AE20" s="40">
        <v>-7.32</v>
      </c>
      <c r="AF20" s="40">
        <v>-9.1364599999999996</v>
      </c>
      <c r="AG20" s="40">
        <v>0</v>
      </c>
    </row>
    <row r="21" spans="1:33" ht="15.75" customHeight="1" x14ac:dyDescent="0.2">
      <c r="A21" s="29" t="s">
        <v>49</v>
      </c>
      <c r="B21" s="29" t="s">
        <v>544</v>
      </c>
      <c r="C21" s="16">
        <f t="shared" si="4"/>
        <v>34.570108695652131</v>
      </c>
      <c r="D21" s="30">
        <v>92</v>
      </c>
      <c r="E21" s="30">
        <v>3</v>
      </c>
      <c r="F21" s="33">
        <v>3180.4499999999962</v>
      </c>
      <c r="G21" s="31">
        <v>-100.61000000000001</v>
      </c>
      <c r="H21" s="32">
        <f t="shared" si="1"/>
        <v>3.1633888286248843E-2</v>
      </c>
      <c r="I21" s="32">
        <f t="shared" si="2"/>
        <v>0.33350822980042061</v>
      </c>
      <c r="J21" s="33">
        <f t="shared" si="5"/>
        <v>1060.7062494687464</v>
      </c>
      <c r="K21" s="33">
        <f t="shared" si="3"/>
        <v>11.529415755095069</v>
      </c>
      <c r="L21" s="30">
        <v>81</v>
      </c>
      <c r="M21" s="34">
        <f t="shared" si="6"/>
        <v>1.1358024691358024</v>
      </c>
      <c r="N21" s="30">
        <v>374</v>
      </c>
      <c r="O21" s="35">
        <f t="shared" ref="O21:P21" si="29">D21/7</f>
        <v>13.142857142857142</v>
      </c>
      <c r="P21" s="35">
        <f t="shared" si="29"/>
        <v>0.42857142857142855</v>
      </c>
      <c r="Q21" s="30">
        <f t="shared" si="8"/>
        <v>27</v>
      </c>
      <c r="R21" s="30"/>
      <c r="S21" s="36">
        <v>2.0363636363636299</v>
      </c>
      <c r="T21" s="29">
        <v>7236</v>
      </c>
      <c r="U21" s="37">
        <v>200</v>
      </c>
      <c r="V21" s="38" t="s">
        <v>545</v>
      </c>
      <c r="W21" s="29">
        <v>12</v>
      </c>
      <c r="X21" s="39">
        <f t="shared" si="9"/>
        <v>0.13043478260869565</v>
      </c>
      <c r="Y21" s="40">
        <f t="shared" si="10"/>
        <v>4.1920833333333336</v>
      </c>
      <c r="Z21" s="29">
        <v>12</v>
      </c>
      <c r="AA21" s="29" t="s">
        <v>58</v>
      </c>
      <c r="AB21" s="41">
        <f t="shared" si="11"/>
        <v>-0.69</v>
      </c>
      <c r="AC21" s="42">
        <v>0.22110846354166666</v>
      </c>
      <c r="AD21" s="40">
        <f t="shared" si="12"/>
        <v>-28.07193053125</v>
      </c>
      <c r="AE21" s="40">
        <v>-7.32</v>
      </c>
      <c r="AF21" s="40">
        <v>-9.1364599999999996</v>
      </c>
      <c r="AG21" s="40">
        <v>0</v>
      </c>
    </row>
    <row r="22" spans="1:33" ht="15.75" customHeight="1" x14ac:dyDescent="0.2">
      <c r="A22" s="29" t="s">
        <v>50</v>
      </c>
      <c r="B22" s="29" t="s">
        <v>546</v>
      </c>
      <c r="C22" s="16">
        <f t="shared" si="4"/>
        <v>32.043191489361661</v>
      </c>
      <c r="D22" s="30">
        <v>94</v>
      </c>
      <c r="E22" s="30">
        <v>4</v>
      </c>
      <c r="F22" s="31">
        <v>3012.0599999999963</v>
      </c>
      <c r="G22" s="31">
        <v>-117.91</v>
      </c>
      <c r="H22" s="32">
        <f t="shared" si="1"/>
        <v>3.9145966547811183E-2</v>
      </c>
      <c r="I22" s="32">
        <f t="shared" si="2"/>
        <v>0.28776039325557035</v>
      </c>
      <c r="J22" s="33">
        <f t="shared" si="5"/>
        <v>866.7515701093721</v>
      </c>
      <c r="K22" s="33">
        <f t="shared" si="3"/>
        <v>9.2207613841422571</v>
      </c>
      <c r="L22" s="30">
        <v>158</v>
      </c>
      <c r="M22" s="34">
        <f t="shared" si="6"/>
        <v>0.59493670886075944</v>
      </c>
      <c r="N22" s="30">
        <v>480</v>
      </c>
      <c r="O22" s="35">
        <f t="shared" ref="O22:P22" si="30">D22/7</f>
        <v>13.428571428571429</v>
      </c>
      <c r="P22" s="35">
        <f t="shared" si="30"/>
        <v>0.5714285714285714</v>
      </c>
      <c r="Q22" s="30">
        <f t="shared" si="8"/>
        <v>34</v>
      </c>
      <c r="R22" s="30"/>
      <c r="S22" s="36">
        <v>2.0410447761194002</v>
      </c>
      <c r="T22" s="29">
        <v>7036</v>
      </c>
      <c r="U22" s="37">
        <v>484</v>
      </c>
      <c r="V22" s="38" t="s">
        <v>547</v>
      </c>
      <c r="W22" s="29">
        <v>16</v>
      </c>
      <c r="X22" s="39">
        <f t="shared" si="9"/>
        <v>0.1702127659574468</v>
      </c>
      <c r="Y22" s="40">
        <f t="shared" si="10"/>
        <v>5.6147619047619042</v>
      </c>
      <c r="Z22" s="29">
        <v>5</v>
      </c>
      <c r="AA22" s="29" t="s">
        <v>58</v>
      </c>
      <c r="AB22" s="41">
        <f t="shared" si="11"/>
        <v>-0.69</v>
      </c>
      <c r="AC22" s="42">
        <v>0.22110846354166666</v>
      </c>
      <c r="AD22" s="40">
        <f t="shared" si="12"/>
        <v>-28.682189890625001</v>
      </c>
      <c r="AE22" s="40">
        <v>-7.32</v>
      </c>
      <c r="AF22" s="40">
        <v>-9.1364599999999996</v>
      </c>
      <c r="AG22" s="40">
        <v>0</v>
      </c>
    </row>
    <row r="23" spans="1:33" ht="15.75" customHeight="1" x14ac:dyDescent="0.2">
      <c r="A23" s="29" t="s">
        <v>51</v>
      </c>
      <c r="B23" s="51" t="s">
        <v>479</v>
      </c>
      <c r="C23" s="16">
        <f t="shared" si="4"/>
        <v>26.700258064516046</v>
      </c>
      <c r="D23" s="30">
        <v>155</v>
      </c>
      <c r="E23" s="30">
        <v>5</v>
      </c>
      <c r="F23" s="33">
        <v>4138.5399999999872</v>
      </c>
      <c r="G23" s="31">
        <v>-179.63</v>
      </c>
      <c r="H23" s="32">
        <f t="shared" si="1"/>
        <v>4.3404195682535521E-2</v>
      </c>
      <c r="I23" s="32">
        <f t="shared" si="2"/>
        <v>0.17882697754484159</v>
      </c>
      <c r="J23" s="33">
        <f t="shared" si="5"/>
        <v>740.08259964842637</v>
      </c>
      <c r="K23" s="33">
        <f t="shared" si="3"/>
        <v>4.7747264493446862</v>
      </c>
      <c r="L23" s="30">
        <v>231</v>
      </c>
      <c r="M23" s="34">
        <f t="shared" si="6"/>
        <v>0.67099567099567103</v>
      </c>
      <c r="N23" s="30">
        <v>322</v>
      </c>
      <c r="O23" s="35">
        <f t="shared" ref="O23:P23" si="31">D23/7</f>
        <v>22.142857142857142</v>
      </c>
      <c r="P23" s="35">
        <f t="shared" si="31"/>
        <v>0.7142857142857143</v>
      </c>
      <c r="Q23" s="30">
        <f t="shared" si="8"/>
        <v>14</v>
      </c>
      <c r="R23" s="30"/>
      <c r="S23" s="36">
        <v>2.49783549783549</v>
      </c>
      <c r="T23" s="29">
        <v>7036</v>
      </c>
      <c r="U23" s="37">
        <v>484</v>
      </c>
      <c r="V23" s="38" t="s">
        <v>548</v>
      </c>
      <c r="W23" s="29">
        <v>29</v>
      </c>
      <c r="X23" s="39">
        <f t="shared" si="9"/>
        <v>0.18709677419354839</v>
      </c>
      <c r="Y23" s="40">
        <f t="shared" si="10"/>
        <v>4.0824999999999996</v>
      </c>
      <c r="Z23" s="29">
        <v>15</v>
      </c>
      <c r="AA23" s="29" t="s">
        <v>58</v>
      </c>
      <c r="AB23" s="41">
        <f t="shared" si="11"/>
        <v>-0.69</v>
      </c>
      <c r="AC23" s="42">
        <v>0.22110846354166666</v>
      </c>
      <c r="AD23" s="40">
        <f t="shared" si="12"/>
        <v>-47.295100351562496</v>
      </c>
      <c r="AE23" s="40">
        <v>-7.32</v>
      </c>
      <c r="AF23" s="40">
        <v>-9.1364599999999996</v>
      </c>
      <c r="AG23" s="40">
        <v>0</v>
      </c>
    </row>
    <row r="24" spans="1:33" ht="15.75" customHeight="1" x14ac:dyDescent="0.2">
      <c r="A24" s="29" t="s">
        <v>52</v>
      </c>
      <c r="B24" s="29" t="s">
        <v>549</v>
      </c>
      <c r="C24" s="16">
        <f t="shared" si="4"/>
        <v>24.530927835051468</v>
      </c>
      <c r="D24" s="30">
        <v>194</v>
      </c>
      <c r="E24" s="30">
        <v>6</v>
      </c>
      <c r="F24" s="33">
        <v>4758.9999999999845</v>
      </c>
      <c r="G24" s="33">
        <v>-319.27</v>
      </c>
      <c r="H24" s="32">
        <f t="shared" si="1"/>
        <v>6.7087623450304903E-2</v>
      </c>
      <c r="I24" s="32">
        <f t="shared" si="2"/>
        <v>9.9628409779494331E-2</v>
      </c>
      <c r="J24" s="33">
        <f t="shared" si="5"/>
        <v>474.13160214061196</v>
      </c>
      <c r="K24" s="33">
        <f t="shared" si="3"/>
        <v>2.4439773306217112</v>
      </c>
      <c r="L24" s="30">
        <v>340</v>
      </c>
      <c r="M24" s="34">
        <f t="shared" si="6"/>
        <v>0.57058823529411762</v>
      </c>
      <c r="N24" s="30">
        <v>116</v>
      </c>
      <c r="O24" s="35">
        <f t="shared" ref="O24:P24" si="32">D24/7</f>
        <v>27.714285714285715</v>
      </c>
      <c r="P24" s="35">
        <f t="shared" si="32"/>
        <v>0.8571428571428571</v>
      </c>
      <c r="Q24" s="30">
        <f t="shared" si="8"/>
        <v>4</v>
      </c>
      <c r="R24" s="30"/>
      <c r="S24" s="36">
        <v>3.6468965517241299</v>
      </c>
      <c r="T24" s="29">
        <v>7036</v>
      </c>
      <c r="U24" s="37">
        <v>484</v>
      </c>
      <c r="V24" s="38" t="s">
        <v>550</v>
      </c>
      <c r="W24" s="29">
        <v>44</v>
      </c>
      <c r="X24" s="39">
        <f t="shared" si="9"/>
        <v>0.22680412371134021</v>
      </c>
      <c r="Y24" s="40">
        <f t="shared" si="10"/>
        <v>4.4967605633802812</v>
      </c>
      <c r="Z24" s="29">
        <v>27</v>
      </c>
      <c r="AA24" s="29" t="s">
        <v>58</v>
      </c>
      <c r="AB24" s="41">
        <f t="shared" si="11"/>
        <v>-0.69</v>
      </c>
      <c r="AC24" s="42">
        <v>0.22110846354166666</v>
      </c>
      <c r="AD24" s="40">
        <f t="shared" si="12"/>
        <v>-59.195157859374994</v>
      </c>
      <c r="AE24" s="40">
        <v>-7.32</v>
      </c>
      <c r="AF24" s="40">
        <v>-9.1364599999999996</v>
      </c>
      <c r="AG24" s="40">
        <v>0</v>
      </c>
    </row>
    <row r="25" spans="1:33" ht="15.75" customHeight="1" x14ac:dyDescent="0.2">
      <c r="A25" s="29" t="s">
        <v>53</v>
      </c>
      <c r="B25" s="15" t="s">
        <v>551</v>
      </c>
      <c r="C25" s="16">
        <f t="shared" si="4"/>
        <v>26.401</v>
      </c>
      <c r="D25" s="30">
        <v>100</v>
      </c>
      <c r="E25" s="30">
        <v>6</v>
      </c>
      <c r="F25" s="33">
        <v>2640.1</v>
      </c>
      <c r="G25" s="33">
        <v>-30.27</v>
      </c>
      <c r="H25" s="32">
        <f t="shared" si="1"/>
        <v>1.1465474792621493E-2</v>
      </c>
      <c r="I25" s="32">
        <f t="shared" si="2"/>
        <v>0.20351578805016859</v>
      </c>
      <c r="J25" s="33">
        <f t="shared" si="5"/>
        <v>537.30203203125006</v>
      </c>
      <c r="K25" s="33">
        <f t="shared" si="3"/>
        <v>5.3730203203125004</v>
      </c>
      <c r="L25" s="30">
        <v>263</v>
      </c>
      <c r="M25" s="34">
        <f t="shared" si="6"/>
        <v>0.38022813688212925</v>
      </c>
      <c r="N25" s="30">
        <v>1676</v>
      </c>
      <c r="O25" s="35">
        <f t="shared" ref="O25:P25" si="33">D25/7</f>
        <v>14.285714285714286</v>
      </c>
      <c r="P25" s="35">
        <f t="shared" si="33"/>
        <v>0.8571428571428571</v>
      </c>
      <c r="Q25" s="30">
        <f t="shared" si="8"/>
        <v>110</v>
      </c>
      <c r="R25" s="30"/>
      <c r="S25" s="36">
        <v>1.8957157090667549</v>
      </c>
      <c r="T25" s="15"/>
      <c r="U25" s="23"/>
      <c r="V25" s="1"/>
      <c r="W25" s="15">
        <v>4</v>
      </c>
      <c r="X25" s="39">
        <f t="shared" si="9"/>
        <v>0.04</v>
      </c>
      <c r="Y25" s="40">
        <f t="shared" si="10"/>
        <v>5.0449999999999999</v>
      </c>
      <c r="Z25" s="15">
        <v>2</v>
      </c>
      <c r="AA25" s="29" t="s">
        <v>58</v>
      </c>
      <c r="AB25" s="41">
        <f t="shared" si="11"/>
        <v>-0.69</v>
      </c>
      <c r="AC25" s="42">
        <v>0.22110846354166666</v>
      </c>
      <c r="AD25" s="40">
        <f t="shared" si="12"/>
        <v>-30.512967968749997</v>
      </c>
      <c r="AE25" s="40">
        <v>-7.32</v>
      </c>
      <c r="AF25" s="40">
        <v>-9.14</v>
      </c>
      <c r="AG25" s="40">
        <v>0</v>
      </c>
    </row>
    <row r="26" spans="1:33" ht="15.75" customHeight="1" x14ac:dyDescent="0.2">
      <c r="A26" s="15" t="s">
        <v>54</v>
      </c>
      <c r="B26" s="51" t="s">
        <v>552</v>
      </c>
      <c r="C26" s="16">
        <f t="shared" si="4"/>
        <v>29.457954545454545</v>
      </c>
      <c r="D26" s="17">
        <v>132</v>
      </c>
      <c r="E26" s="17">
        <v>10</v>
      </c>
      <c r="F26" s="18">
        <v>3888.45</v>
      </c>
      <c r="G26" s="18">
        <v>-195.18</v>
      </c>
      <c r="H26" s="32">
        <f t="shared" si="1"/>
        <v>5.0194807699726118E-2</v>
      </c>
      <c r="I26" s="32">
        <f t="shared" si="2"/>
        <v>0.23555726890695525</v>
      </c>
      <c r="J26" s="33">
        <f t="shared" si="5"/>
        <v>915.95266228125013</v>
      </c>
      <c r="K26" s="33">
        <f t="shared" si="3"/>
        <v>6.9390353203125006</v>
      </c>
      <c r="L26" s="17">
        <v>308</v>
      </c>
      <c r="M26" s="34">
        <f t="shared" si="6"/>
        <v>0.42857142857142855</v>
      </c>
      <c r="N26" s="17">
        <v>1584</v>
      </c>
      <c r="O26" s="35">
        <f t="shared" ref="O26:P26" si="34">D26/7</f>
        <v>18.857142857142858</v>
      </c>
      <c r="P26" s="35">
        <f t="shared" si="34"/>
        <v>1.4285714285714286</v>
      </c>
      <c r="Q26" s="30">
        <f t="shared" si="8"/>
        <v>78</v>
      </c>
      <c r="R26" s="30"/>
      <c r="S26" s="22">
        <v>2.0069300069300069</v>
      </c>
      <c r="T26" s="15">
        <v>5552</v>
      </c>
      <c r="U26" s="23">
        <v>1700</v>
      </c>
      <c r="V26" s="1" t="s">
        <v>553</v>
      </c>
      <c r="W26" s="15">
        <v>19</v>
      </c>
      <c r="X26" s="39">
        <f t="shared" si="9"/>
        <v>0.14393939393939395</v>
      </c>
      <c r="Y26" s="40">
        <f t="shared" si="10"/>
        <v>5.2751351351351357</v>
      </c>
      <c r="Z26" s="15">
        <v>18</v>
      </c>
      <c r="AA26" s="29" t="s">
        <v>58</v>
      </c>
      <c r="AB26" s="41">
        <f t="shared" si="11"/>
        <v>-0.69</v>
      </c>
      <c r="AC26" s="42">
        <v>0.22110846354166666</v>
      </c>
      <c r="AD26" s="40">
        <f t="shared" si="12"/>
        <v>-40.277117718749999</v>
      </c>
      <c r="AE26" s="26">
        <v>-7.18</v>
      </c>
      <c r="AF26" s="26">
        <v>-9.1364599999999996</v>
      </c>
      <c r="AG26" s="26">
        <v>0</v>
      </c>
    </row>
    <row r="27" spans="1:33" ht="15.75" customHeight="1" x14ac:dyDescent="0.2">
      <c r="A27" s="15" t="s">
        <v>74</v>
      </c>
      <c r="B27" s="52" t="s">
        <v>479</v>
      </c>
      <c r="C27" s="16">
        <f t="shared" si="4"/>
        <v>27.487935943060496</v>
      </c>
      <c r="D27" s="17">
        <v>281</v>
      </c>
      <c r="E27" s="17">
        <v>5</v>
      </c>
      <c r="F27" s="18">
        <v>7724.11</v>
      </c>
      <c r="G27" s="18">
        <v>-296.2</v>
      </c>
      <c r="H27" s="32">
        <f t="shared" si="1"/>
        <v>3.8347460095726239E-2</v>
      </c>
      <c r="I27" s="32">
        <f t="shared" si="2"/>
        <v>0.20696582518993287</v>
      </c>
      <c r="J27" s="33">
        <f t="shared" si="5"/>
        <v>1598.6268000078123</v>
      </c>
      <c r="K27" s="33">
        <f t="shared" si="3"/>
        <v>5.6890633452235315</v>
      </c>
      <c r="L27" s="17">
        <v>436</v>
      </c>
      <c r="M27" s="34">
        <f t="shared" si="6"/>
        <v>0.64449541284403666</v>
      </c>
      <c r="N27" s="17">
        <v>1332</v>
      </c>
      <c r="O27" s="35">
        <f t="shared" ref="O27:P27" si="35">D27/7</f>
        <v>40.142857142857146</v>
      </c>
      <c r="P27" s="35">
        <f t="shared" si="35"/>
        <v>0.7142857142857143</v>
      </c>
      <c r="Q27" s="30">
        <f t="shared" si="8"/>
        <v>32</v>
      </c>
      <c r="R27" s="30"/>
      <c r="S27" s="22">
        <v>2.4687618326391521</v>
      </c>
      <c r="T27" s="15">
        <v>2828</v>
      </c>
      <c r="U27" s="23">
        <v>1700</v>
      </c>
      <c r="V27" s="1" t="s">
        <v>554</v>
      </c>
      <c r="W27" s="15">
        <v>48</v>
      </c>
      <c r="X27" s="39">
        <f t="shared" si="9"/>
        <v>0.1708185053380783</v>
      </c>
      <c r="Y27" s="40">
        <f t="shared" si="10"/>
        <v>4.6281249999999998</v>
      </c>
      <c r="Z27" s="15">
        <v>16</v>
      </c>
      <c r="AA27" s="29" t="s">
        <v>58</v>
      </c>
      <c r="AB27" s="41">
        <f t="shared" si="11"/>
        <v>-0.69</v>
      </c>
      <c r="AC27" s="42">
        <v>0.22110846354166666</v>
      </c>
      <c r="AD27" s="40">
        <f t="shared" si="12"/>
        <v>-85.741439992187495</v>
      </c>
      <c r="AE27" s="26">
        <v>-7.18</v>
      </c>
      <c r="AF27" s="26">
        <v>-9.1364599999999996</v>
      </c>
      <c r="AG27" s="26">
        <v>0</v>
      </c>
    </row>
    <row r="28" spans="1:33" ht="15.75" customHeight="1" x14ac:dyDescent="0.2">
      <c r="A28" s="15" t="s">
        <v>75</v>
      </c>
      <c r="B28" s="52" t="s">
        <v>479</v>
      </c>
      <c r="C28" s="16">
        <f t="shared" si="4"/>
        <v>27.594778325123151</v>
      </c>
      <c r="D28" s="17">
        <v>406</v>
      </c>
      <c r="E28" s="17">
        <v>4</v>
      </c>
      <c r="F28" s="18">
        <v>11203.48</v>
      </c>
      <c r="G28" s="18">
        <v>-491.00000000000011</v>
      </c>
      <c r="H28" s="32">
        <f t="shared" si="1"/>
        <v>4.3825668453016393E-2</v>
      </c>
      <c r="I28" s="32">
        <f t="shared" si="2"/>
        <v>0.20362605290013053</v>
      </c>
      <c r="J28" s="33">
        <f t="shared" si="5"/>
        <v>2281.3204111455543</v>
      </c>
      <c r="K28" s="33">
        <f t="shared" si="3"/>
        <v>5.619015790998902</v>
      </c>
      <c r="L28" s="17">
        <v>598</v>
      </c>
      <c r="M28" s="34">
        <f t="shared" si="6"/>
        <v>0.67892976588628762</v>
      </c>
      <c r="N28" s="17">
        <v>920</v>
      </c>
      <c r="O28" s="35">
        <f t="shared" ref="O28:P28" si="36">D28/7</f>
        <v>58</v>
      </c>
      <c r="P28" s="35">
        <f t="shared" si="36"/>
        <v>0.5714285714285714</v>
      </c>
      <c r="Q28" s="30">
        <f t="shared" si="8"/>
        <v>15</v>
      </c>
      <c r="R28" s="30"/>
      <c r="S28" s="22">
        <v>3.7431557989049282</v>
      </c>
      <c r="T28" s="15">
        <v>3388</v>
      </c>
      <c r="U28" s="23">
        <v>1700</v>
      </c>
      <c r="V28" s="1" t="s">
        <v>555</v>
      </c>
      <c r="W28" s="15">
        <v>82</v>
      </c>
      <c r="X28" s="39">
        <f t="shared" si="9"/>
        <v>0.2019704433497537</v>
      </c>
      <c r="Y28" s="40">
        <f t="shared" si="10"/>
        <v>4.1965811965811977</v>
      </c>
      <c r="Z28" s="15">
        <v>35</v>
      </c>
      <c r="AA28" s="29" t="s">
        <v>58</v>
      </c>
      <c r="AB28" s="41">
        <f t="shared" si="11"/>
        <v>-0.69</v>
      </c>
      <c r="AC28" s="42">
        <v>0.22516389814814813</v>
      </c>
      <c r="AD28" s="40">
        <f t="shared" si="12"/>
        <v>-126.15482885444443</v>
      </c>
      <c r="AE28" s="26">
        <v>-7.18</v>
      </c>
      <c r="AF28" s="26">
        <v>-9.1364599999999996</v>
      </c>
      <c r="AG28" s="26">
        <v>0</v>
      </c>
    </row>
    <row r="29" spans="1:33" ht="15.75" customHeight="1" x14ac:dyDescent="0.2">
      <c r="A29" s="15" t="s">
        <v>77</v>
      </c>
      <c r="B29" s="52" t="s">
        <v>556</v>
      </c>
      <c r="C29" s="16">
        <f t="shared" si="4"/>
        <v>27.283911007025761</v>
      </c>
      <c r="D29" s="17">
        <v>427</v>
      </c>
      <c r="E29" s="17">
        <v>5</v>
      </c>
      <c r="F29" s="18">
        <v>11650.23</v>
      </c>
      <c r="G29" s="18">
        <v>-432.07</v>
      </c>
      <c r="H29" s="32">
        <f t="shared" si="1"/>
        <v>3.7086821461893883E-2</v>
      </c>
      <c r="I29" s="32">
        <f t="shared" si="2"/>
        <v>0.20252639105899392</v>
      </c>
      <c r="J29" s="33">
        <f t="shared" si="5"/>
        <v>2359.4790369072225</v>
      </c>
      <c r="K29" s="33">
        <f t="shared" si="3"/>
        <v>5.5257120302276874</v>
      </c>
      <c r="L29" s="17">
        <v>609</v>
      </c>
      <c r="M29" s="34">
        <f t="shared" si="6"/>
        <v>0.70114942528735635</v>
      </c>
      <c r="N29" s="17">
        <v>484</v>
      </c>
      <c r="O29" s="35">
        <f t="shared" ref="O29:P29" si="37">D29/7</f>
        <v>61</v>
      </c>
      <c r="P29" s="35">
        <f t="shared" si="37"/>
        <v>0.7142857142857143</v>
      </c>
      <c r="Q29" s="30">
        <f t="shared" si="8"/>
        <v>7</v>
      </c>
      <c r="R29" s="30"/>
      <c r="S29" s="22">
        <v>3.2525027808676308</v>
      </c>
      <c r="T29" s="15">
        <v>3388</v>
      </c>
      <c r="U29" s="23">
        <v>1700</v>
      </c>
      <c r="V29" s="1" t="s">
        <v>557</v>
      </c>
      <c r="W29" s="15">
        <v>73</v>
      </c>
      <c r="X29" s="39">
        <f t="shared" si="9"/>
        <v>0.17096018735362997</v>
      </c>
      <c r="Y29" s="40">
        <f t="shared" si="10"/>
        <v>4.5964893617021279</v>
      </c>
      <c r="Z29" s="15">
        <v>21</v>
      </c>
      <c r="AA29" s="29" t="s">
        <v>58</v>
      </c>
      <c r="AB29" s="41">
        <f t="shared" si="11"/>
        <v>-0.69</v>
      </c>
      <c r="AC29" s="42">
        <v>0.22516389814814813</v>
      </c>
      <c r="AD29" s="40">
        <f t="shared" si="12"/>
        <v>-132.68007862277776</v>
      </c>
      <c r="AE29" s="26">
        <v>-7.18</v>
      </c>
      <c r="AF29" s="26">
        <v>-9.1630126099999991</v>
      </c>
      <c r="AG29" s="26">
        <v>0</v>
      </c>
    </row>
    <row r="30" spans="1:33" ht="15.75" customHeight="1" x14ac:dyDescent="0.2">
      <c r="A30" s="15" t="s">
        <v>78</v>
      </c>
      <c r="B30" s="52" t="s">
        <v>558</v>
      </c>
      <c r="C30" s="16">
        <f t="shared" si="4"/>
        <v>29.471196581196555</v>
      </c>
      <c r="D30" s="17">
        <v>351</v>
      </c>
      <c r="E30" s="17">
        <v>5</v>
      </c>
      <c r="F30" s="18">
        <v>10344.38999999999</v>
      </c>
      <c r="G30" s="18">
        <v>-197.08</v>
      </c>
      <c r="H30" s="32">
        <f t="shared" si="1"/>
        <v>1.905187256087601E-2</v>
      </c>
      <c r="I30" s="32">
        <f t="shared" si="2"/>
        <v>0.29196365188752038</v>
      </c>
      <c r="J30" s="33">
        <f t="shared" si="5"/>
        <v>3020.1858809487444</v>
      </c>
      <c r="K30" s="33">
        <f t="shared" si="3"/>
        <v>8.6045181793411523</v>
      </c>
      <c r="L30" s="17">
        <v>433</v>
      </c>
      <c r="M30" s="34">
        <f t="shared" si="6"/>
        <v>0.81062355658198615</v>
      </c>
      <c r="N30" s="17">
        <v>1787</v>
      </c>
      <c r="O30" s="35">
        <f t="shared" ref="O30:P30" si="38">D30/7</f>
        <v>50.142857142857146</v>
      </c>
      <c r="P30" s="35">
        <f t="shared" si="38"/>
        <v>0.7142857142857143</v>
      </c>
      <c r="Q30" s="30">
        <f t="shared" si="8"/>
        <v>35</v>
      </c>
      <c r="R30" s="30"/>
      <c r="S30" s="22">
        <v>3.3476454293628808</v>
      </c>
      <c r="T30" s="29">
        <v>1128</v>
      </c>
      <c r="U30" s="37" t="s">
        <v>56</v>
      </c>
      <c r="V30" s="38" t="s">
        <v>56</v>
      </c>
      <c r="W30" s="15">
        <v>31</v>
      </c>
      <c r="X30" s="39">
        <f t="shared" si="9"/>
        <v>8.8319088319088315E-2</v>
      </c>
      <c r="Y30" s="40">
        <f t="shared" si="10"/>
        <v>4.3795555555555561</v>
      </c>
      <c r="Z30" s="15">
        <v>14</v>
      </c>
      <c r="AA30" s="29" t="s">
        <v>58</v>
      </c>
      <c r="AB30" s="41">
        <f t="shared" si="11"/>
        <v>-0.69</v>
      </c>
      <c r="AC30" s="42">
        <v>0.22516389814814813</v>
      </c>
      <c r="AD30" s="40">
        <f t="shared" si="12"/>
        <v>-109.064888985</v>
      </c>
      <c r="AE30" s="26">
        <v>-7.18</v>
      </c>
      <c r="AF30" s="26">
        <v>-8.3937912537499901</v>
      </c>
      <c r="AG30" s="26">
        <v>0</v>
      </c>
    </row>
    <row r="31" spans="1:33" ht="15.75" customHeight="1" x14ac:dyDescent="0.2">
      <c r="A31" s="15" t="s">
        <v>55</v>
      </c>
      <c r="B31" s="15" t="s">
        <v>559</v>
      </c>
      <c r="C31" s="16">
        <f t="shared" si="4"/>
        <v>30.526544715447045</v>
      </c>
      <c r="D31" s="17">
        <v>246</v>
      </c>
      <c r="E31" s="17">
        <v>5</v>
      </c>
      <c r="F31" s="18">
        <v>7509.5299999999734</v>
      </c>
      <c r="G31" s="43">
        <v>-40.389999999999986</v>
      </c>
      <c r="H31" s="32">
        <f t="shared" si="1"/>
        <v>5.3784990538689008E-3</v>
      </c>
      <c r="I31" s="32">
        <f t="shared" si="2"/>
        <v>0.3242705217815432</v>
      </c>
      <c r="J31" s="33">
        <f t="shared" si="5"/>
        <v>2435.1192114341434</v>
      </c>
      <c r="K31" s="33">
        <f t="shared" si="3"/>
        <v>9.8988585830656231</v>
      </c>
      <c r="L31" s="17">
        <v>499</v>
      </c>
      <c r="M31" s="34">
        <f t="shared" si="6"/>
        <v>0.49298597194388777</v>
      </c>
      <c r="N31" s="17">
        <v>1534</v>
      </c>
      <c r="O31" s="35">
        <f t="shared" ref="O31:P31" si="39">D31/7</f>
        <v>35.142857142857146</v>
      </c>
      <c r="P31" s="35">
        <f t="shared" si="39"/>
        <v>0.7142857142857143</v>
      </c>
      <c r="Q31" s="30">
        <f t="shared" si="8"/>
        <v>42</v>
      </c>
      <c r="R31" s="30"/>
      <c r="S31" s="22">
        <v>2.43630347435594</v>
      </c>
      <c r="T31" s="15">
        <v>628</v>
      </c>
      <c r="U31" s="23">
        <v>500</v>
      </c>
      <c r="V31" s="1" t="s">
        <v>560</v>
      </c>
      <c r="W31" s="15">
        <v>6</v>
      </c>
      <c r="X31" s="39">
        <f t="shared" si="9"/>
        <v>2.4390243902439025E-2</v>
      </c>
      <c r="Y31" s="40">
        <f t="shared" si="10"/>
        <v>4.4877777777777759</v>
      </c>
      <c r="Z31" s="15">
        <v>3</v>
      </c>
      <c r="AA31" s="15" t="s">
        <v>58</v>
      </c>
      <c r="AB31" s="41">
        <f t="shared" si="11"/>
        <v>-0.69</v>
      </c>
      <c r="AC31" s="28">
        <v>0.22516389814814813</v>
      </c>
      <c r="AD31" s="40">
        <f t="shared" si="12"/>
        <v>-76.43864014333333</v>
      </c>
      <c r="AE31" s="44">
        <v>-7.18</v>
      </c>
      <c r="AF31" s="44">
        <v>-8.393791253749999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31.389370629370632</v>
      </c>
      <c r="D32" s="17">
        <v>143</v>
      </c>
      <c r="E32" s="17">
        <v>5</v>
      </c>
      <c r="F32" s="18">
        <v>4488.68</v>
      </c>
      <c r="G32" s="18">
        <v>-45.19</v>
      </c>
      <c r="H32" s="32">
        <f t="shared" si="1"/>
        <v>1.0067547697764152E-2</v>
      </c>
      <c r="I32" s="32">
        <f t="shared" si="2"/>
        <v>0.3338847962102881</v>
      </c>
      <c r="J32" s="33">
        <f t="shared" si="5"/>
        <v>1498.7020070531962</v>
      </c>
      <c r="K32" s="33">
        <f t="shared" si="3"/>
        <v>10.480433615756617</v>
      </c>
      <c r="L32" s="17">
        <v>372</v>
      </c>
      <c r="M32" s="34">
        <f t="shared" si="6"/>
        <v>0.38440860215053763</v>
      </c>
      <c r="N32" s="17">
        <v>1094</v>
      </c>
      <c r="O32" s="35">
        <f t="shared" ref="O32:P32" si="40">D32/7</f>
        <v>20.428571428571427</v>
      </c>
      <c r="P32" s="35">
        <f t="shared" si="40"/>
        <v>0.7142857142857143</v>
      </c>
      <c r="Q32" s="30">
        <f t="shared" si="8"/>
        <v>51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3.6851788756388419</v>
      </c>
      <c r="T32" s="15">
        <f ca="1">IFERROR(__xludf.DUMMYFUNCTION("IFERROR(VLOOKUP($B$2,IMPORTRANGE(""https://docs.google.com/spreadsheets/d/1KiWZV1ko8G7lnRucBRBd29jj3Be6ltMfljMDqzOkQmI/edit#gid=1381463014"",""Lookup!A:D""),4,FALSE),"""")"),628)</f>
        <v>628</v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S210718   - 500 units 09/17")</f>
        <v>| S210718   - 500 units 09/17</v>
      </c>
      <c r="W32" s="15">
        <v>4</v>
      </c>
      <c r="X32" s="39">
        <f t="shared" si="9"/>
        <v>2.7972027972027972E-2</v>
      </c>
      <c r="Y32" s="40">
        <f t="shared" si="10"/>
        <v>3.4761538461538461</v>
      </c>
      <c r="Z32" s="15">
        <v>9</v>
      </c>
      <c r="AA32" s="15" t="s">
        <v>58</v>
      </c>
      <c r="AB32" s="41">
        <f t="shared" si="11"/>
        <v>-0.69</v>
      </c>
      <c r="AC32" s="28">
        <v>0.22516389814814813</v>
      </c>
      <c r="AD32" s="40">
        <f t="shared" si="12"/>
        <v>-44.433843660555553</v>
      </c>
      <c r="AE32" s="26">
        <v>-7.18</v>
      </c>
      <c r="AF32" s="26">
        <v>-8.3937912537499901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67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Info!B1:BJ7000""),3,FALSE),"""")"),"Professional Cornhole Bags - Set of 8 Regulation All Weather Two Sided Bean Bags for Pro Corn Hole Game - 4 Hunter Green &amp; 4 Black")</f>
        <v>Professional Cornhole Bags - Set of 8 Regulation All Weather Two Sided Bean Bags for Pro Corn Hole Game - 4 Hunter Green &amp; 4 Black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Info!B1:BJ7000""),2,FALSE),"""")"),"B07ZTMFWSS")</f>
        <v>B07ZTMFWSS</v>
      </c>
      <c r="B2" s="47" t="s">
        <v>561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18.32210735735293</v>
      </c>
      <c r="D3" s="5">
        <f>SUM(D4:D99765)</f>
        <v>687</v>
      </c>
      <c r="E3" s="5"/>
      <c r="F3" s="6">
        <f t="shared" ref="F3:G3" si="0">SUM(F4:F99765)</f>
        <v>20012.440000000006</v>
      </c>
      <c r="G3" s="6">
        <f t="shared" si="0"/>
        <v>-1558.7999999999997</v>
      </c>
      <c r="H3" s="7">
        <f t="shared" ref="H3:H32" si="1">G3/F3*-1</f>
        <v>7.7891551454994962E-2</v>
      </c>
      <c r="I3" s="8">
        <f t="shared" ref="I3:I32" si="2">J3/F3</f>
        <v>0.20876649794273411</v>
      </c>
      <c r="J3" s="6">
        <f>SUM(J4:J99765)</f>
        <v>4177.9270140890912</v>
      </c>
      <c r="K3" s="6">
        <f t="shared" ref="K3:K32" si="3">J3/D3</f>
        <v>6.0814075896493325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7 - April
4 - May
6.5 - June
7.5 - July
6 - Aug
3 - Sept
3 - Oct
3 - Nov
4.5 - Dec
1.5 - Jan
2 - Feb")</f>
        <v>3 - March
7 - April
4 - May
6.5 - June
7.5 - July
6 - Aug
3 - Sept
3 - Oct
3 - Nov
4.5 - Dec
1.5 -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QTY-84")</f>
        <v>US QTY-84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88</v>
      </c>
      <c r="X3" s="7">
        <f>W3/D3</f>
        <v>0.12809315866084425</v>
      </c>
      <c r="Y3" s="6"/>
      <c r="Z3" s="5"/>
      <c r="AA3" s="5"/>
      <c r="AB3" s="5"/>
      <c r="AC3" s="5"/>
      <c r="AD3" s="6">
        <f>SUM(AD4:AD99765)</f>
        <v>-193.07328143476008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179</v>
      </c>
      <c r="C4" s="16">
        <f t="shared" ref="C4:C32" si="4">IFERROR(F4/D4," - ")</f>
        <v>22.517500000000002</v>
      </c>
      <c r="D4" s="17">
        <v>12</v>
      </c>
      <c r="E4" s="17">
        <v>2</v>
      </c>
      <c r="F4" s="18">
        <v>270.21000000000004</v>
      </c>
      <c r="G4" s="18">
        <v>0</v>
      </c>
      <c r="H4" s="19">
        <f t="shared" si="1"/>
        <v>0</v>
      </c>
      <c r="I4" s="19">
        <f t="shared" si="2"/>
        <v>0.19568085155396708</v>
      </c>
      <c r="J4" s="18">
        <f t="shared" ref="J4:J32" si="5">F4*0.85+G4+AF4*D4+D4*AE4+AG4+AD4</f>
        <v>52.87492289839745</v>
      </c>
      <c r="K4" s="18">
        <f t="shared" si="3"/>
        <v>4.4062435748664539</v>
      </c>
      <c r="L4" s="17">
        <v>28</v>
      </c>
      <c r="M4" s="20">
        <f t="shared" ref="M4:M32" si="6">IFERROR(D4/L4,"-")</f>
        <v>0.42857142857142855</v>
      </c>
      <c r="N4" s="17">
        <v>11</v>
      </c>
      <c r="O4" s="21">
        <f t="shared" ref="O4:P4" si="7">D4/7</f>
        <v>1.7142857142857142</v>
      </c>
      <c r="P4" s="21">
        <f t="shared" si="7"/>
        <v>0.2857142857142857</v>
      </c>
      <c r="Q4" s="17">
        <f t="shared" ref="Q4:Q32" si="8">ROUNDDOWN(N4/(O4+P4),0)</f>
        <v>5</v>
      </c>
      <c r="R4" s="17"/>
      <c r="S4" s="22">
        <v>1.6765957446808499</v>
      </c>
      <c r="T4" s="15">
        <v>1176</v>
      </c>
      <c r="U4" s="23">
        <v>80</v>
      </c>
      <c r="V4" s="24" t="s">
        <v>562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0.20364781828703707</v>
      </c>
      <c r="AD4" s="26">
        <f t="shared" ref="AD4:AD32" si="12">IFERROR(AB4*AC4*D4*2,0)</f>
        <v>-3.3724078708333334</v>
      </c>
      <c r="AE4" s="26">
        <v>-7.32</v>
      </c>
      <c r="AF4" s="26">
        <v>-7.132597435897436</v>
      </c>
      <c r="AG4" s="26">
        <v>0</v>
      </c>
    </row>
    <row r="5" spans="1:33" ht="15.75" customHeight="1" x14ac:dyDescent="0.2">
      <c r="A5" s="29" t="s">
        <v>33</v>
      </c>
      <c r="B5" s="29" t="s">
        <v>487</v>
      </c>
      <c r="C5" s="16">
        <f t="shared" si="4"/>
        <v>22.5</v>
      </c>
      <c r="D5" s="30">
        <v>7</v>
      </c>
      <c r="E5" s="30">
        <v>0</v>
      </c>
      <c r="F5" s="31">
        <v>157.5</v>
      </c>
      <c r="G5" s="31">
        <v>0</v>
      </c>
      <c r="H5" s="32">
        <f t="shared" si="1"/>
        <v>0</v>
      </c>
      <c r="I5" s="32">
        <f t="shared" si="2"/>
        <v>0.19515746342837711</v>
      </c>
      <c r="J5" s="33">
        <f t="shared" si="5"/>
        <v>30.737300489969396</v>
      </c>
      <c r="K5" s="33">
        <f t="shared" si="3"/>
        <v>4.3910429271384848</v>
      </c>
      <c r="L5" s="30">
        <v>37</v>
      </c>
      <c r="M5" s="34">
        <f t="shared" si="6"/>
        <v>0.1891891891891892</v>
      </c>
      <c r="N5" s="30">
        <v>2</v>
      </c>
      <c r="O5" s="35">
        <f t="shared" ref="O5:P5" si="13">D5/7</f>
        <v>1</v>
      </c>
      <c r="P5" s="35">
        <f t="shared" si="13"/>
        <v>0</v>
      </c>
      <c r="Q5" s="30">
        <f t="shared" si="8"/>
        <v>2</v>
      </c>
      <c r="R5" s="30"/>
      <c r="S5" s="36">
        <v>1.8267326732673199</v>
      </c>
      <c r="T5" s="29">
        <v>1360</v>
      </c>
      <c r="U5" s="37">
        <v>80</v>
      </c>
      <c r="V5" s="38" t="s">
        <v>563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58</v>
      </c>
      <c r="AB5" s="41">
        <f t="shared" si="11"/>
        <v>-0.69</v>
      </c>
      <c r="AC5" s="42">
        <v>0.2038837949015064</v>
      </c>
      <c r="AD5" s="40">
        <f t="shared" si="12"/>
        <v>-1.9695174587485518</v>
      </c>
      <c r="AE5" s="40">
        <v>-7.32</v>
      </c>
      <c r="AF5" s="40">
        <v>-7.132597435897436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1360</v>
      </c>
      <c r="U6" s="37">
        <v>80</v>
      </c>
      <c r="V6" s="38" t="s">
        <v>564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-7.132597435897436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1360</v>
      </c>
      <c r="U7" s="37">
        <v>80</v>
      </c>
      <c r="V7" s="38" t="s">
        <v>565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-7.132597435897436</v>
      </c>
      <c r="AG7" s="40">
        <v>0</v>
      </c>
    </row>
    <row r="8" spans="1:33" ht="15.75" customHeight="1" x14ac:dyDescent="0.2">
      <c r="A8" s="29" t="s">
        <v>36</v>
      </c>
      <c r="B8" s="29" t="s">
        <v>487</v>
      </c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1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>
        <v>2.3166023166023102</v>
      </c>
      <c r="T8" s="29">
        <v>1360</v>
      </c>
      <c r="U8" s="37">
        <v>80</v>
      </c>
      <c r="V8" s="38" t="s">
        <v>566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-7.13</v>
      </c>
      <c r="AG8" s="40">
        <v>0</v>
      </c>
    </row>
    <row r="9" spans="1:33" ht="15.75" customHeight="1" x14ac:dyDescent="0.2">
      <c r="A9" s="29" t="s">
        <v>37</v>
      </c>
      <c r="B9" s="29"/>
      <c r="C9" s="16">
        <f t="shared" si="4"/>
        <v>22.5</v>
      </c>
      <c r="D9" s="30">
        <v>1</v>
      </c>
      <c r="E9" s="30">
        <v>0</v>
      </c>
      <c r="F9" s="31">
        <v>22.5</v>
      </c>
      <c r="G9" s="31">
        <v>0</v>
      </c>
      <c r="H9" s="32">
        <f t="shared" si="1"/>
        <v>0</v>
      </c>
      <c r="I9" s="32">
        <f t="shared" si="2"/>
        <v>0.17945945773037159</v>
      </c>
      <c r="J9" s="33">
        <f t="shared" si="5"/>
        <v>4.0378377989333609</v>
      </c>
      <c r="K9" s="33">
        <f t="shared" si="3"/>
        <v>4.0378377989333609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0.14285714285714285</v>
      </c>
      <c r="P9" s="35">
        <f t="shared" si="17"/>
        <v>0</v>
      </c>
      <c r="Q9" s="30">
        <f t="shared" si="8"/>
        <v>0</v>
      </c>
      <c r="R9" s="30"/>
      <c r="S9" s="36" t="e">
        <v>#N/A</v>
      </c>
      <c r="T9" s="29">
        <v>1360</v>
      </c>
      <c r="U9" s="37">
        <v>368</v>
      </c>
      <c r="V9" s="38" t="s">
        <v>567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58</v>
      </c>
      <c r="AB9" s="41">
        <f t="shared" si="11"/>
        <v>-0.69</v>
      </c>
      <c r="AC9" s="42">
        <v>0.2038837949015064</v>
      </c>
      <c r="AD9" s="40">
        <f t="shared" si="12"/>
        <v>-0.28135963696407884</v>
      </c>
      <c r="AE9" s="40">
        <v>-7.32</v>
      </c>
      <c r="AF9" s="40">
        <v>-7.4858025641025598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1360</v>
      </c>
      <c r="U10" s="37">
        <v>80</v>
      </c>
      <c r="V10" s="38" t="s">
        <v>568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-7.4858025641025598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1560</v>
      </c>
      <c r="U11" s="37">
        <v>80</v>
      </c>
      <c r="V11" s="38" t="s">
        <v>569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-7.4858025641025598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752</v>
      </c>
      <c r="U12" s="37">
        <v>368</v>
      </c>
      <c r="V12" s="38" t="s">
        <v>570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-7.4858025641025598</v>
      </c>
      <c r="AG12" s="40">
        <v>0</v>
      </c>
    </row>
    <row r="13" spans="1:33" ht="15.75" customHeight="1" x14ac:dyDescent="0.2">
      <c r="A13" s="29" t="s">
        <v>41</v>
      </c>
      <c r="B13" s="29" t="s">
        <v>571</v>
      </c>
      <c r="C13" s="16">
        <f t="shared" si="4"/>
        <v>22.5</v>
      </c>
      <c r="D13" s="30">
        <v>1</v>
      </c>
      <c r="E13" s="30">
        <v>1</v>
      </c>
      <c r="F13" s="33">
        <v>22.5</v>
      </c>
      <c r="G13" s="31">
        <v>0</v>
      </c>
      <c r="H13" s="32">
        <f t="shared" si="1"/>
        <v>0</v>
      </c>
      <c r="I13" s="32">
        <f t="shared" si="2"/>
        <v>0.17119734946826309</v>
      </c>
      <c r="J13" s="33">
        <f t="shared" si="5"/>
        <v>3.8519403630359195</v>
      </c>
      <c r="K13" s="33">
        <f t="shared" si="3"/>
        <v>3.8519403630359195</v>
      </c>
      <c r="L13" s="30">
        <v>1</v>
      </c>
      <c r="M13" s="34">
        <f t="shared" si="6"/>
        <v>1</v>
      </c>
      <c r="N13" s="30">
        <v>0</v>
      </c>
      <c r="O13" s="35">
        <f t="shared" ref="O13:P13" si="21">D13/7</f>
        <v>0.14285714285714285</v>
      </c>
      <c r="P13" s="35">
        <f t="shared" si="21"/>
        <v>0.14285714285714285</v>
      </c>
      <c r="Q13" s="30">
        <f t="shared" si="8"/>
        <v>0</v>
      </c>
      <c r="R13" s="30"/>
      <c r="S13" s="36">
        <v>3.2380952380952301</v>
      </c>
      <c r="T13" s="29">
        <v>384</v>
      </c>
      <c r="U13" s="37">
        <v>184</v>
      </c>
      <c r="V13" s="38" t="s">
        <v>572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58</v>
      </c>
      <c r="AB13" s="41">
        <f t="shared" si="11"/>
        <v>-0.69</v>
      </c>
      <c r="AC13" s="42">
        <v>0.2038837949015064</v>
      </c>
      <c r="AD13" s="40">
        <f t="shared" si="12"/>
        <v>-0.28135963696407884</v>
      </c>
      <c r="AE13" s="40">
        <v>-7.32</v>
      </c>
      <c r="AF13" s="40">
        <v>-7.6717000000000004</v>
      </c>
      <c r="AG13" s="40">
        <v>0</v>
      </c>
    </row>
    <row r="14" spans="1:33" ht="15.75" customHeight="1" x14ac:dyDescent="0.2">
      <c r="A14" s="29" t="s">
        <v>42</v>
      </c>
      <c r="B14" s="29" t="s">
        <v>179</v>
      </c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384</v>
      </c>
      <c r="U14" s="37">
        <v>184</v>
      </c>
      <c r="V14" s="38" t="s">
        <v>572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-7.6717000000000004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384</v>
      </c>
      <c r="U15" s="37">
        <v>184</v>
      </c>
      <c r="V15" s="38" t="s">
        <v>572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-7.6717000000000004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384</v>
      </c>
      <c r="U16" s="37">
        <v>184</v>
      </c>
      <c r="V16" s="38" t="s">
        <v>573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-9.0364599999999999</v>
      </c>
      <c r="AG16" s="40">
        <v>0</v>
      </c>
    </row>
    <row r="17" spans="1:33" ht="15.75" customHeight="1" x14ac:dyDescent="0.2">
      <c r="A17" s="29" t="s">
        <v>45</v>
      </c>
      <c r="B17" s="29" t="s">
        <v>462</v>
      </c>
      <c r="C17" s="16">
        <f t="shared" si="4"/>
        <v>34.123333333333328</v>
      </c>
      <c r="D17" s="30">
        <v>12</v>
      </c>
      <c r="E17" s="30">
        <v>1</v>
      </c>
      <c r="F17" s="33">
        <v>409.47999999999996</v>
      </c>
      <c r="G17" s="31">
        <v>0</v>
      </c>
      <c r="H17" s="32">
        <f t="shared" si="1"/>
        <v>0</v>
      </c>
      <c r="I17" s="32">
        <f t="shared" si="2"/>
        <v>0.36243057567931669</v>
      </c>
      <c r="J17" s="33">
        <f t="shared" si="5"/>
        <v>148.40807212916658</v>
      </c>
      <c r="K17" s="33">
        <f t="shared" si="3"/>
        <v>12.367339344097216</v>
      </c>
      <c r="L17" s="30">
        <v>22</v>
      </c>
      <c r="M17" s="34">
        <f t="shared" si="6"/>
        <v>0.54545454545454541</v>
      </c>
      <c r="N17" s="30">
        <v>191</v>
      </c>
      <c r="O17" s="35">
        <f t="shared" ref="O17:P17" si="25">D17/7</f>
        <v>1.7142857142857142</v>
      </c>
      <c r="P17" s="35">
        <f t="shared" si="25"/>
        <v>0.14285714285714285</v>
      </c>
      <c r="Q17" s="30">
        <f t="shared" si="8"/>
        <v>102</v>
      </c>
      <c r="R17" s="30"/>
      <c r="S17" s="36">
        <v>0.39655172413793099</v>
      </c>
      <c r="T17" s="29">
        <v>384</v>
      </c>
      <c r="U17" s="37">
        <v>184</v>
      </c>
      <c r="V17" s="38" t="s">
        <v>574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58</v>
      </c>
      <c r="AB17" s="41">
        <f t="shared" si="11"/>
        <v>-0.69</v>
      </c>
      <c r="AC17" s="42">
        <v>0.20364781828703707</v>
      </c>
      <c r="AD17" s="40">
        <f t="shared" si="12"/>
        <v>-3.3724078708333334</v>
      </c>
      <c r="AE17" s="40">
        <v>-7.32</v>
      </c>
      <c r="AF17" s="40">
        <v>-9.0364599999999999</v>
      </c>
      <c r="AG17" s="40">
        <v>0</v>
      </c>
    </row>
    <row r="18" spans="1:33" ht="15.75" customHeight="1" x14ac:dyDescent="0.2">
      <c r="A18" s="29" t="s">
        <v>46</v>
      </c>
      <c r="B18" s="29" t="s">
        <v>506</v>
      </c>
      <c r="C18" s="16">
        <f t="shared" si="4"/>
        <v>35.055652173913053</v>
      </c>
      <c r="D18" s="30">
        <v>23</v>
      </c>
      <c r="E18" s="30">
        <v>0</v>
      </c>
      <c r="F18" s="33">
        <v>806.2800000000002</v>
      </c>
      <c r="G18" s="31">
        <v>-41.70000000000001</v>
      </c>
      <c r="H18" s="32">
        <f t="shared" si="1"/>
        <v>5.1719005804435184E-2</v>
      </c>
      <c r="I18" s="32">
        <f t="shared" si="2"/>
        <v>0.32082606321323798</v>
      </c>
      <c r="J18" s="33">
        <f t="shared" si="5"/>
        <v>258.67563824756957</v>
      </c>
      <c r="K18" s="33">
        <f t="shared" si="3"/>
        <v>11.246766880329112</v>
      </c>
      <c r="L18" s="30">
        <v>58</v>
      </c>
      <c r="M18" s="34">
        <f t="shared" si="6"/>
        <v>0.39655172413793105</v>
      </c>
      <c r="N18" s="30">
        <v>166</v>
      </c>
      <c r="O18" s="35">
        <f t="shared" ref="O18:P18" si="26">D18/7</f>
        <v>3.2857142857142856</v>
      </c>
      <c r="P18" s="35">
        <f t="shared" si="26"/>
        <v>0</v>
      </c>
      <c r="Q18" s="30">
        <f t="shared" si="8"/>
        <v>50</v>
      </c>
      <c r="R18" s="30"/>
      <c r="S18" s="36">
        <v>0.71111111111111103</v>
      </c>
      <c r="T18" s="29">
        <v>852</v>
      </c>
      <c r="U18" s="37">
        <v>200</v>
      </c>
      <c r="V18" s="38" t="s">
        <v>575</v>
      </c>
      <c r="W18" s="29">
        <v>2</v>
      </c>
      <c r="X18" s="39">
        <f t="shared" si="9"/>
        <v>8.6956521739130432E-2</v>
      </c>
      <c r="Y18" s="40">
        <f t="shared" si="10"/>
        <v>6.950000000000002</v>
      </c>
      <c r="Z18" s="29">
        <v>4</v>
      </c>
      <c r="AA18" s="29" t="s">
        <v>58</v>
      </c>
      <c r="AB18" s="41">
        <f t="shared" si="11"/>
        <v>-0.69</v>
      </c>
      <c r="AC18" s="42">
        <v>0.20364781828703707</v>
      </c>
      <c r="AD18" s="40">
        <f t="shared" si="12"/>
        <v>-6.4637817524305561</v>
      </c>
      <c r="AE18" s="40">
        <v>-7.32</v>
      </c>
      <c r="AF18" s="40">
        <v>-9.1364599999999996</v>
      </c>
      <c r="AG18" s="40">
        <v>0</v>
      </c>
    </row>
    <row r="19" spans="1:33" ht="15.75" customHeight="1" x14ac:dyDescent="0.2">
      <c r="A19" s="29" t="s">
        <v>47</v>
      </c>
      <c r="B19" s="29" t="s">
        <v>452</v>
      </c>
      <c r="C19" s="16">
        <f t="shared" si="4"/>
        <v>35.091290322580655</v>
      </c>
      <c r="D19" s="30">
        <v>31</v>
      </c>
      <c r="E19" s="30">
        <v>0</v>
      </c>
      <c r="F19" s="33">
        <v>1087.8300000000004</v>
      </c>
      <c r="G19" s="31">
        <v>-66.33</v>
      </c>
      <c r="H19" s="32">
        <f t="shared" si="1"/>
        <v>6.0974600810788426E-2</v>
      </c>
      <c r="I19" s="32">
        <f t="shared" si="2"/>
        <v>0.31205536373668752</v>
      </c>
      <c r="J19" s="33">
        <f t="shared" si="5"/>
        <v>339.46318633368088</v>
      </c>
      <c r="K19" s="33">
        <f t="shared" si="3"/>
        <v>10.950425365602609</v>
      </c>
      <c r="L19" s="30">
        <v>70</v>
      </c>
      <c r="M19" s="34">
        <f t="shared" si="6"/>
        <v>0.44285714285714284</v>
      </c>
      <c r="N19" s="30">
        <v>120</v>
      </c>
      <c r="O19" s="35">
        <f t="shared" ref="O19:P19" si="27">D19/7</f>
        <v>4.4285714285714288</v>
      </c>
      <c r="P19" s="35">
        <f t="shared" si="27"/>
        <v>0</v>
      </c>
      <c r="Q19" s="30">
        <f t="shared" si="8"/>
        <v>27</v>
      </c>
      <c r="R19" s="30"/>
      <c r="S19" s="36">
        <v>1.44444444444444</v>
      </c>
      <c r="T19" s="29">
        <v>668</v>
      </c>
      <c r="U19" s="37">
        <v>200</v>
      </c>
      <c r="V19" s="38" t="s">
        <v>576</v>
      </c>
      <c r="W19" s="29">
        <v>3</v>
      </c>
      <c r="X19" s="39">
        <f t="shared" si="9"/>
        <v>9.6774193548387094E-2</v>
      </c>
      <c r="Y19" s="40">
        <f t="shared" si="10"/>
        <v>2.4566666666666666</v>
      </c>
      <c r="Z19" s="29">
        <v>24</v>
      </c>
      <c r="AA19" s="29" t="s">
        <v>58</v>
      </c>
      <c r="AB19" s="41">
        <f t="shared" si="11"/>
        <v>-0.69</v>
      </c>
      <c r="AC19" s="42">
        <v>0.20364781828703707</v>
      </c>
      <c r="AD19" s="40">
        <f t="shared" si="12"/>
        <v>-8.712053666319445</v>
      </c>
      <c r="AE19" s="40">
        <v>-7.32</v>
      </c>
      <c r="AF19" s="40">
        <v>-9.1364599999999996</v>
      </c>
      <c r="AG19" s="40">
        <v>0</v>
      </c>
    </row>
    <row r="20" spans="1:33" ht="15.75" customHeight="1" x14ac:dyDescent="0.2">
      <c r="A20" s="29" t="s">
        <v>48</v>
      </c>
      <c r="B20" s="29" t="s">
        <v>506</v>
      </c>
      <c r="C20" s="16">
        <f t="shared" si="4"/>
        <v>35.41520000000002</v>
      </c>
      <c r="D20" s="30">
        <v>25</v>
      </c>
      <c r="E20" s="30">
        <v>2</v>
      </c>
      <c r="F20" s="33">
        <v>885.38000000000045</v>
      </c>
      <c r="G20" s="31">
        <v>-37.889999999999993</v>
      </c>
      <c r="H20" s="32">
        <f t="shared" si="1"/>
        <v>4.279518398879574E-2</v>
      </c>
      <c r="I20" s="32">
        <f t="shared" si="2"/>
        <v>0.33459717891650748</v>
      </c>
      <c r="J20" s="33">
        <f t="shared" si="5"/>
        <v>296.24565026909755</v>
      </c>
      <c r="K20" s="33">
        <f t="shared" si="3"/>
        <v>11.849826010763902</v>
      </c>
      <c r="L20" s="30">
        <v>49</v>
      </c>
      <c r="M20" s="34">
        <f t="shared" si="6"/>
        <v>0.51020408163265307</v>
      </c>
      <c r="N20" s="30">
        <v>104</v>
      </c>
      <c r="O20" s="35">
        <f t="shared" ref="O20:P20" si="28">D20/7</f>
        <v>3.5714285714285716</v>
      </c>
      <c r="P20" s="35">
        <f t="shared" si="28"/>
        <v>0.2857142857142857</v>
      </c>
      <c r="Q20" s="30">
        <f t="shared" si="8"/>
        <v>26</v>
      </c>
      <c r="R20" s="30"/>
      <c r="S20" s="36">
        <v>2.9090909090908998</v>
      </c>
      <c r="T20" s="29">
        <v>968</v>
      </c>
      <c r="U20" s="37">
        <v>200</v>
      </c>
      <c r="V20" s="38" t="s">
        <v>577</v>
      </c>
      <c r="W20" s="29">
        <v>3</v>
      </c>
      <c r="X20" s="39">
        <f t="shared" si="9"/>
        <v>0.12</v>
      </c>
      <c r="Y20" s="40">
        <f t="shared" si="10"/>
        <v>3.1574999999999993</v>
      </c>
      <c r="Z20" s="29">
        <v>9</v>
      </c>
      <c r="AA20" s="29" t="s">
        <v>58</v>
      </c>
      <c r="AB20" s="41">
        <f t="shared" si="11"/>
        <v>-0.69</v>
      </c>
      <c r="AC20" s="42">
        <v>0.20364781828703707</v>
      </c>
      <c r="AD20" s="40">
        <f t="shared" si="12"/>
        <v>-7.0258497309027774</v>
      </c>
      <c r="AE20" s="40">
        <v>-7.32</v>
      </c>
      <c r="AF20" s="40">
        <v>-9.1364599999999996</v>
      </c>
      <c r="AG20" s="40">
        <v>0</v>
      </c>
    </row>
    <row r="21" spans="1:33" ht="15.75" customHeight="1" x14ac:dyDescent="0.2">
      <c r="A21" s="29" t="s">
        <v>49</v>
      </c>
      <c r="B21" s="29" t="s">
        <v>578</v>
      </c>
      <c r="C21" s="16">
        <f t="shared" si="4"/>
        <v>32.348461538461535</v>
      </c>
      <c r="D21" s="30">
        <v>13</v>
      </c>
      <c r="E21" s="30">
        <v>0</v>
      </c>
      <c r="F21" s="33">
        <v>420.52999999999992</v>
      </c>
      <c r="G21" s="31">
        <v>-85.610000000000014</v>
      </c>
      <c r="H21" s="32">
        <f t="shared" si="1"/>
        <v>0.20357643925522562</v>
      </c>
      <c r="I21" s="32">
        <f t="shared" si="2"/>
        <v>0.12901119572903355</v>
      </c>
      <c r="J21" s="33">
        <f t="shared" si="5"/>
        <v>54.253078139930473</v>
      </c>
      <c r="K21" s="33">
        <f t="shared" si="3"/>
        <v>4.1733137030715746</v>
      </c>
      <c r="L21" s="30">
        <v>37</v>
      </c>
      <c r="M21" s="34">
        <f t="shared" si="6"/>
        <v>0.35135135135135137</v>
      </c>
      <c r="N21" s="30">
        <v>319</v>
      </c>
      <c r="O21" s="35">
        <f t="shared" ref="O21:P21" si="29">D21/7</f>
        <v>1.8571428571428572</v>
      </c>
      <c r="P21" s="35">
        <f t="shared" si="29"/>
        <v>0</v>
      </c>
      <c r="Q21" s="30">
        <f t="shared" si="8"/>
        <v>171</v>
      </c>
      <c r="R21" s="30"/>
      <c r="S21" s="36">
        <v>0.79702048417132199</v>
      </c>
      <c r="T21" s="29">
        <v>968</v>
      </c>
      <c r="U21" s="37">
        <v>200</v>
      </c>
      <c r="V21" s="38" t="s">
        <v>579</v>
      </c>
      <c r="W21" s="29">
        <v>1</v>
      </c>
      <c r="X21" s="39">
        <f t="shared" si="9"/>
        <v>7.6923076923076927E-2</v>
      </c>
      <c r="Y21" s="40">
        <f t="shared" si="10"/>
        <v>8.5610000000000017</v>
      </c>
      <c r="Z21" s="29">
        <v>9</v>
      </c>
      <c r="AA21" s="29" t="s">
        <v>58</v>
      </c>
      <c r="AB21" s="41">
        <f t="shared" si="11"/>
        <v>-0.69</v>
      </c>
      <c r="AC21" s="42">
        <v>0.20364781828703707</v>
      </c>
      <c r="AD21" s="40">
        <f t="shared" si="12"/>
        <v>-3.6534418600694445</v>
      </c>
      <c r="AE21" s="40">
        <v>-7.32</v>
      </c>
      <c r="AF21" s="40">
        <v>-9.1364599999999996</v>
      </c>
      <c r="AG21" s="40">
        <v>0</v>
      </c>
    </row>
    <row r="22" spans="1:33" ht="15.75" customHeight="1" x14ac:dyDescent="0.2">
      <c r="A22" s="29" t="s">
        <v>50</v>
      </c>
      <c r="B22" s="29" t="s">
        <v>506</v>
      </c>
      <c r="C22" s="16">
        <f t="shared" si="4"/>
        <v>33.491428571428585</v>
      </c>
      <c r="D22" s="30">
        <v>21</v>
      </c>
      <c r="E22" s="30">
        <v>0</v>
      </c>
      <c r="F22" s="31">
        <v>703.32000000000028</v>
      </c>
      <c r="G22" s="31">
        <v>-63.550000000000004</v>
      </c>
      <c r="H22" s="32">
        <f t="shared" si="1"/>
        <v>9.0357163168969995E-2</v>
      </c>
      <c r="I22" s="32">
        <f t="shared" si="2"/>
        <v>0.25988828161582478</v>
      </c>
      <c r="J22" s="33">
        <f t="shared" si="5"/>
        <v>182.78462622604195</v>
      </c>
      <c r="K22" s="33">
        <f t="shared" si="3"/>
        <v>8.7040298202877118</v>
      </c>
      <c r="L22" s="30">
        <v>80</v>
      </c>
      <c r="M22" s="34">
        <f t="shared" si="6"/>
        <v>0.26250000000000001</v>
      </c>
      <c r="N22" s="30">
        <v>307</v>
      </c>
      <c r="O22" s="35">
        <f t="shared" ref="O22:P22" si="30">D22/7</f>
        <v>3</v>
      </c>
      <c r="P22" s="35">
        <f t="shared" si="30"/>
        <v>0</v>
      </c>
      <c r="Q22" s="30">
        <f t="shared" si="8"/>
        <v>102</v>
      </c>
      <c r="R22" s="30"/>
      <c r="S22" s="36">
        <v>0.96993987975951901</v>
      </c>
      <c r="T22" s="29">
        <v>968</v>
      </c>
      <c r="U22" s="37">
        <v>200</v>
      </c>
      <c r="V22" s="38" t="s">
        <v>580</v>
      </c>
      <c r="W22" s="29">
        <v>0</v>
      </c>
      <c r="X22" s="39">
        <f t="shared" si="9"/>
        <v>0</v>
      </c>
      <c r="Y22" s="40">
        <f t="shared" si="10"/>
        <v>6.3550000000000004</v>
      </c>
      <c r="Z22" s="29">
        <v>10</v>
      </c>
      <c r="AA22" s="29" t="s">
        <v>58</v>
      </c>
      <c r="AB22" s="41">
        <f t="shared" si="11"/>
        <v>-0.69</v>
      </c>
      <c r="AC22" s="42">
        <v>0.20364781828703707</v>
      </c>
      <c r="AD22" s="40">
        <f t="shared" si="12"/>
        <v>-5.901713773958333</v>
      </c>
      <c r="AE22" s="40">
        <v>-7.32</v>
      </c>
      <c r="AF22" s="40">
        <v>-9.1364599999999996</v>
      </c>
      <c r="AG22" s="40">
        <v>0</v>
      </c>
    </row>
    <row r="23" spans="1:33" ht="15.75" customHeight="1" x14ac:dyDescent="0.2">
      <c r="A23" s="29" t="s">
        <v>51</v>
      </c>
      <c r="B23" s="29" t="s">
        <v>452</v>
      </c>
      <c r="C23" s="16">
        <f t="shared" si="4"/>
        <v>27.112051282051297</v>
      </c>
      <c r="D23" s="30">
        <v>39</v>
      </c>
      <c r="E23" s="30">
        <v>1</v>
      </c>
      <c r="F23" s="33">
        <v>1057.3700000000006</v>
      </c>
      <c r="G23" s="31">
        <v>-67.56</v>
      </c>
      <c r="H23" s="32">
        <f t="shared" si="1"/>
        <v>6.3894379450901734E-2</v>
      </c>
      <c r="I23" s="32">
        <f t="shared" si="2"/>
        <v>0.16876044754418232</v>
      </c>
      <c r="J23" s="33">
        <f t="shared" si="5"/>
        <v>178.44223441979216</v>
      </c>
      <c r="K23" s="33">
        <f t="shared" si="3"/>
        <v>4.5754419081997986</v>
      </c>
      <c r="L23" s="30">
        <v>70</v>
      </c>
      <c r="M23" s="34">
        <f t="shared" si="6"/>
        <v>0.55714285714285716</v>
      </c>
      <c r="N23" s="30">
        <v>277</v>
      </c>
      <c r="O23" s="35">
        <f t="shared" ref="O23:P23" si="31">D23/7</f>
        <v>5.5714285714285712</v>
      </c>
      <c r="P23" s="35">
        <f t="shared" si="31"/>
        <v>0.14285714285714285</v>
      </c>
      <c r="Q23" s="30">
        <f t="shared" si="8"/>
        <v>48</v>
      </c>
      <c r="R23" s="30"/>
      <c r="S23" s="36">
        <v>1.4059405940594001</v>
      </c>
      <c r="T23" s="29">
        <v>968</v>
      </c>
      <c r="U23" s="37">
        <v>200</v>
      </c>
      <c r="V23" s="38" t="s">
        <v>581</v>
      </c>
      <c r="W23" s="29">
        <v>2</v>
      </c>
      <c r="X23" s="39">
        <f t="shared" si="9"/>
        <v>5.128205128205128E-2</v>
      </c>
      <c r="Y23" s="40">
        <f t="shared" si="10"/>
        <v>5.63</v>
      </c>
      <c r="Z23" s="29">
        <v>10</v>
      </c>
      <c r="AA23" s="29" t="s">
        <v>58</v>
      </c>
      <c r="AB23" s="41">
        <f t="shared" si="11"/>
        <v>-0.69</v>
      </c>
      <c r="AC23" s="42">
        <v>0.20364781828703707</v>
      </c>
      <c r="AD23" s="40">
        <f t="shared" si="12"/>
        <v>-10.960325580208334</v>
      </c>
      <c r="AE23" s="40">
        <v>-7.32</v>
      </c>
      <c r="AF23" s="40">
        <v>-9.1364599999999996</v>
      </c>
      <c r="AG23" s="40">
        <v>0</v>
      </c>
    </row>
    <row r="24" spans="1:33" ht="15.75" customHeight="1" x14ac:dyDescent="0.2">
      <c r="A24" s="29" t="s">
        <v>52</v>
      </c>
      <c r="B24" s="29" t="s">
        <v>582</v>
      </c>
      <c r="C24" s="16">
        <f t="shared" si="4"/>
        <v>24.467441860465129</v>
      </c>
      <c r="D24" s="30">
        <v>43</v>
      </c>
      <c r="E24" s="30">
        <v>5</v>
      </c>
      <c r="F24" s="33">
        <v>1052.1000000000006</v>
      </c>
      <c r="G24" s="33">
        <v>-108.87999999999997</v>
      </c>
      <c r="H24" s="32">
        <f t="shared" si="1"/>
        <v>0.10348826157209381</v>
      </c>
      <c r="I24" s="32">
        <f t="shared" si="2"/>
        <v>6.2439652564250207E-2</v>
      </c>
      <c r="J24" s="33">
        <f t="shared" si="5"/>
        <v>65.692758462847678</v>
      </c>
      <c r="K24" s="33">
        <f t="shared" si="3"/>
        <v>1.5277385689034344</v>
      </c>
      <c r="L24" s="30">
        <v>114</v>
      </c>
      <c r="M24" s="34">
        <f t="shared" si="6"/>
        <v>0.37719298245614036</v>
      </c>
      <c r="N24" s="30">
        <v>246</v>
      </c>
      <c r="O24" s="35">
        <f t="shared" ref="O24:P24" si="32">D24/7</f>
        <v>6.1428571428571432</v>
      </c>
      <c r="P24" s="35">
        <f t="shared" si="32"/>
        <v>0.7142857142857143</v>
      </c>
      <c r="Q24" s="30">
        <f t="shared" si="8"/>
        <v>35</v>
      </c>
      <c r="R24" s="30"/>
      <c r="S24" s="36">
        <v>1.9537275064267301</v>
      </c>
      <c r="T24" s="29">
        <v>968</v>
      </c>
      <c r="U24" s="37">
        <v>300</v>
      </c>
      <c r="V24" s="38" t="s">
        <v>583</v>
      </c>
      <c r="W24" s="29">
        <v>3</v>
      </c>
      <c r="X24" s="39">
        <f t="shared" si="9"/>
        <v>6.9767441860465115E-2</v>
      </c>
      <c r="Y24" s="40">
        <f t="shared" si="10"/>
        <v>6.8049999999999979</v>
      </c>
      <c r="Z24" s="29">
        <v>13</v>
      </c>
      <c r="AA24" s="29" t="s">
        <v>58</v>
      </c>
      <c r="AB24" s="41">
        <f t="shared" si="11"/>
        <v>-0.69</v>
      </c>
      <c r="AC24" s="42">
        <v>0.20364781828703707</v>
      </c>
      <c r="AD24" s="40">
        <f t="shared" si="12"/>
        <v>-12.084461537152778</v>
      </c>
      <c r="AE24" s="40">
        <v>-7.32</v>
      </c>
      <c r="AF24" s="40">
        <v>-9.1364599999999996</v>
      </c>
      <c r="AG24" s="40">
        <v>0</v>
      </c>
    </row>
    <row r="25" spans="1:33" ht="15.75" customHeight="1" x14ac:dyDescent="0.2">
      <c r="A25" s="29" t="s">
        <v>53</v>
      </c>
      <c r="B25" s="15" t="s">
        <v>584</v>
      </c>
      <c r="C25" s="16">
        <f t="shared" si="4"/>
        <v>28.005217391304349</v>
      </c>
      <c r="D25" s="30">
        <v>46</v>
      </c>
      <c r="E25" s="30">
        <v>0</v>
      </c>
      <c r="F25" s="33">
        <v>1288.24</v>
      </c>
      <c r="G25" s="33">
        <v>-139.32</v>
      </c>
      <c r="H25" s="32">
        <f t="shared" si="1"/>
        <v>0.10814755014593554</v>
      </c>
      <c r="I25" s="32">
        <f t="shared" si="2"/>
        <v>0.14406976688748896</v>
      </c>
      <c r="J25" s="33">
        <f t="shared" si="5"/>
        <v>185.59643649513879</v>
      </c>
      <c r="K25" s="33">
        <f t="shared" si="3"/>
        <v>4.0347051411986694</v>
      </c>
      <c r="L25" s="30">
        <v>181</v>
      </c>
      <c r="M25" s="34">
        <f t="shared" si="6"/>
        <v>0.2541436464088398</v>
      </c>
      <c r="N25" s="30">
        <v>487</v>
      </c>
      <c r="O25" s="35">
        <f t="shared" ref="O25:P25" si="33">D25/7</f>
        <v>6.5714285714285712</v>
      </c>
      <c r="P25" s="35">
        <f t="shared" si="33"/>
        <v>0</v>
      </c>
      <c r="Q25" s="30">
        <f t="shared" si="8"/>
        <v>74</v>
      </c>
      <c r="R25" s="30"/>
      <c r="S25" s="36">
        <v>1.187127532777116</v>
      </c>
      <c r="T25" s="15"/>
      <c r="U25" s="23"/>
      <c r="V25" s="1"/>
      <c r="W25" s="15">
        <v>10</v>
      </c>
      <c r="X25" s="39">
        <f t="shared" si="9"/>
        <v>0.21739130434782608</v>
      </c>
      <c r="Y25" s="40">
        <f t="shared" si="10"/>
        <v>5.3584615384615386</v>
      </c>
      <c r="Z25" s="15">
        <v>16</v>
      </c>
      <c r="AA25" s="29" t="s">
        <v>58</v>
      </c>
      <c r="AB25" s="41">
        <f t="shared" si="11"/>
        <v>-0.69</v>
      </c>
      <c r="AC25" s="42">
        <v>0.20364781828703707</v>
      </c>
      <c r="AD25" s="40">
        <f t="shared" si="12"/>
        <v>-12.927563504861112</v>
      </c>
      <c r="AE25" s="40">
        <v>-7.32</v>
      </c>
      <c r="AF25" s="40">
        <v>-9.14</v>
      </c>
      <c r="AG25" s="40">
        <v>0</v>
      </c>
    </row>
    <row r="26" spans="1:33" ht="15.75" customHeight="1" x14ac:dyDescent="0.2">
      <c r="A26" s="15" t="s">
        <v>54</v>
      </c>
      <c r="B26" s="51" t="s">
        <v>585</v>
      </c>
      <c r="C26" s="16">
        <f t="shared" si="4"/>
        <v>31.058536585365857</v>
      </c>
      <c r="D26" s="17">
        <v>41</v>
      </c>
      <c r="E26" s="17">
        <v>1</v>
      </c>
      <c r="F26" s="18">
        <v>1273.4000000000001</v>
      </c>
      <c r="G26" s="18">
        <v>-95.279999999999987</v>
      </c>
      <c r="H26" s="32">
        <f t="shared" si="1"/>
        <v>7.4823307680226145E-2</v>
      </c>
      <c r="I26" s="32">
        <f t="shared" si="2"/>
        <v>0.24078274418196924</v>
      </c>
      <c r="J26" s="33">
        <f t="shared" si="5"/>
        <v>306.61274644131964</v>
      </c>
      <c r="K26" s="33">
        <f t="shared" si="3"/>
        <v>7.4783596693004792</v>
      </c>
      <c r="L26" s="17">
        <v>121</v>
      </c>
      <c r="M26" s="34">
        <f t="shared" si="6"/>
        <v>0.33884297520661155</v>
      </c>
      <c r="N26" s="17">
        <v>453</v>
      </c>
      <c r="O26" s="35">
        <f t="shared" ref="O26:P26" si="34">D26/7</f>
        <v>5.8571428571428568</v>
      </c>
      <c r="P26" s="35">
        <f t="shared" si="34"/>
        <v>0.14285714285714285</v>
      </c>
      <c r="Q26" s="30">
        <f t="shared" si="8"/>
        <v>75</v>
      </c>
      <c r="R26" s="30"/>
      <c r="S26" s="22">
        <v>1.158648925281474</v>
      </c>
      <c r="T26" s="15">
        <v>668</v>
      </c>
      <c r="U26" s="23">
        <v>200</v>
      </c>
      <c r="V26" s="1" t="s">
        <v>586</v>
      </c>
      <c r="W26" s="15">
        <v>3</v>
      </c>
      <c r="X26" s="39">
        <f t="shared" si="9"/>
        <v>7.3170731707317069E-2</v>
      </c>
      <c r="Y26" s="40">
        <f t="shared" si="10"/>
        <v>5.6047058823529401</v>
      </c>
      <c r="Z26" s="15">
        <v>14</v>
      </c>
      <c r="AA26" s="29" t="s">
        <v>58</v>
      </c>
      <c r="AB26" s="41">
        <f t="shared" si="11"/>
        <v>-0.69</v>
      </c>
      <c r="AC26" s="42">
        <v>0.20364781828703707</v>
      </c>
      <c r="AD26" s="40">
        <f t="shared" si="12"/>
        <v>-11.522393558680555</v>
      </c>
      <c r="AE26" s="26">
        <v>-7.18</v>
      </c>
      <c r="AF26" s="26">
        <v>-9.1364599999999996</v>
      </c>
      <c r="AG26" s="26">
        <v>0</v>
      </c>
    </row>
    <row r="27" spans="1:33" ht="15.75" customHeight="1" x14ac:dyDescent="0.2">
      <c r="A27" s="15" t="s">
        <v>74</v>
      </c>
      <c r="B27" s="15" t="s">
        <v>479</v>
      </c>
      <c r="C27" s="16">
        <f t="shared" si="4"/>
        <v>29.111403508771929</v>
      </c>
      <c r="D27" s="17">
        <v>57</v>
      </c>
      <c r="E27" s="17">
        <v>1</v>
      </c>
      <c r="F27" s="18">
        <v>1659.35</v>
      </c>
      <c r="G27" s="18">
        <v>-242.24999999999989</v>
      </c>
      <c r="H27" s="32">
        <f t="shared" si="1"/>
        <v>0.14599090005122481</v>
      </c>
      <c r="I27" s="32">
        <f t="shared" si="2"/>
        <v>0.13387190322327538</v>
      </c>
      <c r="J27" s="33">
        <f t="shared" si="5"/>
        <v>222.14034261354197</v>
      </c>
      <c r="K27" s="33">
        <f t="shared" si="3"/>
        <v>3.8971989932200346</v>
      </c>
      <c r="L27" s="17">
        <v>171</v>
      </c>
      <c r="M27" s="34">
        <f t="shared" si="6"/>
        <v>0.33333333333333331</v>
      </c>
      <c r="N27" s="17">
        <v>395</v>
      </c>
      <c r="O27" s="35">
        <f t="shared" ref="O27:P27" si="35">D27/7</f>
        <v>8.1428571428571423</v>
      </c>
      <c r="P27" s="35">
        <f t="shared" si="35"/>
        <v>0.14285714285714285</v>
      </c>
      <c r="Q27" s="30">
        <f t="shared" si="8"/>
        <v>47</v>
      </c>
      <c r="R27" s="30"/>
      <c r="S27" s="22">
        <v>1.6531365313653139</v>
      </c>
      <c r="T27" s="15">
        <v>668</v>
      </c>
      <c r="U27" s="23">
        <v>200</v>
      </c>
      <c r="V27" s="1" t="s">
        <v>587</v>
      </c>
      <c r="W27" s="15">
        <v>12</v>
      </c>
      <c r="X27" s="39">
        <f t="shared" si="9"/>
        <v>0.21052631578947367</v>
      </c>
      <c r="Y27" s="40">
        <f t="shared" si="10"/>
        <v>6.9214285714285682</v>
      </c>
      <c r="Z27" s="15">
        <v>23</v>
      </c>
      <c r="AA27" s="29" t="s">
        <v>58</v>
      </c>
      <c r="AB27" s="41">
        <f t="shared" si="11"/>
        <v>-0.69</v>
      </c>
      <c r="AC27" s="42">
        <v>0.20364781828703707</v>
      </c>
      <c r="AD27" s="40">
        <f t="shared" si="12"/>
        <v>-16.018937386458333</v>
      </c>
      <c r="AE27" s="26">
        <v>-7.18</v>
      </c>
      <c r="AF27" s="26">
        <v>-9.1364599999999996</v>
      </c>
      <c r="AG27" s="26">
        <v>0</v>
      </c>
    </row>
    <row r="28" spans="1:33" ht="15.75" customHeight="1" x14ac:dyDescent="0.2">
      <c r="A28" s="15" t="s">
        <v>75</v>
      </c>
      <c r="B28" s="15" t="s">
        <v>588</v>
      </c>
      <c r="C28" s="16">
        <f t="shared" si="4"/>
        <v>28.369662921348315</v>
      </c>
      <c r="D28" s="17">
        <v>89</v>
      </c>
      <c r="E28" s="17">
        <v>0</v>
      </c>
      <c r="F28" s="18">
        <v>2524.9</v>
      </c>
      <c r="G28" s="18">
        <v>-317.39</v>
      </c>
      <c r="H28" s="32">
        <f t="shared" si="1"/>
        <v>0.12570398827676343</v>
      </c>
      <c r="I28" s="32">
        <f t="shared" si="2"/>
        <v>0.13925226145906228</v>
      </c>
      <c r="J28" s="33">
        <f t="shared" si="5"/>
        <v>351.59803495798633</v>
      </c>
      <c r="K28" s="33">
        <f t="shared" si="3"/>
        <v>3.9505397186290598</v>
      </c>
      <c r="L28" s="17">
        <v>222</v>
      </c>
      <c r="M28" s="34">
        <f t="shared" si="6"/>
        <v>0.40090090090090091</v>
      </c>
      <c r="N28" s="17">
        <v>295</v>
      </c>
      <c r="O28" s="35">
        <f t="shared" ref="O28:P28" si="36">D28/7</f>
        <v>12.714285714285714</v>
      </c>
      <c r="P28" s="35">
        <f t="shared" si="36"/>
        <v>0</v>
      </c>
      <c r="Q28" s="30">
        <f t="shared" si="8"/>
        <v>23</v>
      </c>
      <c r="R28" s="30"/>
      <c r="S28" s="22">
        <v>2.2565517241379309</v>
      </c>
      <c r="T28" s="15">
        <v>668</v>
      </c>
      <c r="U28" s="23">
        <v>200</v>
      </c>
      <c r="V28" s="1" t="s">
        <v>589</v>
      </c>
      <c r="W28" s="15">
        <v>25</v>
      </c>
      <c r="X28" s="39">
        <f t="shared" si="9"/>
        <v>0.2808988764044944</v>
      </c>
      <c r="Y28" s="40">
        <f t="shared" si="10"/>
        <v>4.9592187499999998</v>
      </c>
      <c r="Z28" s="15">
        <v>39</v>
      </c>
      <c r="AA28" s="29" t="s">
        <v>58</v>
      </c>
      <c r="AB28" s="41">
        <f t="shared" si="11"/>
        <v>-0.69</v>
      </c>
      <c r="AC28" s="42">
        <v>0.20364781828703707</v>
      </c>
      <c r="AD28" s="40">
        <f t="shared" si="12"/>
        <v>-25.012025042013889</v>
      </c>
      <c r="AE28" s="26">
        <v>-7.18</v>
      </c>
      <c r="AF28" s="26">
        <v>-9.1364599999999996</v>
      </c>
      <c r="AG28" s="26">
        <v>0</v>
      </c>
    </row>
    <row r="29" spans="1:33" ht="15.75" customHeight="1" x14ac:dyDescent="0.2">
      <c r="A29" s="15" t="s">
        <v>77</v>
      </c>
      <c r="B29" s="15" t="s">
        <v>590</v>
      </c>
      <c r="C29" s="16">
        <f t="shared" si="4"/>
        <v>27.831034482758621</v>
      </c>
      <c r="D29" s="17">
        <v>58</v>
      </c>
      <c r="E29" s="17">
        <v>0</v>
      </c>
      <c r="F29" s="18">
        <v>1614.2</v>
      </c>
      <c r="G29" s="18">
        <v>-133.72999999999999</v>
      </c>
      <c r="H29" s="32">
        <f t="shared" si="1"/>
        <v>8.2845991822574641E-2</v>
      </c>
      <c r="I29" s="32">
        <f t="shared" si="2"/>
        <v>0.17078760291432629</v>
      </c>
      <c r="J29" s="33">
        <f t="shared" si="5"/>
        <v>275.6853486243055</v>
      </c>
      <c r="K29" s="33">
        <f t="shared" si="3"/>
        <v>4.7531956659363015</v>
      </c>
      <c r="L29" s="17">
        <v>170</v>
      </c>
      <c r="M29" s="34">
        <f t="shared" si="6"/>
        <v>0.3411764705882353</v>
      </c>
      <c r="N29" s="17">
        <v>239</v>
      </c>
      <c r="O29" s="35">
        <f t="shared" ref="O29:P29" si="37">D29/7</f>
        <v>8.2857142857142865</v>
      </c>
      <c r="P29" s="35">
        <f t="shared" si="37"/>
        <v>0</v>
      </c>
      <c r="Q29" s="30">
        <f t="shared" si="8"/>
        <v>28</v>
      </c>
      <c r="R29" s="30"/>
      <c r="S29" s="22">
        <v>1.7407071622846779</v>
      </c>
      <c r="T29" s="15">
        <v>668</v>
      </c>
      <c r="U29" s="23">
        <v>200</v>
      </c>
      <c r="V29" s="1" t="s">
        <v>591</v>
      </c>
      <c r="W29" s="15">
        <v>10</v>
      </c>
      <c r="X29" s="39">
        <f t="shared" si="9"/>
        <v>0.17241379310344829</v>
      </c>
      <c r="Y29" s="40">
        <f t="shared" si="10"/>
        <v>4.1790624999999997</v>
      </c>
      <c r="Z29" s="15">
        <v>22</v>
      </c>
      <c r="AA29" s="29" t="s">
        <v>58</v>
      </c>
      <c r="AB29" s="41">
        <f t="shared" si="11"/>
        <v>-0.69</v>
      </c>
      <c r="AC29" s="42">
        <v>0.20364781828703707</v>
      </c>
      <c r="AD29" s="40">
        <f t="shared" si="12"/>
        <v>-16.299971375694444</v>
      </c>
      <c r="AE29" s="26">
        <v>-7.18</v>
      </c>
      <c r="AF29" s="26">
        <v>-9.1364599999999996</v>
      </c>
      <c r="AG29" s="26">
        <v>0</v>
      </c>
    </row>
    <row r="30" spans="1:33" ht="15.75" customHeight="1" x14ac:dyDescent="0.2">
      <c r="A30" s="15" t="s">
        <v>78</v>
      </c>
      <c r="B30" s="15" t="s">
        <v>395</v>
      </c>
      <c r="C30" s="16">
        <f t="shared" si="4"/>
        <v>28.675000000000022</v>
      </c>
      <c r="D30" s="17">
        <v>62</v>
      </c>
      <c r="E30" s="17">
        <v>0</v>
      </c>
      <c r="F30" s="18">
        <v>1777.8500000000013</v>
      </c>
      <c r="G30" s="18">
        <v>-130.1</v>
      </c>
      <c r="H30" s="32">
        <f t="shared" si="1"/>
        <v>7.3178277132491434E-2</v>
      </c>
      <c r="I30" s="32">
        <f t="shared" si="2"/>
        <v>0.22390715467270167</v>
      </c>
      <c r="J30" s="33">
        <f t="shared" si="5"/>
        <v>398.07333493486294</v>
      </c>
      <c r="K30" s="33">
        <f t="shared" si="3"/>
        <v>6.4205376602397246</v>
      </c>
      <c r="L30" s="17">
        <v>138</v>
      </c>
      <c r="M30" s="34">
        <f t="shared" si="6"/>
        <v>0.44927536231884058</v>
      </c>
      <c r="N30" s="17">
        <v>358</v>
      </c>
      <c r="O30" s="35">
        <f t="shared" ref="O30:P30" si="38">D30/7</f>
        <v>8.8571428571428577</v>
      </c>
      <c r="P30" s="35">
        <f t="shared" si="38"/>
        <v>0</v>
      </c>
      <c r="Q30" s="30">
        <f t="shared" si="8"/>
        <v>40</v>
      </c>
      <c r="R30" s="30"/>
      <c r="S30" s="22">
        <v>1.691558441558441</v>
      </c>
      <c r="T30" s="29">
        <v>468</v>
      </c>
      <c r="U30" s="37" t="s">
        <v>56</v>
      </c>
      <c r="V30" s="38" t="s">
        <v>56</v>
      </c>
      <c r="W30" s="15">
        <v>12</v>
      </c>
      <c r="X30" s="39">
        <f t="shared" si="9"/>
        <v>0.19354838709677419</v>
      </c>
      <c r="Y30" s="40">
        <f t="shared" si="10"/>
        <v>3.3358974358974356</v>
      </c>
      <c r="Z30" s="15">
        <v>27</v>
      </c>
      <c r="AA30" s="29" t="s">
        <v>58</v>
      </c>
      <c r="AB30" s="41">
        <f t="shared" si="11"/>
        <v>-0.69</v>
      </c>
      <c r="AC30" s="42">
        <v>0.20364781828703707</v>
      </c>
      <c r="AD30" s="40">
        <f t="shared" si="12"/>
        <v>-17.42410733263889</v>
      </c>
      <c r="AE30" s="26">
        <v>-7.18</v>
      </c>
      <c r="AF30" s="26">
        <v>-8.3937912537499901</v>
      </c>
      <c r="AG30" s="26">
        <v>0</v>
      </c>
    </row>
    <row r="31" spans="1:33" ht="15.75" customHeight="1" x14ac:dyDescent="0.2">
      <c r="A31" s="15" t="s">
        <v>55</v>
      </c>
      <c r="B31" s="15" t="s">
        <v>96</v>
      </c>
      <c r="C31" s="16">
        <f t="shared" si="4"/>
        <v>28.187500000000018</v>
      </c>
      <c r="D31" s="17">
        <v>48</v>
      </c>
      <c r="E31" s="17">
        <v>1</v>
      </c>
      <c r="F31" s="18">
        <v>1353.0000000000009</v>
      </c>
      <c r="G31" s="43">
        <v>-29.21</v>
      </c>
      <c r="H31" s="32">
        <f t="shared" si="1"/>
        <v>2.1589061345158891E-2</v>
      </c>
      <c r="I31" s="32">
        <f t="shared" si="2"/>
        <v>0.26593376817196385</v>
      </c>
      <c r="J31" s="33">
        <f t="shared" si="5"/>
        <v>359.80838833666729</v>
      </c>
      <c r="K31" s="33">
        <f t="shared" si="3"/>
        <v>7.4960080903472353</v>
      </c>
      <c r="L31" s="17">
        <v>160</v>
      </c>
      <c r="M31" s="34">
        <f t="shared" si="6"/>
        <v>0.3</v>
      </c>
      <c r="N31" s="17">
        <v>298</v>
      </c>
      <c r="O31" s="35">
        <f t="shared" ref="O31:P31" si="39">D31/7</f>
        <v>6.8571428571428568</v>
      </c>
      <c r="P31" s="35">
        <f t="shared" si="39"/>
        <v>0.14285714285714285</v>
      </c>
      <c r="Q31" s="30">
        <f t="shared" si="8"/>
        <v>42</v>
      </c>
      <c r="R31" s="30"/>
      <c r="S31" s="22">
        <v>1.7679558011049701</v>
      </c>
      <c r="T31" s="15">
        <v>468</v>
      </c>
      <c r="U31" s="23" t="s">
        <v>56</v>
      </c>
      <c r="V31" s="1" t="s">
        <v>592</v>
      </c>
      <c r="W31" s="15">
        <v>2</v>
      </c>
      <c r="X31" s="39">
        <f t="shared" si="9"/>
        <v>4.1666666666666664E-2</v>
      </c>
      <c r="Y31" s="40">
        <f t="shared" si="10"/>
        <v>1.7182352941176471</v>
      </c>
      <c r="Z31" s="15">
        <v>15</v>
      </c>
      <c r="AA31" s="15" t="s">
        <v>58</v>
      </c>
      <c r="AB31" s="41">
        <f t="shared" si="11"/>
        <v>-0.69</v>
      </c>
      <c r="AC31" s="28">
        <v>0.20364781828703707</v>
      </c>
      <c r="AD31" s="40">
        <f t="shared" si="12"/>
        <v>-13.489631483333334</v>
      </c>
      <c r="AE31" s="44">
        <v>-7.18</v>
      </c>
      <c r="AF31" s="44">
        <v>-8.393791253749999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28.043103448275861</v>
      </c>
      <c r="D32" s="17">
        <v>58</v>
      </c>
      <c r="E32" s="17">
        <v>2</v>
      </c>
      <c r="F32" s="18">
        <v>1626.5</v>
      </c>
      <c r="G32" s="18">
        <v>0</v>
      </c>
      <c r="H32" s="32">
        <f t="shared" si="1"/>
        <v>0</v>
      </c>
      <c r="I32" s="32">
        <f t="shared" si="2"/>
        <v>0.28462658217448877</v>
      </c>
      <c r="J32" s="33">
        <f t="shared" si="5"/>
        <v>462.945135906806</v>
      </c>
      <c r="K32" s="33">
        <f t="shared" si="3"/>
        <v>7.9818126880483797</v>
      </c>
      <c r="L32" s="17">
        <v>109</v>
      </c>
      <c r="M32" s="34">
        <f t="shared" si="6"/>
        <v>0.5321100917431193</v>
      </c>
      <c r="N32" s="17">
        <v>207</v>
      </c>
      <c r="O32" s="35">
        <f t="shared" ref="O32:P32" si="40">D32/7</f>
        <v>8.2857142857142865</v>
      </c>
      <c r="P32" s="35">
        <f t="shared" si="40"/>
        <v>0.2857142857142857</v>
      </c>
      <c r="Q32" s="30">
        <f t="shared" si="8"/>
        <v>24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2.416918429003021</v>
      </c>
      <c r="T32" s="15">
        <f ca="1">IFERROR(__xludf.DUMMYFUNCTION("IFERROR(VLOOKUP($B$2,IMPORTRANGE(""https://docs.google.com/spreadsheets/d/1KiWZV1ko8G7lnRucBRBd29jj3Be6ltMfljMDqzOkQmI/edit#gid=1381463014"",""Lookup!A:D""),4,FALSE),"""")"),468)</f>
        <v>468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468 At Factory 50-75 days from Earliest Arrival")</f>
        <v>No Transit, But 468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0.20364781828703707</v>
      </c>
      <c r="AD32" s="40">
        <f t="shared" si="12"/>
        <v>-16.299971375694444</v>
      </c>
      <c r="AE32" s="26">
        <v>-7.18</v>
      </c>
      <c r="AF32" s="26">
        <v>-8.3937912537499901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85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Info!B1:BJ7000""),3,FALSE),"""")"),"Professional Cornhole Bags - Set of 8 Regulation All Weather Two Sided Bean Bags for Pro Corn Hole Game - 4 Hunter Green &amp; 4 Royal Blue")</f>
        <v>Professional Cornhole Bags - Set of 8 Regulation All Weather Two Sided Bean Bags for Pro Corn Hole Game - 4 Hunter Green &amp; 4 Royal Blue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Info!B1:BJ7000""),2,FALSE),"""")"),"B07ZTMC9XZ")</f>
        <v>B07ZTMC9XZ</v>
      </c>
      <c r="B2" s="47" t="s">
        <v>593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18.322107357352941</v>
      </c>
      <c r="D3" s="5">
        <f>SUM(D4:D99765)</f>
        <v>578</v>
      </c>
      <c r="E3" s="5"/>
      <c r="F3" s="6">
        <f t="shared" ref="F3:G3" si="0">SUM(F4:F99765)</f>
        <v>16330.13</v>
      </c>
      <c r="G3" s="6">
        <f t="shared" si="0"/>
        <v>-2375.9500000000003</v>
      </c>
      <c r="H3" s="7">
        <f t="shared" ref="H3:H32" si="1">G3/F3*-1</f>
        <v>0.14549486133913206</v>
      </c>
      <c r="I3" s="8">
        <f t="shared" ref="I3:I32" si="2">J3/F3</f>
        <v>0.12961481973135644</v>
      </c>
      <c r="J3" s="6">
        <f>SUM(J4:J99765)</f>
        <v>2116.6268561396155</v>
      </c>
      <c r="K3" s="6">
        <f t="shared" ref="K3:K32" si="3">J3/D3</f>
        <v>3.6619841801723449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7 - April
2.5 - May
3.5 - June
10 - July
8 - Aug
3 - Sept
3 - Oct
3 - Nov
3 - Dec
0.5 - Jan
1.5 - Feb")</f>
        <v>3 - March
7 - April
2.5 - May
3.5 - June
10 - July
8 - Aug
3 - Sept
3 - Oct
3 - Nov
3 - Dec
0.5 -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QTY-51")</f>
        <v>Del QTY-51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QTY-104")</f>
        <v>US QTY-104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98</v>
      </c>
      <c r="X3" s="7">
        <f>W3/D3</f>
        <v>0.16955017301038061</v>
      </c>
      <c r="Y3" s="6"/>
      <c r="Z3" s="5"/>
      <c r="AA3" s="5"/>
      <c r="AB3" s="5"/>
      <c r="AC3" s="5"/>
      <c r="AD3" s="6">
        <f>SUM(AD4:AD99765)</f>
        <v>-115.89875374999998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Info!B2:BZ7000""),36,FALSE)),"""")*-1"),-8.39379125375)</f>
        <v>-8.3937912537500008</v>
      </c>
      <c r="AG3" s="6">
        <f>SUM(AG4:AG99765)</f>
        <v>-60</v>
      </c>
    </row>
    <row r="4" spans="1:33" ht="15.75" customHeight="1" x14ac:dyDescent="0.2">
      <c r="A4" s="15" t="s">
        <v>32</v>
      </c>
      <c r="B4" s="15" t="s">
        <v>594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1136</v>
      </c>
      <c r="U4" s="23">
        <v>100</v>
      </c>
      <c r="V4" s="24" t="s">
        <v>595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-7.132597435897436</v>
      </c>
      <c r="AG4" s="26">
        <v>0</v>
      </c>
    </row>
    <row r="5" spans="1:33" ht="15.75" customHeight="1" x14ac:dyDescent="0.2">
      <c r="A5" s="29" t="s">
        <v>33</v>
      </c>
      <c r="B5" s="29" t="s">
        <v>596</v>
      </c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1320</v>
      </c>
      <c r="U5" s="37">
        <v>100</v>
      </c>
      <c r="V5" s="38" t="s">
        <v>597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-7.132597435897436</v>
      </c>
      <c r="AG5" s="40">
        <v>0</v>
      </c>
    </row>
    <row r="6" spans="1:33" ht="15.75" customHeight="1" x14ac:dyDescent="0.2">
      <c r="A6" s="29" t="s">
        <v>34</v>
      </c>
      <c r="B6" s="29" t="s">
        <v>462</v>
      </c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100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1220</v>
      </c>
      <c r="U6" s="37">
        <v>100</v>
      </c>
      <c r="V6" s="38" t="s">
        <v>598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-7.132597435897436</v>
      </c>
      <c r="AG6" s="40">
        <v>0</v>
      </c>
    </row>
    <row r="7" spans="1:33" ht="15.75" customHeight="1" x14ac:dyDescent="0.2">
      <c r="A7" s="29" t="s">
        <v>35</v>
      </c>
      <c r="B7" s="29" t="s">
        <v>599</v>
      </c>
      <c r="C7" s="16">
        <f t="shared" si="4"/>
        <v>29.990000000000006</v>
      </c>
      <c r="D7" s="30">
        <v>12</v>
      </c>
      <c r="E7" s="30">
        <v>0</v>
      </c>
      <c r="F7" s="31">
        <v>359.88000000000005</v>
      </c>
      <c r="G7" s="31">
        <v>-58.430000000000007</v>
      </c>
      <c r="H7" s="32">
        <f t="shared" si="1"/>
        <v>0.16235967544737134</v>
      </c>
      <c r="I7" s="32">
        <f t="shared" si="2"/>
        <v>0.19904031418592524</v>
      </c>
      <c r="J7" s="33">
        <f t="shared" si="5"/>
        <v>71.630628269230783</v>
      </c>
      <c r="K7" s="33">
        <f t="shared" si="3"/>
        <v>5.9692190224358983</v>
      </c>
      <c r="L7" s="30">
        <v>61</v>
      </c>
      <c r="M7" s="34">
        <f t="shared" si="6"/>
        <v>0.19672131147540983</v>
      </c>
      <c r="N7" s="30">
        <v>89</v>
      </c>
      <c r="O7" s="35">
        <f t="shared" ref="O7:P7" si="15">D7/7</f>
        <v>1.7142857142857142</v>
      </c>
      <c r="P7" s="35">
        <f t="shared" si="15"/>
        <v>0</v>
      </c>
      <c r="Q7" s="30">
        <f t="shared" si="8"/>
        <v>51</v>
      </c>
      <c r="R7" s="30"/>
      <c r="S7" s="36">
        <v>1.6094674556213</v>
      </c>
      <c r="T7" s="29">
        <v>1220</v>
      </c>
      <c r="U7" s="37">
        <v>100</v>
      </c>
      <c r="V7" s="38" t="s">
        <v>600</v>
      </c>
      <c r="W7" s="29">
        <v>5</v>
      </c>
      <c r="X7" s="39">
        <f t="shared" si="9"/>
        <v>0.41666666666666669</v>
      </c>
      <c r="Y7" s="40">
        <f t="shared" si="10"/>
        <v>3.8953333333333338</v>
      </c>
      <c r="Z7" s="29">
        <v>10</v>
      </c>
      <c r="AA7" s="29" t="s">
        <v>58</v>
      </c>
      <c r="AB7" s="41">
        <f t="shared" si="11"/>
        <v>-0.69</v>
      </c>
      <c r="AC7" s="42">
        <v>0.14530208333333333</v>
      </c>
      <c r="AD7" s="40">
        <f t="shared" si="12"/>
        <v>-2.4062025</v>
      </c>
      <c r="AE7" s="40">
        <v>-7.32</v>
      </c>
      <c r="AF7" s="40">
        <v>-7.132597435897436</v>
      </c>
      <c r="AG7" s="40">
        <v>0</v>
      </c>
    </row>
    <row r="8" spans="1:33" ht="15.75" customHeight="1" x14ac:dyDescent="0.2">
      <c r="A8" s="29" t="s">
        <v>36</v>
      </c>
      <c r="B8" s="29" t="s">
        <v>535</v>
      </c>
      <c r="C8" s="16">
        <f t="shared" si="4"/>
        <v>30.977500000000003</v>
      </c>
      <c r="D8" s="30">
        <v>12</v>
      </c>
      <c r="E8" s="30">
        <v>0</v>
      </c>
      <c r="F8" s="31">
        <v>371.73</v>
      </c>
      <c r="G8" s="31">
        <v>-69.399999999999991</v>
      </c>
      <c r="H8" s="32">
        <f t="shared" si="1"/>
        <v>0.18669464396201541</v>
      </c>
      <c r="I8" s="32">
        <f t="shared" si="2"/>
        <v>0.19036477416404385</v>
      </c>
      <c r="J8" s="33">
        <f t="shared" si="5"/>
        <v>70.764297500000026</v>
      </c>
      <c r="K8" s="33">
        <f t="shared" si="3"/>
        <v>5.8970247916666692</v>
      </c>
      <c r="L8" s="30">
        <v>51</v>
      </c>
      <c r="M8" s="34">
        <f t="shared" si="6"/>
        <v>0.23529411764705882</v>
      </c>
      <c r="N8" s="30">
        <v>71</v>
      </c>
      <c r="O8" s="35">
        <f t="shared" ref="O8:P8" si="16">D8/7</f>
        <v>1.7142857142857142</v>
      </c>
      <c r="P8" s="35">
        <f t="shared" si="16"/>
        <v>0</v>
      </c>
      <c r="Q8" s="30">
        <f t="shared" si="8"/>
        <v>41</v>
      </c>
      <c r="R8" s="30"/>
      <c r="S8" s="36">
        <v>2.1605839416058301</v>
      </c>
      <c r="T8" s="29">
        <v>1220</v>
      </c>
      <c r="U8" s="37">
        <v>100</v>
      </c>
      <c r="V8" s="38" t="s">
        <v>601</v>
      </c>
      <c r="W8" s="29">
        <v>7</v>
      </c>
      <c r="X8" s="39">
        <f t="shared" si="9"/>
        <v>0.58333333333333337</v>
      </c>
      <c r="Y8" s="40">
        <f t="shared" si="10"/>
        <v>4.0823529411764703</v>
      </c>
      <c r="Z8" s="29">
        <v>10</v>
      </c>
      <c r="AA8" s="29" t="s">
        <v>58</v>
      </c>
      <c r="AB8" s="41">
        <f t="shared" si="11"/>
        <v>-0.69</v>
      </c>
      <c r="AC8" s="42">
        <v>0.14530208333333333</v>
      </c>
      <c r="AD8" s="40">
        <f t="shared" si="12"/>
        <v>-2.4062025</v>
      </c>
      <c r="AE8" s="40">
        <v>-7.32</v>
      </c>
      <c r="AF8" s="40">
        <v>-7.13</v>
      </c>
      <c r="AG8" s="40">
        <v>0</v>
      </c>
    </row>
    <row r="9" spans="1:33" ht="15.75" customHeight="1" x14ac:dyDescent="0.2">
      <c r="A9" s="29" t="s">
        <v>37</v>
      </c>
      <c r="B9" s="29" t="s">
        <v>602</v>
      </c>
      <c r="C9" s="16">
        <f t="shared" si="4"/>
        <v>32.18</v>
      </c>
      <c r="D9" s="30">
        <v>9</v>
      </c>
      <c r="E9" s="30">
        <v>0</v>
      </c>
      <c r="F9" s="31">
        <v>289.62</v>
      </c>
      <c r="G9" s="31">
        <v>-73.580000000000013</v>
      </c>
      <c r="H9" s="32">
        <f t="shared" si="1"/>
        <v>0.25405704025965059</v>
      </c>
      <c r="I9" s="32">
        <f t="shared" si="2"/>
        <v>0.12961855206158743</v>
      </c>
      <c r="J9" s="33">
        <f t="shared" si="5"/>
        <v>37.540125048076952</v>
      </c>
      <c r="K9" s="33">
        <f t="shared" si="3"/>
        <v>4.1711250053418834</v>
      </c>
      <c r="L9" s="30">
        <v>78</v>
      </c>
      <c r="M9" s="34">
        <f t="shared" si="6"/>
        <v>0.11538461538461539</v>
      </c>
      <c r="N9" s="30">
        <v>64</v>
      </c>
      <c r="O9" s="35">
        <f t="shared" ref="O9:P9" si="17">D9/7</f>
        <v>1.2857142857142858</v>
      </c>
      <c r="P9" s="35">
        <f t="shared" si="17"/>
        <v>0</v>
      </c>
      <c r="Q9" s="30">
        <f t="shared" si="8"/>
        <v>49</v>
      </c>
      <c r="R9" s="30"/>
      <c r="S9" s="36">
        <v>2.4745762711864399</v>
      </c>
      <c r="T9" s="29">
        <v>1220</v>
      </c>
      <c r="U9" s="37">
        <v>368</v>
      </c>
      <c r="V9" s="38" t="s">
        <v>603</v>
      </c>
      <c r="W9" s="29">
        <v>3</v>
      </c>
      <c r="X9" s="39">
        <f t="shared" si="9"/>
        <v>0.33333333333333331</v>
      </c>
      <c r="Y9" s="40">
        <f t="shared" si="10"/>
        <v>3.0658333333333339</v>
      </c>
      <c r="Z9" s="29">
        <v>21</v>
      </c>
      <c r="AA9" s="29" t="s">
        <v>58</v>
      </c>
      <c r="AB9" s="41">
        <f t="shared" si="11"/>
        <v>-0.69</v>
      </c>
      <c r="AC9" s="42">
        <v>0.14530208333333333</v>
      </c>
      <c r="AD9" s="40">
        <f t="shared" si="12"/>
        <v>-1.8046518749999998</v>
      </c>
      <c r="AE9" s="40">
        <v>-7.32</v>
      </c>
      <c r="AF9" s="40">
        <v>-7.4858025641025598</v>
      </c>
      <c r="AG9" s="40">
        <v>0</v>
      </c>
    </row>
    <row r="10" spans="1:33" ht="15.75" customHeight="1" x14ac:dyDescent="0.2">
      <c r="A10" s="29" t="s">
        <v>38</v>
      </c>
      <c r="B10" s="29" t="s">
        <v>604</v>
      </c>
      <c r="C10" s="16">
        <f t="shared" si="4"/>
        <v>30.233750000000001</v>
      </c>
      <c r="D10" s="30">
        <v>8</v>
      </c>
      <c r="E10" s="30">
        <v>0</v>
      </c>
      <c r="F10" s="31">
        <v>241.87</v>
      </c>
      <c r="G10" s="31">
        <v>-58.170000000000016</v>
      </c>
      <c r="H10" s="32">
        <f t="shared" si="1"/>
        <v>0.24050109562988389</v>
      </c>
      <c r="I10" s="32">
        <f t="shared" si="2"/>
        <v>0.11315559799553268</v>
      </c>
      <c r="J10" s="33">
        <f t="shared" si="5"/>
        <v>27.36894448717949</v>
      </c>
      <c r="K10" s="33">
        <f t="shared" si="3"/>
        <v>3.4211180608974363</v>
      </c>
      <c r="L10" s="30">
        <v>69</v>
      </c>
      <c r="M10" s="34">
        <f t="shared" si="6"/>
        <v>0.11594202898550725</v>
      </c>
      <c r="N10" s="30">
        <v>53</v>
      </c>
      <c r="O10" s="35">
        <f t="shared" ref="O10:P10" si="18">D10/7</f>
        <v>1.1428571428571428</v>
      </c>
      <c r="P10" s="35">
        <f t="shared" si="18"/>
        <v>0</v>
      </c>
      <c r="Q10" s="30">
        <f t="shared" si="8"/>
        <v>46</v>
      </c>
      <c r="R10" s="30"/>
      <c r="S10" s="36">
        <v>2.76595744680851</v>
      </c>
      <c r="T10" s="29">
        <v>1280</v>
      </c>
      <c r="U10" s="37">
        <v>100</v>
      </c>
      <c r="V10" s="38" t="s">
        <v>605</v>
      </c>
      <c r="W10" s="29">
        <v>1</v>
      </c>
      <c r="X10" s="39">
        <f t="shared" si="9"/>
        <v>0.125</v>
      </c>
      <c r="Y10" s="40">
        <f t="shared" si="10"/>
        <v>6.4633333333333347</v>
      </c>
      <c r="Z10" s="29">
        <v>8</v>
      </c>
      <c r="AA10" s="29" t="s">
        <v>58</v>
      </c>
      <c r="AB10" s="41">
        <f t="shared" si="11"/>
        <v>-0.69</v>
      </c>
      <c r="AC10" s="42">
        <v>0.14530208333333333</v>
      </c>
      <c r="AD10" s="40">
        <f t="shared" si="12"/>
        <v>-1.6041349999999999</v>
      </c>
      <c r="AE10" s="40">
        <v>-7.32</v>
      </c>
      <c r="AF10" s="40">
        <v>-7.4858025641025598</v>
      </c>
      <c r="AG10" s="40">
        <v>0</v>
      </c>
    </row>
    <row r="11" spans="1:33" ht="15.75" customHeight="1" x14ac:dyDescent="0.2">
      <c r="A11" s="29" t="s">
        <v>39</v>
      </c>
      <c r="B11" s="29" t="s">
        <v>506</v>
      </c>
      <c r="C11" s="16">
        <f t="shared" si="4"/>
        <v>29.990000000000006</v>
      </c>
      <c r="D11" s="30">
        <v>13</v>
      </c>
      <c r="E11" s="30">
        <v>0</v>
      </c>
      <c r="F11" s="31">
        <v>389.87000000000006</v>
      </c>
      <c r="G11" s="31">
        <v>-65.98</v>
      </c>
      <c r="H11" s="32">
        <f t="shared" si="1"/>
        <v>0.16923589914586912</v>
      </c>
      <c r="I11" s="32">
        <f t="shared" si="2"/>
        <v>0.18038666040389559</v>
      </c>
      <c r="J11" s="33">
        <f t="shared" si="5"/>
        <v>70.327347291666783</v>
      </c>
      <c r="K11" s="33">
        <f t="shared" si="3"/>
        <v>5.4097959455128297</v>
      </c>
      <c r="L11" s="30">
        <v>81</v>
      </c>
      <c r="M11" s="34">
        <f t="shared" si="6"/>
        <v>0.16049382716049382</v>
      </c>
      <c r="N11" s="30">
        <v>44</v>
      </c>
      <c r="O11" s="35">
        <f t="shared" ref="O11:P11" si="19">D11/7</f>
        <v>1.8571428571428572</v>
      </c>
      <c r="P11" s="35">
        <f t="shared" si="19"/>
        <v>0</v>
      </c>
      <c r="Q11" s="30">
        <f t="shared" si="8"/>
        <v>23</v>
      </c>
      <c r="R11" s="30"/>
      <c r="S11" s="36">
        <v>1.38271604938271</v>
      </c>
      <c r="T11" s="29">
        <v>1220</v>
      </c>
      <c r="U11" s="37">
        <v>100</v>
      </c>
      <c r="V11" s="38" t="s">
        <v>606</v>
      </c>
      <c r="W11" s="29">
        <v>3</v>
      </c>
      <c r="X11" s="39">
        <f t="shared" si="9"/>
        <v>0.23076923076923078</v>
      </c>
      <c r="Y11" s="40">
        <f t="shared" si="10"/>
        <v>5.498333333333334</v>
      </c>
      <c r="Z11" s="29">
        <v>9</v>
      </c>
      <c r="AA11" s="29" t="s">
        <v>58</v>
      </c>
      <c r="AB11" s="41">
        <f t="shared" si="11"/>
        <v>-0.69</v>
      </c>
      <c r="AC11" s="42">
        <v>0.14530208333333333</v>
      </c>
      <c r="AD11" s="40">
        <f t="shared" si="12"/>
        <v>-2.6067193749999999</v>
      </c>
      <c r="AE11" s="40">
        <v>-7.32</v>
      </c>
      <c r="AF11" s="40">
        <v>-7.4858025641025598</v>
      </c>
      <c r="AG11" s="40">
        <v>0</v>
      </c>
    </row>
    <row r="12" spans="1:33" ht="15.75" customHeight="1" x14ac:dyDescent="0.2">
      <c r="A12" s="29" t="s">
        <v>40</v>
      </c>
      <c r="B12" s="29" t="s">
        <v>607</v>
      </c>
      <c r="C12" s="16">
        <f t="shared" si="4"/>
        <v>29.990000000000006</v>
      </c>
      <c r="D12" s="30">
        <v>15</v>
      </c>
      <c r="E12" s="30">
        <v>1</v>
      </c>
      <c r="F12" s="31">
        <v>449.85000000000008</v>
      </c>
      <c r="G12" s="31">
        <v>-77.970000000000013</v>
      </c>
      <c r="H12" s="32">
        <f t="shared" si="1"/>
        <v>0.1733244414804935</v>
      </c>
      <c r="I12" s="32">
        <f t="shared" si="2"/>
        <v>0.17629811806927112</v>
      </c>
      <c r="J12" s="33">
        <f t="shared" si="5"/>
        <v>79.307708413461626</v>
      </c>
      <c r="K12" s="33">
        <f t="shared" si="3"/>
        <v>5.2871805608974416</v>
      </c>
      <c r="L12" s="30">
        <v>68</v>
      </c>
      <c r="M12" s="34">
        <f t="shared" si="6"/>
        <v>0.22058823529411764</v>
      </c>
      <c r="N12" s="30">
        <v>27</v>
      </c>
      <c r="O12" s="35">
        <f t="shared" ref="O12:P12" si="20">D12/7</f>
        <v>2.1428571428571428</v>
      </c>
      <c r="P12" s="35">
        <f t="shared" si="20"/>
        <v>0.14285714285714285</v>
      </c>
      <c r="Q12" s="30">
        <f t="shared" si="8"/>
        <v>11</v>
      </c>
      <c r="R12" s="30"/>
      <c r="S12" s="36">
        <v>2.1818181818181799</v>
      </c>
      <c r="T12" s="29">
        <v>552</v>
      </c>
      <c r="U12" s="37">
        <v>368</v>
      </c>
      <c r="V12" s="38" t="s">
        <v>608</v>
      </c>
      <c r="W12" s="29">
        <v>6</v>
      </c>
      <c r="X12" s="39">
        <f t="shared" si="9"/>
        <v>0.4</v>
      </c>
      <c r="Y12" s="40">
        <f t="shared" si="10"/>
        <v>4.5864705882352945</v>
      </c>
      <c r="Z12" s="29">
        <v>11</v>
      </c>
      <c r="AA12" s="29" t="s">
        <v>58</v>
      </c>
      <c r="AB12" s="41">
        <f t="shared" si="11"/>
        <v>-0.69</v>
      </c>
      <c r="AC12" s="42">
        <v>0.14530208333333333</v>
      </c>
      <c r="AD12" s="40">
        <f t="shared" si="12"/>
        <v>-3.0077531249999998</v>
      </c>
      <c r="AE12" s="40">
        <v>-7.32</v>
      </c>
      <c r="AF12" s="40">
        <v>-7.4858025641025598</v>
      </c>
      <c r="AG12" s="40">
        <v>0</v>
      </c>
    </row>
    <row r="13" spans="1:33" ht="15.75" customHeight="1" x14ac:dyDescent="0.2">
      <c r="A13" s="29" t="s">
        <v>41</v>
      </c>
      <c r="B13" s="29" t="s">
        <v>127</v>
      </c>
      <c r="C13" s="16">
        <f t="shared" si="4"/>
        <v>29.990000000000002</v>
      </c>
      <c r="D13" s="30">
        <v>10</v>
      </c>
      <c r="E13" s="30">
        <v>0</v>
      </c>
      <c r="F13" s="33">
        <v>299.90000000000003</v>
      </c>
      <c r="G13" s="31">
        <v>-12.64</v>
      </c>
      <c r="H13" s="32">
        <f t="shared" si="1"/>
        <v>4.2147382460820268E-2</v>
      </c>
      <c r="I13" s="32">
        <f t="shared" si="2"/>
        <v>0.30127652967655899</v>
      </c>
      <c r="J13" s="33">
        <f t="shared" si="5"/>
        <v>90.352831250000051</v>
      </c>
      <c r="K13" s="33">
        <f t="shared" si="3"/>
        <v>9.0352831250000047</v>
      </c>
      <c r="L13" s="30">
        <v>32</v>
      </c>
      <c r="M13" s="34">
        <f t="shared" si="6"/>
        <v>0.3125</v>
      </c>
      <c r="N13" s="30">
        <v>17</v>
      </c>
      <c r="O13" s="35">
        <f t="shared" ref="O13:P13" si="21">D13/7</f>
        <v>1.4285714285714286</v>
      </c>
      <c r="P13" s="35">
        <f t="shared" si="21"/>
        <v>0</v>
      </c>
      <c r="Q13" s="30">
        <f t="shared" si="8"/>
        <v>11</v>
      </c>
      <c r="R13" s="30"/>
      <c r="S13" s="36">
        <v>2.72727272727272</v>
      </c>
      <c r="T13" s="29">
        <v>184</v>
      </c>
      <c r="U13" s="37">
        <v>184</v>
      </c>
      <c r="V13" s="38" t="s">
        <v>609</v>
      </c>
      <c r="W13" s="29">
        <v>0</v>
      </c>
      <c r="X13" s="39">
        <f t="shared" si="9"/>
        <v>0</v>
      </c>
      <c r="Y13" s="40">
        <f t="shared" si="10"/>
        <v>4.2133333333333338</v>
      </c>
      <c r="Z13" s="29">
        <v>3</v>
      </c>
      <c r="AA13" s="29" t="s">
        <v>58</v>
      </c>
      <c r="AB13" s="41">
        <f t="shared" si="11"/>
        <v>-0.69</v>
      </c>
      <c r="AC13" s="42">
        <v>0.14530208333333333</v>
      </c>
      <c r="AD13" s="40">
        <f t="shared" si="12"/>
        <v>-2.0051687499999997</v>
      </c>
      <c r="AE13" s="40">
        <v>-7.32</v>
      </c>
      <c r="AF13" s="40">
        <v>-7.6717000000000004</v>
      </c>
      <c r="AG13" s="40">
        <v>0</v>
      </c>
    </row>
    <row r="14" spans="1:33" ht="15.75" customHeight="1" x14ac:dyDescent="0.2">
      <c r="A14" s="29" t="s">
        <v>42</v>
      </c>
      <c r="B14" s="29" t="s">
        <v>462</v>
      </c>
      <c r="C14" s="16">
        <f t="shared" si="4"/>
        <v>29.99</v>
      </c>
      <c r="D14" s="30">
        <v>4</v>
      </c>
      <c r="E14" s="30">
        <v>0</v>
      </c>
      <c r="F14" s="33">
        <v>119.96</v>
      </c>
      <c r="G14" s="31">
        <v>0</v>
      </c>
      <c r="H14" s="32">
        <f t="shared" si="1"/>
        <v>0</v>
      </c>
      <c r="I14" s="32">
        <f t="shared" si="2"/>
        <v>0.34342391213737905</v>
      </c>
      <c r="J14" s="33">
        <f t="shared" si="5"/>
        <v>41.197132499999988</v>
      </c>
      <c r="K14" s="33">
        <f t="shared" si="3"/>
        <v>10.299283124999997</v>
      </c>
      <c r="L14" s="30">
        <v>30</v>
      </c>
      <c r="M14" s="34">
        <f t="shared" si="6"/>
        <v>0.13333333333333333</v>
      </c>
      <c r="N14" s="30">
        <v>11</v>
      </c>
      <c r="O14" s="35">
        <f t="shared" ref="O14:P14" si="22">D14/7</f>
        <v>0.5714285714285714</v>
      </c>
      <c r="P14" s="35">
        <f t="shared" si="22"/>
        <v>0</v>
      </c>
      <c r="Q14" s="30">
        <f t="shared" si="8"/>
        <v>19</v>
      </c>
      <c r="R14" s="30"/>
      <c r="S14" s="36">
        <v>3.7777777777777701</v>
      </c>
      <c r="T14" s="29">
        <v>184</v>
      </c>
      <c r="U14" s="37">
        <v>184</v>
      </c>
      <c r="V14" s="38" t="s">
        <v>609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58</v>
      </c>
      <c r="AB14" s="41">
        <f t="shared" si="11"/>
        <v>-0.69</v>
      </c>
      <c r="AC14" s="42">
        <v>0.14530208333333333</v>
      </c>
      <c r="AD14" s="40">
        <f t="shared" si="12"/>
        <v>-0.80206749999999993</v>
      </c>
      <c r="AE14" s="40">
        <v>-7.32</v>
      </c>
      <c r="AF14" s="40">
        <v>-7.6717000000000004</v>
      </c>
      <c r="AG14" s="40">
        <v>0</v>
      </c>
    </row>
    <row r="15" spans="1:33" ht="15.75" customHeight="1" x14ac:dyDescent="0.2">
      <c r="A15" s="29" t="s">
        <v>43</v>
      </c>
      <c r="B15" s="29" t="s">
        <v>535</v>
      </c>
      <c r="C15" s="16">
        <f t="shared" si="4"/>
        <v>26.991000000000003</v>
      </c>
      <c r="D15" s="30">
        <v>10</v>
      </c>
      <c r="E15" s="30">
        <v>0</v>
      </c>
      <c r="F15" s="33">
        <v>269.91000000000003</v>
      </c>
      <c r="G15" s="31">
        <v>-54.710000000000008</v>
      </c>
      <c r="H15" s="32">
        <f t="shared" si="1"/>
        <v>0.20269719536141678</v>
      </c>
      <c r="I15" s="32">
        <f t="shared" si="2"/>
        <v>8.4440484791226733E-2</v>
      </c>
      <c r="J15" s="33">
        <f t="shared" si="5"/>
        <v>22.79133125000001</v>
      </c>
      <c r="K15" s="33">
        <f t="shared" si="3"/>
        <v>2.2791331250000009</v>
      </c>
      <c r="L15" s="30">
        <v>59</v>
      </c>
      <c r="M15" s="34">
        <f t="shared" si="6"/>
        <v>0.16949152542372881</v>
      </c>
      <c r="N15" s="30">
        <v>0</v>
      </c>
      <c r="O15" s="35">
        <f t="shared" ref="O15:P15" si="23">D15/7</f>
        <v>1.4285714285714286</v>
      </c>
      <c r="P15" s="35">
        <f t="shared" si="23"/>
        <v>0</v>
      </c>
      <c r="Q15" s="30">
        <f t="shared" si="8"/>
        <v>0</v>
      </c>
      <c r="R15" s="30"/>
      <c r="S15" s="36">
        <v>2.0941176470588201</v>
      </c>
      <c r="T15" s="29">
        <v>184</v>
      </c>
      <c r="U15" s="37">
        <v>184</v>
      </c>
      <c r="V15" s="38" t="s">
        <v>609</v>
      </c>
      <c r="W15" s="29">
        <v>2</v>
      </c>
      <c r="X15" s="39">
        <f t="shared" si="9"/>
        <v>0.2</v>
      </c>
      <c r="Y15" s="40">
        <f t="shared" si="10"/>
        <v>4.9736363636363645</v>
      </c>
      <c r="Z15" s="29">
        <v>9</v>
      </c>
      <c r="AA15" s="29" t="s">
        <v>58</v>
      </c>
      <c r="AB15" s="41">
        <f t="shared" si="11"/>
        <v>-0.69</v>
      </c>
      <c r="AC15" s="42">
        <v>0.14530208333333333</v>
      </c>
      <c r="AD15" s="40">
        <f t="shared" si="12"/>
        <v>-2.0051687499999997</v>
      </c>
      <c r="AE15" s="40">
        <v>-7.32</v>
      </c>
      <c r="AF15" s="40">
        <v>-7.6717000000000004</v>
      </c>
      <c r="AG15" s="40">
        <v>0</v>
      </c>
    </row>
    <row r="16" spans="1:33" ht="15.75" customHeight="1" x14ac:dyDescent="0.2">
      <c r="A16" s="29" t="s">
        <v>44</v>
      </c>
      <c r="B16" s="29" t="s">
        <v>610</v>
      </c>
      <c r="C16" s="16">
        <f t="shared" si="4"/>
        <v>29.990000000000002</v>
      </c>
      <c r="D16" s="30">
        <v>9</v>
      </c>
      <c r="E16" s="30">
        <v>1</v>
      </c>
      <c r="F16" s="33">
        <v>269.91000000000003</v>
      </c>
      <c r="G16" s="31">
        <v>-77.13</v>
      </c>
      <c r="H16" s="32">
        <f t="shared" si="1"/>
        <v>0.28576192064021338</v>
      </c>
      <c r="I16" s="32">
        <f t="shared" si="2"/>
        <v>1.2154822440813689E-2</v>
      </c>
      <c r="J16" s="33">
        <f t="shared" si="5"/>
        <v>3.280708125000023</v>
      </c>
      <c r="K16" s="33">
        <f t="shared" si="3"/>
        <v>0.36452312500000256</v>
      </c>
      <c r="L16" s="30">
        <v>76</v>
      </c>
      <c r="M16" s="34">
        <f t="shared" si="6"/>
        <v>0.11842105263157894</v>
      </c>
      <c r="N16" s="30">
        <v>218</v>
      </c>
      <c r="O16" s="35">
        <f t="shared" ref="O16:P16" si="24">D16/7</f>
        <v>1.2857142857142858</v>
      </c>
      <c r="P16" s="35">
        <f t="shared" si="24"/>
        <v>0.14285714285714285</v>
      </c>
      <c r="Q16" s="30">
        <f t="shared" si="8"/>
        <v>152</v>
      </c>
      <c r="R16" s="30"/>
      <c r="S16" s="36">
        <v>1.1104815864022599</v>
      </c>
      <c r="T16" s="29">
        <v>184</v>
      </c>
      <c r="U16" s="37">
        <v>184</v>
      </c>
      <c r="V16" s="38" t="s">
        <v>611</v>
      </c>
      <c r="W16" s="29">
        <v>2</v>
      </c>
      <c r="X16" s="39">
        <f t="shared" si="9"/>
        <v>0.22222222222222221</v>
      </c>
      <c r="Y16" s="40">
        <f t="shared" si="10"/>
        <v>9.6412499999999994</v>
      </c>
      <c r="Z16" s="29">
        <v>6</v>
      </c>
      <c r="AA16" s="29" t="s">
        <v>58</v>
      </c>
      <c r="AB16" s="41">
        <f t="shared" si="11"/>
        <v>-0.69</v>
      </c>
      <c r="AC16" s="42">
        <v>0.14530208333333333</v>
      </c>
      <c r="AD16" s="40">
        <f t="shared" si="12"/>
        <v>-1.8046518749999998</v>
      </c>
      <c r="AE16" s="40">
        <v>-7.32</v>
      </c>
      <c r="AF16" s="40">
        <v>-9.0364599999999999</v>
      </c>
      <c r="AG16" s="40">
        <v>0</v>
      </c>
    </row>
    <row r="17" spans="1:33" ht="15.75" customHeight="1" x14ac:dyDescent="0.2">
      <c r="A17" s="29" t="s">
        <v>45</v>
      </c>
      <c r="B17" s="29" t="s">
        <v>506</v>
      </c>
      <c r="C17" s="16">
        <f t="shared" si="4"/>
        <v>29.970833333333335</v>
      </c>
      <c r="D17" s="30">
        <v>12</v>
      </c>
      <c r="E17" s="30">
        <v>1</v>
      </c>
      <c r="F17" s="33">
        <v>359.65000000000003</v>
      </c>
      <c r="G17" s="31">
        <v>-40.49</v>
      </c>
      <c r="H17" s="32">
        <f t="shared" si="1"/>
        <v>0.112581676630057</v>
      </c>
      <c r="I17" s="32">
        <f t="shared" si="2"/>
        <v>0.17664056026692623</v>
      </c>
      <c r="J17" s="33">
        <f t="shared" si="5"/>
        <v>63.528777500000025</v>
      </c>
      <c r="K17" s="33">
        <f t="shared" si="3"/>
        <v>5.2940647916666688</v>
      </c>
      <c r="L17" s="30">
        <v>59</v>
      </c>
      <c r="M17" s="34">
        <f t="shared" si="6"/>
        <v>0.20338983050847459</v>
      </c>
      <c r="N17" s="30">
        <v>347</v>
      </c>
      <c r="O17" s="35">
        <f t="shared" ref="O17:P17" si="25">D17/7</f>
        <v>1.7142857142857142</v>
      </c>
      <c r="P17" s="35">
        <f t="shared" si="25"/>
        <v>0.14285714285714285</v>
      </c>
      <c r="Q17" s="30">
        <f t="shared" si="8"/>
        <v>186</v>
      </c>
      <c r="R17" s="30"/>
      <c r="S17" s="36">
        <v>0.93506493506493504</v>
      </c>
      <c r="T17" s="29">
        <v>184</v>
      </c>
      <c r="U17" s="37">
        <v>184</v>
      </c>
      <c r="V17" s="38" t="s">
        <v>611</v>
      </c>
      <c r="W17" s="29">
        <v>1</v>
      </c>
      <c r="X17" s="39">
        <f t="shared" si="9"/>
        <v>8.3333333333333329E-2</v>
      </c>
      <c r="Y17" s="40">
        <f t="shared" si="10"/>
        <v>3.6809090909090911</v>
      </c>
      <c r="Z17" s="29">
        <v>10</v>
      </c>
      <c r="AA17" s="29" t="s">
        <v>58</v>
      </c>
      <c r="AB17" s="41">
        <f t="shared" si="11"/>
        <v>-0.69</v>
      </c>
      <c r="AC17" s="42">
        <v>0.14530208333333333</v>
      </c>
      <c r="AD17" s="40">
        <f t="shared" si="12"/>
        <v>-2.4062025</v>
      </c>
      <c r="AE17" s="40">
        <v>-7.32</v>
      </c>
      <c r="AF17" s="40">
        <v>-9.0364599999999999</v>
      </c>
      <c r="AG17" s="40">
        <v>-3</v>
      </c>
    </row>
    <row r="18" spans="1:33" ht="15.75" customHeight="1" x14ac:dyDescent="0.2">
      <c r="A18" s="29" t="s">
        <v>46</v>
      </c>
      <c r="B18" s="29" t="s">
        <v>496</v>
      </c>
      <c r="C18" s="16">
        <f t="shared" si="4"/>
        <v>35.33</v>
      </c>
      <c r="D18" s="30">
        <v>12</v>
      </c>
      <c r="E18" s="30">
        <v>2</v>
      </c>
      <c r="F18" s="33">
        <v>423.96</v>
      </c>
      <c r="G18" s="31">
        <v>-59.36999999999999</v>
      </c>
      <c r="H18" s="32">
        <f t="shared" si="1"/>
        <v>0.14003679592414378</v>
      </c>
      <c r="I18" s="32">
        <f t="shared" si="2"/>
        <v>0.21019029507500703</v>
      </c>
      <c r="J18" s="33">
        <f t="shared" si="5"/>
        <v>89.112277499999976</v>
      </c>
      <c r="K18" s="33">
        <f t="shared" si="3"/>
        <v>7.4260231249999977</v>
      </c>
      <c r="L18" s="30">
        <v>60</v>
      </c>
      <c r="M18" s="34">
        <f t="shared" si="6"/>
        <v>0.2</v>
      </c>
      <c r="N18" s="30">
        <v>411</v>
      </c>
      <c r="O18" s="35">
        <f t="shared" ref="O18:P18" si="26">D18/7</f>
        <v>1.7142857142857142</v>
      </c>
      <c r="P18" s="35">
        <f t="shared" si="26"/>
        <v>0.2857142857142857</v>
      </c>
      <c r="Q18" s="30">
        <f t="shared" si="8"/>
        <v>205</v>
      </c>
      <c r="R18" s="30"/>
      <c r="S18" s="36">
        <v>0.98619329388560095</v>
      </c>
      <c r="T18" s="29">
        <v>644</v>
      </c>
      <c r="U18" s="37" t="s">
        <v>56</v>
      </c>
      <c r="V18" s="38" t="s">
        <v>612</v>
      </c>
      <c r="W18" s="29">
        <v>1</v>
      </c>
      <c r="X18" s="39">
        <f t="shared" si="9"/>
        <v>8.3333333333333329E-2</v>
      </c>
      <c r="Y18" s="40">
        <f t="shared" si="10"/>
        <v>6.5966666666666658</v>
      </c>
      <c r="Z18" s="29">
        <v>8</v>
      </c>
      <c r="AA18" s="29" t="s">
        <v>58</v>
      </c>
      <c r="AB18" s="41">
        <f t="shared" si="11"/>
        <v>-0.69</v>
      </c>
      <c r="AC18" s="42">
        <v>0.14530208333333333</v>
      </c>
      <c r="AD18" s="40">
        <f t="shared" si="12"/>
        <v>-2.4062025</v>
      </c>
      <c r="AE18" s="40">
        <v>-7.32</v>
      </c>
      <c r="AF18" s="40">
        <v>-9.1364599999999996</v>
      </c>
      <c r="AG18" s="40">
        <v>-12</v>
      </c>
    </row>
    <row r="19" spans="1:33" ht="15.75" customHeight="1" x14ac:dyDescent="0.2">
      <c r="A19" s="29" t="s">
        <v>47</v>
      </c>
      <c r="B19" s="29" t="s">
        <v>613</v>
      </c>
      <c r="C19" s="16">
        <f t="shared" si="4"/>
        <v>34.949999999999996</v>
      </c>
      <c r="D19" s="30">
        <v>16</v>
      </c>
      <c r="E19" s="30">
        <v>1</v>
      </c>
      <c r="F19" s="33">
        <v>559.19999999999993</v>
      </c>
      <c r="G19" s="31">
        <v>-42.05</v>
      </c>
      <c r="H19" s="32">
        <f t="shared" si="1"/>
        <v>7.5196709585121604E-2</v>
      </c>
      <c r="I19" s="32">
        <f t="shared" si="2"/>
        <v>0.27138478183118731</v>
      </c>
      <c r="J19" s="33">
        <f t="shared" si="5"/>
        <v>151.75836999999993</v>
      </c>
      <c r="K19" s="33">
        <f t="shared" si="3"/>
        <v>9.4848981249999955</v>
      </c>
      <c r="L19" s="30">
        <v>45</v>
      </c>
      <c r="M19" s="34">
        <f t="shared" si="6"/>
        <v>0.35555555555555557</v>
      </c>
      <c r="N19" s="30">
        <v>375</v>
      </c>
      <c r="O19" s="35">
        <f t="shared" ref="O19:P19" si="27">D19/7</f>
        <v>2.2857142857142856</v>
      </c>
      <c r="P19" s="35">
        <f t="shared" si="27"/>
        <v>0.14285714285714285</v>
      </c>
      <c r="Q19" s="30">
        <f t="shared" si="8"/>
        <v>154</v>
      </c>
      <c r="R19" s="30"/>
      <c r="S19" s="36">
        <v>1.11489361702127</v>
      </c>
      <c r="T19" s="29">
        <v>460</v>
      </c>
      <c r="U19" s="37" t="s">
        <v>56</v>
      </c>
      <c r="V19" s="38" t="s">
        <v>56</v>
      </c>
      <c r="W19" s="29">
        <v>3</v>
      </c>
      <c r="X19" s="39">
        <f t="shared" si="9"/>
        <v>0.1875</v>
      </c>
      <c r="Y19" s="40">
        <f t="shared" si="10"/>
        <v>5.2562499999999996</v>
      </c>
      <c r="Z19" s="29">
        <v>5</v>
      </c>
      <c r="AA19" s="29" t="s">
        <v>58</v>
      </c>
      <c r="AB19" s="41">
        <f t="shared" si="11"/>
        <v>-0.69</v>
      </c>
      <c r="AC19" s="42">
        <v>0.14530208333333333</v>
      </c>
      <c r="AD19" s="40">
        <f t="shared" si="12"/>
        <v>-3.2082699999999997</v>
      </c>
      <c r="AE19" s="40">
        <v>-7.32</v>
      </c>
      <c r="AF19" s="40">
        <v>-9.1364599999999996</v>
      </c>
      <c r="AG19" s="40">
        <v>-15</v>
      </c>
    </row>
    <row r="20" spans="1:33" ht="15.75" customHeight="1" x14ac:dyDescent="0.2">
      <c r="A20" s="29" t="s">
        <v>48</v>
      </c>
      <c r="B20" s="29" t="s">
        <v>614</v>
      </c>
      <c r="C20" s="16">
        <f t="shared" si="4"/>
        <v>31.184117647058823</v>
      </c>
      <c r="D20" s="30">
        <v>17</v>
      </c>
      <c r="E20" s="30">
        <v>2</v>
      </c>
      <c r="F20" s="33">
        <v>530.13</v>
      </c>
      <c r="G20" s="31">
        <v>-13.530000000000001</v>
      </c>
      <c r="H20" s="32">
        <f t="shared" si="1"/>
        <v>2.552204176334107E-2</v>
      </c>
      <c r="I20" s="32">
        <f t="shared" si="2"/>
        <v>0.23373869263199598</v>
      </c>
      <c r="J20" s="33">
        <f t="shared" si="5"/>
        <v>123.91189312500003</v>
      </c>
      <c r="K20" s="33">
        <f t="shared" si="3"/>
        <v>7.2889348897058843</v>
      </c>
      <c r="L20" s="30">
        <v>43</v>
      </c>
      <c r="M20" s="34">
        <f t="shared" si="6"/>
        <v>0.39534883720930231</v>
      </c>
      <c r="N20" s="30">
        <v>364</v>
      </c>
      <c r="O20" s="35">
        <f t="shared" ref="O20:P20" si="28">D20/7</f>
        <v>2.4285714285714284</v>
      </c>
      <c r="P20" s="35">
        <f t="shared" si="28"/>
        <v>0.2857142857142857</v>
      </c>
      <c r="Q20" s="30">
        <f t="shared" si="8"/>
        <v>134</v>
      </c>
      <c r="R20" s="30"/>
      <c r="S20" s="36">
        <v>0.79032258064516103</v>
      </c>
      <c r="T20" s="29">
        <v>760</v>
      </c>
      <c r="U20" s="37">
        <v>300</v>
      </c>
      <c r="V20" s="38" t="s">
        <v>615</v>
      </c>
      <c r="W20" s="29">
        <v>1</v>
      </c>
      <c r="X20" s="39">
        <f t="shared" si="9"/>
        <v>5.8823529411764705E-2</v>
      </c>
      <c r="Y20" s="40">
        <f t="shared" si="10"/>
        <v>3.3825000000000003</v>
      </c>
      <c r="Z20" s="29">
        <v>3</v>
      </c>
      <c r="AA20" s="29" t="s">
        <v>58</v>
      </c>
      <c r="AB20" s="41">
        <f t="shared" si="11"/>
        <v>-0.69</v>
      </c>
      <c r="AC20" s="42">
        <v>0.14530208333333333</v>
      </c>
      <c r="AD20" s="40">
        <f t="shared" si="12"/>
        <v>-3.4087868749999997</v>
      </c>
      <c r="AE20" s="40">
        <v>-7.32</v>
      </c>
      <c r="AF20" s="40">
        <v>-9.1364599999999996</v>
      </c>
      <c r="AG20" s="40">
        <v>-30</v>
      </c>
    </row>
    <row r="21" spans="1:33" ht="15.75" customHeight="1" x14ac:dyDescent="0.2">
      <c r="A21" s="29" t="s">
        <v>49</v>
      </c>
      <c r="B21" s="29" t="s">
        <v>535</v>
      </c>
      <c r="C21" s="16">
        <f t="shared" si="4"/>
        <v>34.398888888888884</v>
      </c>
      <c r="D21" s="30">
        <v>18</v>
      </c>
      <c r="E21" s="30">
        <v>2</v>
      </c>
      <c r="F21" s="33">
        <v>619.17999999999995</v>
      </c>
      <c r="G21" s="31">
        <v>-74.89</v>
      </c>
      <c r="H21" s="32">
        <f t="shared" si="1"/>
        <v>0.12095028909202495</v>
      </c>
      <c r="I21" s="32">
        <f t="shared" si="2"/>
        <v>0.24481962636067062</v>
      </c>
      <c r="J21" s="33">
        <f t="shared" si="5"/>
        <v>151.58741625000002</v>
      </c>
      <c r="K21" s="33">
        <f t="shared" si="3"/>
        <v>8.4215231250000002</v>
      </c>
      <c r="L21" s="30">
        <v>37</v>
      </c>
      <c r="M21" s="34">
        <f t="shared" si="6"/>
        <v>0.48648648648648651</v>
      </c>
      <c r="N21" s="30">
        <v>347</v>
      </c>
      <c r="O21" s="35">
        <f t="shared" ref="O21:P21" si="29">D21/7</f>
        <v>2.5714285714285716</v>
      </c>
      <c r="P21" s="35">
        <f t="shared" si="29"/>
        <v>0.2857142857142857</v>
      </c>
      <c r="Q21" s="30">
        <f t="shared" si="8"/>
        <v>121</v>
      </c>
      <c r="R21" s="30"/>
      <c r="S21" s="36">
        <v>0.75887392900856798</v>
      </c>
      <c r="T21" s="29">
        <v>760</v>
      </c>
      <c r="U21" s="37">
        <v>300</v>
      </c>
      <c r="V21" s="38" t="s">
        <v>616</v>
      </c>
      <c r="W21" s="29">
        <v>3</v>
      </c>
      <c r="X21" s="39">
        <f t="shared" si="9"/>
        <v>0.16666666666666666</v>
      </c>
      <c r="Y21" s="40">
        <f t="shared" si="10"/>
        <v>4.1605555555555558</v>
      </c>
      <c r="Z21" s="29">
        <v>15</v>
      </c>
      <c r="AA21" s="29" t="s">
        <v>58</v>
      </c>
      <c r="AB21" s="41">
        <f t="shared" si="11"/>
        <v>-0.69</v>
      </c>
      <c r="AC21" s="42">
        <v>0.14530208333333333</v>
      </c>
      <c r="AD21" s="40">
        <f t="shared" si="12"/>
        <v>-3.6093037499999996</v>
      </c>
      <c r="AE21" s="40">
        <v>-7.32</v>
      </c>
      <c r="AF21" s="40">
        <v>-9.1364599999999996</v>
      </c>
      <c r="AG21" s="40">
        <v>0</v>
      </c>
    </row>
    <row r="22" spans="1:33" ht="15.75" customHeight="1" x14ac:dyDescent="0.2">
      <c r="A22" s="29" t="s">
        <v>50</v>
      </c>
      <c r="B22" s="29" t="s">
        <v>617</v>
      </c>
      <c r="C22" s="16">
        <f t="shared" si="4"/>
        <v>34.950000000000003</v>
      </c>
      <c r="D22" s="30">
        <v>15</v>
      </c>
      <c r="E22" s="30">
        <v>0</v>
      </c>
      <c r="F22" s="31">
        <v>524.25</v>
      </c>
      <c r="G22" s="31">
        <v>-93.070000000000007</v>
      </c>
      <c r="H22" s="32">
        <f t="shared" si="1"/>
        <v>0.1775298044825942</v>
      </c>
      <c r="I22" s="32">
        <f t="shared" si="2"/>
        <v>0.19587572126847883</v>
      </c>
      <c r="J22" s="33">
        <f t="shared" si="5"/>
        <v>102.68784687500002</v>
      </c>
      <c r="K22" s="33">
        <f t="shared" si="3"/>
        <v>6.8458564583333343</v>
      </c>
      <c r="L22" s="30">
        <v>88</v>
      </c>
      <c r="M22" s="34">
        <f t="shared" si="6"/>
        <v>0.17045454545454544</v>
      </c>
      <c r="N22" s="30">
        <v>330</v>
      </c>
      <c r="O22" s="35">
        <f t="shared" ref="O22:P22" si="30">D22/7</f>
        <v>2.1428571428571428</v>
      </c>
      <c r="P22" s="35">
        <f t="shared" si="30"/>
        <v>0</v>
      </c>
      <c r="Q22" s="30">
        <f t="shared" si="8"/>
        <v>154</v>
      </c>
      <c r="R22" s="30"/>
      <c r="S22" s="36">
        <v>0.77358490566037696</v>
      </c>
      <c r="T22" s="29">
        <v>760</v>
      </c>
      <c r="U22" s="37">
        <v>300</v>
      </c>
      <c r="V22" s="38" t="s">
        <v>618</v>
      </c>
      <c r="W22" s="29">
        <v>7</v>
      </c>
      <c r="X22" s="39">
        <f t="shared" si="9"/>
        <v>0.46666666666666667</v>
      </c>
      <c r="Y22" s="40">
        <f t="shared" si="10"/>
        <v>4.2304545454545455</v>
      </c>
      <c r="Z22" s="29">
        <v>15</v>
      </c>
      <c r="AA22" s="29" t="s">
        <v>58</v>
      </c>
      <c r="AB22" s="41">
        <f t="shared" si="11"/>
        <v>-0.69</v>
      </c>
      <c r="AC22" s="42">
        <v>0.14530208333333333</v>
      </c>
      <c r="AD22" s="40">
        <f t="shared" si="12"/>
        <v>-3.0077531249999998</v>
      </c>
      <c r="AE22" s="40">
        <v>-7.32</v>
      </c>
      <c r="AF22" s="40">
        <v>-9.1364599999999996</v>
      </c>
      <c r="AG22" s="40">
        <v>0</v>
      </c>
    </row>
    <row r="23" spans="1:33" ht="15.75" customHeight="1" x14ac:dyDescent="0.2">
      <c r="A23" s="29" t="s">
        <v>51</v>
      </c>
      <c r="B23" s="29" t="s">
        <v>452</v>
      </c>
      <c r="C23" s="16">
        <f t="shared" si="4"/>
        <v>25.117391304347827</v>
      </c>
      <c r="D23" s="30">
        <v>23</v>
      </c>
      <c r="E23" s="30">
        <v>2</v>
      </c>
      <c r="F23" s="33">
        <v>577.70000000000005</v>
      </c>
      <c r="G23" s="31">
        <v>-96.350000000000009</v>
      </c>
      <c r="H23" s="32">
        <f t="shared" si="1"/>
        <v>0.16678206681668686</v>
      </c>
      <c r="I23" s="32">
        <f t="shared" si="2"/>
        <v>2.0052850744330948E-2</v>
      </c>
      <c r="J23" s="33">
        <f t="shared" si="5"/>
        <v>11.584531874999989</v>
      </c>
      <c r="K23" s="33">
        <f t="shared" si="3"/>
        <v>0.50367529891304297</v>
      </c>
      <c r="L23" s="30">
        <v>98</v>
      </c>
      <c r="M23" s="34">
        <f t="shared" si="6"/>
        <v>0.23469387755102042</v>
      </c>
      <c r="N23" s="30">
        <v>312</v>
      </c>
      <c r="O23" s="35">
        <f t="shared" ref="O23:P23" si="31">D23/7</f>
        <v>3.2857142857142856</v>
      </c>
      <c r="P23" s="35">
        <f t="shared" si="31"/>
        <v>0.2857142857142857</v>
      </c>
      <c r="Q23" s="30">
        <f t="shared" si="8"/>
        <v>87</v>
      </c>
      <c r="R23" s="30"/>
      <c r="S23" s="36">
        <v>0.78947368421052599</v>
      </c>
      <c r="T23" s="29">
        <v>760</v>
      </c>
      <c r="U23" s="37">
        <v>300</v>
      </c>
      <c r="V23" s="38" t="s">
        <v>618</v>
      </c>
      <c r="W23" s="29">
        <v>2</v>
      </c>
      <c r="X23" s="39">
        <f t="shared" si="9"/>
        <v>8.6956521739130432E-2</v>
      </c>
      <c r="Y23" s="40">
        <f t="shared" si="10"/>
        <v>6.0218750000000005</v>
      </c>
      <c r="Z23" s="29">
        <v>14</v>
      </c>
      <c r="AA23" s="29" t="s">
        <v>58</v>
      </c>
      <c r="AB23" s="41">
        <f t="shared" si="11"/>
        <v>-0.69</v>
      </c>
      <c r="AC23" s="42">
        <v>0.14530208333333333</v>
      </c>
      <c r="AD23" s="40">
        <f t="shared" si="12"/>
        <v>-4.6118881249999992</v>
      </c>
      <c r="AE23" s="40">
        <v>-7.32</v>
      </c>
      <c r="AF23" s="40">
        <v>-9.1364599999999996</v>
      </c>
      <c r="AG23" s="40">
        <v>0</v>
      </c>
    </row>
    <row r="24" spans="1:33" ht="15.75" customHeight="1" x14ac:dyDescent="0.2">
      <c r="A24" s="29" t="s">
        <v>52</v>
      </c>
      <c r="B24" s="29" t="s">
        <v>619</v>
      </c>
      <c r="C24" s="16">
        <f t="shared" si="4"/>
        <v>24.962799999999998</v>
      </c>
      <c r="D24" s="30">
        <v>25</v>
      </c>
      <c r="E24" s="30">
        <v>2</v>
      </c>
      <c r="F24" s="33">
        <v>624.06999999999994</v>
      </c>
      <c r="G24" s="33">
        <v>-132.67000000000002</v>
      </c>
      <c r="H24" s="32">
        <f t="shared" si="1"/>
        <v>0.21258833143717856</v>
      </c>
      <c r="I24" s="32">
        <f t="shared" si="2"/>
        <v>-2.9860307137020002E-2</v>
      </c>
      <c r="J24" s="33">
        <f t="shared" si="5"/>
        <v>-18.634921875000071</v>
      </c>
      <c r="K24" s="33">
        <f t="shared" si="3"/>
        <v>-0.74539687500000285</v>
      </c>
      <c r="L24" s="30">
        <v>129</v>
      </c>
      <c r="M24" s="34">
        <f t="shared" si="6"/>
        <v>0.19379844961240311</v>
      </c>
      <c r="N24" s="30">
        <v>287</v>
      </c>
      <c r="O24" s="35">
        <f t="shared" ref="O24:P24" si="32">D24/7</f>
        <v>3.5714285714285716</v>
      </c>
      <c r="P24" s="35">
        <f t="shared" si="32"/>
        <v>0.2857142857142857</v>
      </c>
      <c r="Q24" s="30">
        <f t="shared" si="8"/>
        <v>74</v>
      </c>
      <c r="R24" s="30"/>
      <c r="S24" s="36">
        <v>0.99057873485868098</v>
      </c>
      <c r="T24" s="29">
        <v>760</v>
      </c>
      <c r="U24" s="37">
        <v>300</v>
      </c>
      <c r="V24" s="38" t="s">
        <v>620</v>
      </c>
      <c r="W24" s="29">
        <v>5</v>
      </c>
      <c r="X24" s="39">
        <f t="shared" si="9"/>
        <v>0.2</v>
      </c>
      <c r="Y24" s="40">
        <f t="shared" si="10"/>
        <v>5.1026923076923083</v>
      </c>
      <c r="Z24" s="29">
        <v>21</v>
      </c>
      <c r="AA24" s="29" t="s">
        <v>58</v>
      </c>
      <c r="AB24" s="41">
        <f t="shared" si="11"/>
        <v>-0.69</v>
      </c>
      <c r="AC24" s="42">
        <v>0.14530208333333333</v>
      </c>
      <c r="AD24" s="40">
        <f t="shared" si="12"/>
        <v>-5.012921875</v>
      </c>
      <c r="AE24" s="40">
        <v>-7.32</v>
      </c>
      <c r="AF24" s="40">
        <v>-9.1364599999999996</v>
      </c>
      <c r="AG24" s="40">
        <v>0</v>
      </c>
    </row>
    <row r="25" spans="1:33" ht="15.75" customHeight="1" x14ac:dyDescent="0.2">
      <c r="A25" s="29" t="s">
        <v>53</v>
      </c>
      <c r="B25" s="15" t="s">
        <v>621</v>
      </c>
      <c r="C25" s="16">
        <f t="shared" si="4"/>
        <v>27.727297297297298</v>
      </c>
      <c r="D25" s="30">
        <v>37</v>
      </c>
      <c r="E25" s="30">
        <v>1</v>
      </c>
      <c r="F25" s="33">
        <v>1025.9100000000001</v>
      </c>
      <c r="G25" s="33">
        <v>-163.59</v>
      </c>
      <c r="H25" s="32">
        <f t="shared" si="1"/>
        <v>0.15945843202620111</v>
      </c>
      <c r="I25" s="32">
        <f t="shared" si="2"/>
        <v>8.9671000014621111E-2</v>
      </c>
      <c r="J25" s="33">
        <f t="shared" si="5"/>
        <v>91.994375624999947</v>
      </c>
      <c r="K25" s="33">
        <f t="shared" si="3"/>
        <v>2.4863344763513497</v>
      </c>
      <c r="L25" s="30">
        <v>187</v>
      </c>
      <c r="M25" s="34">
        <f t="shared" si="6"/>
        <v>0.19786096256684493</v>
      </c>
      <c r="N25" s="30">
        <v>541</v>
      </c>
      <c r="O25" s="35">
        <f t="shared" ref="O25:P25" si="33">D25/7</f>
        <v>5.2857142857142856</v>
      </c>
      <c r="P25" s="35">
        <f t="shared" si="33"/>
        <v>0.14285714285714285</v>
      </c>
      <c r="Q25" s="30">
        <f t="shared" si="8"/>
        <v>99</v>
      </c>
      <c r="R25" s="30"/>
      <c r="S25" s="36">
        <v>0.72075149444918873</v>
      </c>
      <c r="T25" s="15"/>
      <c r="U25" s="23"/>
      <c r="V25" s="1"/>
      <c r="W25" s="15">
        <v>2</v>
      </c>
      <c r="X25" s="39">
        <f t="shared" si="9"/>
        <v>5.4054054054054057E-2</v>
      </c>
      <c r="Y25" s="40">
        <f t="shared" si="10"/>
        <v>5.4530000000000003</v>
      </c>
      <c r="Z25" s="15">
        <v>28</v>
      </c>
      <c r="AA25" s="29" t="s">
        <v>58</v>
      </c>
      <c r="AB25" s="41">
        <f t="shared" si="11"/>
        <v>-0.69</v>
      </c>
      <c r="AC25" s="42">
        <v>0.14530208333333333</v>
      </c>
      <c r="AD25" s="40">
        <f t="shared" si="12"/>
        <v>-7.4191243749999991</v>
      </c>
      <c r="AE25" s="40">
        <v>-7.32</v>
      </c>
      <c r="AF25" s="40">
        <v>-9.14</v>
      </c>
      <c r="AG25" s="40">
        <v>0</v>
      </c>
    </row>
    <row r="26" spans="1:33" ht="15.75" customHeight="1" x14ac:dyDescent="0.2">
      <c r="A26" s="15" t="s">
        <v>54</v>
      </c>
      <c r="B26" s="51" t="s">
        <v>622</v>
      </c>
      <c r="C26" s="16">
        <f t="shared" si="4"/>
        <v>31.401739130434784</v>
      </c>
      <c r="D26" s="17">
        <v>23</v>
      </c>
      <c r="E26" s="17">
        <v>1</v>
      </c>
      <c r="F26" s="18">
        <v>722.24</v>
      </c>
      <c r="G26" s="18">
        <v>-142.84</v>
      </c>
      <c r="H26" s="32">
        <f t="shared" si="1"/>
        <v>0.19777359326539654</v>
      </c>
      <c r="I26" s="32">
        <f t="shared" si="2"/>
        <v>0.12623716752741471</v>
      </c>
      <c r="J26" s="33">
        <f t="shared" si="5"/>
        <v>91.173531874999995</v>
      </c>
      <c r="K26" s="33">
        <f t="shared" si="3"/>
        <v>3.9640666032608691</v>
      </c>
      <c r="L26" s="17">
        <v>113</v>
      </c>
      <c r="M26" s="34">
        <f t="shared" si="6"/>
        <v>0.20353982300884957</v>
      </c>
      <c r="N26" s="17">
        <v>519</v>
      </c>
      <c r="O26" s="35">
        <f t="shared" ref="O26:P26" si="34">D26/7</f>
        <v>3.2857142857142856</v>
      </c>
      <c r="P26" s="35">
        <f t="shared" si="34"/>
        <v>0.14285714285714285</v>
      </c>
      <c r="Q26" s="30">
        <f t="shared" si="8"/>
        <v>151</v>
      </c>
      <c r="R26" s="30"/>
      <c r="S26" s="22">
        <v>0.7126805778491172</v>
      </c>
      <c r="T26" s="15">
        <v>460</v>
      </c>
      <c r="U26" s="23" t="s">
        <v>56</v>
      </c>
      <c r="V26" s="1" t="s">
        <v>56</v>
      </c>
      <c r="W26" s="15">
        <v>5</v>
      </c>
      <c r="X26" s="39">
        <f t="shared" si="9"/>
        <v>0.21739130434782608</v>
      </c>
      <c r="Y26" s="40">
        <f t="shared" si="10"/>
        <v>3.9677777777777781</v>
      </c>
      <c r="Z26" s="15">
        <v>31</v>
      </c>
      <c r="AA26" s="29" t="s">
        <v>58</v>
      </c>
      <c r="AB26" s="41">
        <f t="shared" si="11"/>
        <v>-0.69</v>
      </c>
      <c r="AC26" s="42">
        <v>0.14530208333333333</v>
      </c>
      <c r="AD26" s="40">
        <f t="shared" si="12"/>
        <v>-4.6118881249999992</v>
      </c>
      <c r="AE26" s="26">
        <v>-7.18</v>
      </c>
      <c r="AF26" s="26">
        <v>-9.1364599999999996</v>
      </c>
      <c r="AG26" s="26">
        <v>0</v>
      </c>
    </row>
    <row r="27" spans="1:33" ht="15.75" customHeight="1" x14ac:dyDescent="0.2">
      <c r="A27" s="15" t="s">
        <v>74</v>
      </c>
      <c r="B27" s="15" t="s">
        <v>479</v>
      </c>
      <c r="C27" s="16">
        <f t="shared" si="4"/>
        <v>26.870303030303031</v>
      </c>
      <c r="D27" s="17">
        <v>33</v>
      </c>
      <c r="E27" s="17">
        <v>4</v>
      </c>
      <c r="F27" s="18">
        <v>886.72</v>
      </c>
      <c r="G27" s="18">
        <v>-179.83</v>
      </c>
      <c r="H27" s="32">
        <f t="shared" si="1"/>
        <v>0.20280359076145796</v>
      </c>
      <c r="I27" s="32">
        <f t="shared" si="2"/>
        <v>3.2503792769983719E-2</v>
      </c>
      <c r="J27" s="33">
        <f t="shared" si="5"/>
        <v>28.821763124999965</v>
      </c>
      <c r="K27" s="33">
        <f t="shared" si="3"/>
        <v>0.87338676136363524</v>
      </c>
      <c r="L27" s="17">
        <v>125</v>
      </c>
      <c r="M27" s="34">
        <f t="shared" si="6"/>
        <v>0.26400000000000001</v>
      </c>
      <c r="N27" s="17">
        <v>479</v>
      </c>
      <c r="O27" s="35">
        <f t="shared" ref="O27:P27" si="35">D27/7</f>
        <v>4.7142857142857144</v>
      </c>
      <c r="P27" s="35">
        <f t="shared" si="35"/>
        <v>0.5714285714285714</v>
      </c>
      <c r="Q27" s="30">
        <f t="shared" si="8"/>
        <v>90</v>
      </c>
      <c r="R27" s="30"/>
      <c r="S27" s="22">
        <v>0.82352941176470584</v>
      </c>
      <c r="T27" s="15">
        <v>460</v>
      </c>
      <c r="U27" s="23" t="s">
        <v>56</v>
      </c>
      <c r="V27" s="1" t="s">
        <v>56</v>
      </c>
      <c r="W27" s="15">
        <v>7</v>
      </c>
      <c r="X27" s="39">
        <f t="shared" si="9"/>
        <v>0.21212121212121213</v>
      </c>
      <c r="Y27" s="40">
        <f t="shared" si="10"/>
        <v>5.4493939393939401</v>
      </c>
      <c r="Z27" s="15">
        <v>26</v>
      </c>
      <c r="AA27" s="29" t="s">
        <v>58</v>
      </c>
      <c r="AB27" s="41">
        <f t="shared" si="11"/>
        <v>-0.69</v>
      </c>
      <c r="AC27" s="42">
        <v>0.14530208333333333</v>
      </c>
      <c r="AD27" s="40">
        <f t="shared" si="12"/>
        <v>-6.6170568749999994</v>
      </c>
      <c r="AE27" s="26">
        <v>-7.18</v>
      </c>
      <c r="AF27" s="26">
        <v>-9.1364599999999996</v>
      </c>
      <c r="AG27" s="26">
        <v>0</v>
      </c>
    </row>
    <row r="28" spans="1:33" ht="15.75" customHeight="1" x14ac:dyDescent="0.2">
      <c r="A28" s="15" t="s">
        <v>75</v>
      </c>
      <c r="B28" s="15" t="s">
        <v>479</v>
      </c>
      <c r="C28" s="16">
        <f t="shared" si="4"/>
        <v>25.679818181818185</v>
      </c>
      <c r="D28" s="17">
        <v>55</v>
      </c>
      <c r="E28" s="17">
        <v>1</v>
      </c>
      <c r="F28" s="18">
        <v>1412.39</v>
      </c>
      <c r="G28" s="18">
        <v>-370.23</v>
      </c>
      <c r="H28" s="32">
        <f t="shared" si="1"/>
        <v>0.26213014818853148</v>
      </c>
      <c r="I28" s="32">
        <f t="shared" si="2"/>
        <v>-5.5319159810675464E-2</v>
      </c>
      <c r="J28" s="33">
        <f t="shared" si="5"/>
        <v>-78.132228124999926</v>
      </c>
      <c r="K28" s="33">
        <f t="shared" si="3"/>
        <v>-1.4205859659090896</v>
      </c>
      <c r="L28" s="17">
        <v>206</v>
      </c>
      <c r="M28" s="34">
        <f t="shared" si="6"/>
        <v>0.26699029126213591</v>
      </c>
      <c r="N28" s="17">
        <v>427</v>
      </c>
      <c r="O28" s="35">
        <f t="shared" ref="O28:P28" si="36">D28/7</f>
        <v>7.8571428571428568</v>
      </c>
      <c r="P28" s="35">
        <f t="shared" si="36"/>
        <v>0.14285714285714285</v>
      </c>
      <c r="Q28" s="30">
        <f t="shared" si="8"/>
        <v>53</v>
      </c>
      <c r="R28" s="30"/>
      <c r="S28" s="22">
        <v>0.99391833188531709</v>
      </c>
      <c r="T28" s="15">
        <v>460</v>
      </c>
      <c r="U28" s="23" t="s">
        <v>56</v>
      </c>
      <c r="V28" s="1" t="s">
        <v>56</v>
      </c>
      <c r="W28" s="15">
        <v>11</v>
      </c>
      <c r="X28" s="39">
        <f t="shared" si="9"/>
        <v>0.2</v>
      </c>
      <c r="Y28" s="40">
        <f t="shared" si="10"/>
        <v>4.4075000000000006</v>
      </c>
      <c r="Z28" s="15">
        <v>73</v>
      </c>
      <c r="AA28" s="29" t="s">
        <v>58</v>
      </c>
      <c r="AB28" s="41">
        <f t="shared" si="11"/>
        <v>-0.69</v>
      </c>
      <c r="AC28" s="42">
        <v>0.14530208333333333</v>
      </c>
      <c r="AD28" s="40">
        <f t="shared" si="12"/>
        <v>-11.028428125</v>
      </c>
      <c r="AE28" s="26">
        <v>-7.18</v>
      </c>
      <c r="AF28" s="26">
        <v>-9.1364599999999996</v>
      </c>
      <c r="AG28" s="26">
        <v>0</v>
      </c>
    </row>
    <row r="29" spans="1:33" ht="15.75" customHeight="1" x14ac:dyDescent="0.2">
      <c r="A29" s="15" t="s">
        <v>77</v>
      </c>
      <c r="B29" s="15" t="s">
        <v>623</v>
      </c>
      <c r="C29" s="16">
        <f t="shared" si="4"/>
        <v>26.298965517241378</v>
      </c>
      <c r="D29" s="17">
        <v>58</v>
      </c>
      <c r="E29" s="17">
        <v>0</v>
      </c>
      <c r="F29" s="18">
        <v>1525.34</v>
      </c>
      <c r="G29" s="18">
        <v>-314.54000000000002</v>
      </c>
      <c r="H29" s="32">
        <f t="shared" si="1"/>
        <v>0.20620976306921737</v>
      </c>
      <c r="I29" s="32">
        <f t="shared" si="2"/>
        <v>1.5743598968098949E-2</v>
      </c>
      <c r="J29" s="33">
        <f t="shared" si="5"/>
        <v>24.014341250000051</v>
      </c>
      <c r="K29" s="33">
        <f t="shared" si="3"/>
        <v>0.41404036637931124</v>
      </c>
      <c r="L29" s="17">
        <v>213</v>
      </c>
      <c r="M29" s="34">
        <f t="shared" si="6"/>
        <v>0.27230046948356806</v>
      </c>
      <c r="N29" s="17">
        <v>363</v>
      </c>
      <c r="O29" s="35">
        <f t="shared" ref="O29:P29" si="37">D29/7</f>
        <v>8.2857142857142865</v>
      </c>
      <c r="P29" s="35">
        <f t="shared" si="37"/>
        <v>0</v>
      </c>
      <c r="Q29" s="30">
        <f t="shared" si="8"/>
        <v>43</v>
      </c>
      <c r="R29" s="30"/>
      <c r="S29" s="22">
        <v>0.89466840052015606</v>
      </c>
      <c r="T29" s="15">
        <v>460</v>
      </c>
      <c r="U29" s="23" t="s">
        <v>56</v>
      </c>
      <c r="V29" s="1" t="s">
        <v>56</v>
      </c>
      <c r="W29" s="15">
        <v>12</v>
      </c>
      <c r="X29" s="39">
        <f t="shared" si="9"/>
        <v>0.20689655172413793</v>
      </c>
      <c r="Y29" s="40">
        <f t="shared" si="10"/>
        <v>3.4564835164835168</v>
      </c>
      <c r="Z29" s="15">
        <v>79</v>
      </c>
      <c r="AA29" s="29" t="s">
        <v>58</v>
      </c>
      <c r="AB29" s="41">
        <f t="shared" si="11"/>
        <v>-0.69</v>
      </c>
      <c r="AC29" s="42">
        <v>0.14530208333333333</v>
      </c>
      <c r="AD29" s="40">
        <f t="shared" si="12"/>
        <v>-11.629978749999999</v>
      </c>
      <c r="AE29" s="26">
        <v>-7.18</v>
      </c>
      <c r="AF29" s="26">
        <v>-9.1364599999999996</v>
      </c>
      <c r="AG29" s="26">
        <v>0</v>
      </c>
    </row>
    <row r="30" spans="1:33" ht="15.75" customHeight="1" x14ac:dyDescent="0.2">
      <c r="A30" s="15" t="s">
        <v>78</v>
      </c>
      <c r="B30" s="15" t="s">
        <v>624</v>
      </c>
      <c r="C30" s="16">
        <f t="shared" si="4"/>
        <v>26.13436363636362</v>
      </c>
      <c r="D30" s="17">
        <v>55</v>
      </c>
      <c r="E30" s="17">
        <v>1</v>
      </c>
      <c r="F30" s="18">
        <v>1437.3899999999992</v>
      </c>
      <c r="G30" s="18">
        <v>-78.44</v>
      </c>
      <c r="H30" s="32">
        <f t="shared" si="1"/>
        <v>5.4571132399696701E-2</v>
      </c>
      <c r="I30" s="32">
        <f t="shared" si="2"/>
        <v>0.19184393443585215</v>
      </c>
      <c r="J30" s="33">
        <f t="shared" si="5"/>
        <v>275.75455291874937</v>
      </c>
      <c r="K30" s="33">
        <f t="shared" si="3"/>
        <v>5.0137191439772613</v>
      </c>
      <c r="L30" s="17">
        <v>94</v>
      </c>
      <c r="M30" s="34">
        <f t="shared" si="6"/>
        <v>0.58510638297872342</v>
      </c>
      <c r="N30" s="17">
        <v>314</v>
      </c>
      <c r="O30" s="35">
        <f t="shared" ref="O30:P30" si="38">D30/7</f>
        <v>7.8571428571428568</v>
      </c>
      <c r="P30" s="35">
        <f t="shared" si="38"/>
        <v>0.14285714285714285</v>
      </c>
      <c r="Q30" s="30">
        <f t="shared" si="8"/>
        <v>39</v>
      </c>
      <c r="R30" s="30"/>
      <c r="S30" s="22">
        <v>0.92919254658385098</v>
      </c>
      <c r="T30" s="29">
        <v>460</v>
      </c>
      <c r="U30" s="37" t="s">
        <v>56</v>
      </c>
      <c r="V30" s="38" t="s">
        <v>56</v>
      </c>
      <c r="W30" s="15">
        <v>8</v>
      </c>
      <c r="X30" s="39">
        <f t="shared" si="9"/>
        <v>0.14545454545454545</v>
      </c>
      <c r="Y30" s="40">
        <f t="shared" si="10"/>
        <v>4.3577777777777778</v>
      </c>
      <c r="Z30" s="15">
        <v>10</v>
      </c>
      <c r="AA30" s="29" t="s">
        <v>58</v>
      </c>
      <c r="AB30" s="41">
        <f t="shared" si="11"/>
        <v>-0.69</v>
      </c>
      <c r="AC30" s="42">
        <v>0.14530208333333333</v>
      </c>
      <c r="AD30" s="40">
        <f t="shared" si="12"/>
        <v>-11.028428125</v>
      </c>
      <c r="AE30" s="26">
        <v>-7.18</v>
      </c>
      <c r="AF30" s="26">
        <v>-8.3937912537500008</v>
      </c>
      <c r="AG30" s="26">
        <v>0</v>
      </c>
    </row>
    <row r="31" spans="1:33" ht="15.75" customHeight="1" x14ac:dyDescent="0.2">
      <c r="A31" s="15" t="s">
        <v>55</v>
      </c>
      <c r="B31" s="15" t="s">
        <v>96</v>
      </c>
      <c r="C31" s="16">
        <f t="shared" si="4"/>
        <v>26.76320754716982</v>
      </c>
      <c r="D31" s="17">
        <v>53</v>
      </c>
      <c r="E31" s="17">
        <v>3</v>
      </c>
      <c r="F31" s="18">
        <v>1418.4500000000005</v>
      </c>
      <c r="G31" s="43">
        <v>-26.05</v>
      </c>
      <c r="H31" s="32">
        <f t="shared" si="1"/>
        <v>1.8365116852902812E-2</v>
      </c>
      <c r="I31" s="32">
        <f t="shared" si="2"/>
        <v>0.24223213308629163</v>
      </c>
      <c r="J31" s="33">
        <f t="shared" si="5"/>
        <v>343.59416917625049</v>
      </c>
      <c r="K31" s="33">
        <f t="shared" si="3"/>
        <v>6.482908852382085</v>
      </c>
      <c r="L31" s="17">
        <v>131</v>
      </c>
      <c r="M31" s="34">
        <f t="shared" si="6"/>
        <v>0.40458015267175573</v>
      </c>
      <c r="N31" s="17">
        <v>249</v>
      </c>
      <c r="O31" s="35">
        <f t="shared" ref="O31:P31" si="39">D31/7</f>
        <v>7.5714285714285712</v>
      </c>
      <c r="P31" s="35">
        <f t="shared" si="39"/>
        <v>0.42857142857142855</v>
      </c>
      <c r="Q31" s="30">
        <f t="shared" si="8"/>
        <v>31</v>
      </c>
      <c r="R31" s="30"/>
      <c r="S31" s="22">
        <v>1.0579987253027401</v>
      </c>
      <c r="T31" s="15">
        <v>680</v>
      </c>
      <c r="U31" s="23">
        <v>80</v>
      </c>
      <c r="V31" s="1" t="s">
        <v>625</v>
      </c>
      <c r="W31" s="15">
        <v>1</v>
      </c>
      <c r="X31" s="39">
        <f t="shared" si="9"/>
        <v>1.8867924528301886E-2</v>
      </c>
      <c r="Y31" s="40">
        <f t="shared" si="10"/>
        <v>5.21</v>
      </c>
      <c r="Z31" s="15">
        <v>4</v>
      </c>
      <c r="AA31" s="15" t="s">
        <v>58</v>
      </c>
      <c r="AB31" s="41">
        <f t="shared" si="11"/>
        <v>-0.69</v>
      </c>
      <c r="AC31" s="28">
        <v>0.14530208333333333</v>
      </c>
      <c r="AD31" s="40">
        <f t="shared" si="12"/>
        <v>-10.627394375</v>
      </c>
      <c r="AE31" s="44">
        <v>-7.18</v>
      </c>
      <c r="AF31" s="44">
        <v>-8.393791253749999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25.877083333333331</v>
      </c>
      <c r="D32" s="17">
        <v>24</v>
      </c>
      <c r="E32" s="17">
        <v>0</v>
      </c>
      <c r="F32" s="18">
        <v>621.04999999999995</v>
      </c>
      <c r="G32" s="18">
        <v>0</v>
      </c>
      <c r="H32" s="32">
        <f t="shared" si="1"/>
        <v>0</v>
      </c>
      <c r="I32" s="32">
        <f t="shared" si="2"/>
        <v>0.24041398423637378</v>
      </c>
      <c r="J32" s="33">
        <f t="shared" si="5"/>
        <v>149.30910490999992</v>
      </c>
      <c r="K32" s="33">
        <f t="shared" si="3"/>
        <v>6.2212127045833299</v>
      </c>
      <c r="L32" s="17">
        <v>83</v>
      </c>
      <c r="M32" s="34">
        <f t="shared" si="6"/>
        <v>0.28915662650602408</v>
      </c>
      <c r="N32" s="17">
        <v>219</v>
      </c>
      <c r="O32" s="35">
        <f t="shared" ref="O32:P32" si="40">D32/7</f>
        <v>3.4285714285714284</v>
      </c>
      <c r="P32" s="35">
        <f t="shared" si="40"/>
        <v>0</v>
      </c>
      <c r="Q32" s="30">
        <f t="shared" si="8"/>
        <v>63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1.3026599568655639</v>
      </c>
      <c r="T32" s="15">
        <f ca="1">IFERROR(__xludf.DUMMYFUNCTION("IFERROR(VLOOKUP($B$2,IMPORTRANGE(""https://docs.google.com/spreadsheets/d/1KiWZV1ko8G7lnRucBRBd29jj3Be6ltMfljMDqzOkQmI/edit#gid=1381463014"",""Lookup!A:D""),4,FALSE),"""")"),680)</f>
        <v>680</v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S210718   - 80 units 09/17")</f>
        <v>| S210718   - 80 units 09/17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0.14530208333333333</v>
      </c>
      <c r="AD32" s="40">
        <f t="shared" si="12"/>
        <v>-4.812405</v>
      </c>
      <c r="AE32" s="26">
        <v>-7.18</v>
      </c>
      <c r="AF32" s="26">
        <v>-8.3937912537500008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92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Info!B1:BJ7000""),3,FALSE),"""")"),"Professional Cornhole Bags - Set of 8 Regulation All Weather Two Sided Bean Bags for Pro Corn Hole Game - 4 Hunter Green &amp; 4 Gray")</f>
        <v>Professional Cornhole Bags - Set of 8 Regulation All Weather Two Sided Bean Bags for Pro Corn Hole Game - 4 Hunter Green &amp; 4 Gray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Info!B1:BJ7000""),2,FALSE),"""")"),"B07ZTN4SDC")</f>
        <v>B07ZTN4SDC</v>
      </c>
      <c r="B2" s="47" t="s">
        <v>626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13.957401475000003</v>
      </c>
      <c r="D3" s="5">
        <f>SUM(D4:D99765)</f>
        <v>583</v>
      </c>
      <c r="E3" s="5"/>
      <c r="F3" s="6">
        <f t="shared" ref="F3:G3" si="0">SUM(F4:F99765)</f>
        <v>17271.800000000003</v>
      </c>
      <c r="G3" s="6">
        <f t="shared" si="0"/>
        <v>-1330.4099999999999</v>
      </c>
      <c r="H3" s="7">
        <f t="shared" ref="H3:H32" si="1">G3/F3*-1</f>
        <v>7.7027872022603291E-2</v>
      </c>
      <c r="I3" s="8">
        <f t="shared" ref="I3:I32" si="2">J3/F3</f>
        <v>0.3367670799506855</v>
      </c>
      <c r="J3" s="6">
        <f>SUM(J4:J99765)</f>
        <v>5816.573651492251</v>
      </c>
      <c r="K3" s="6">
        <f t="shared" ref="K3:K32" si="3">J3/D3</f>
        <v>9.9769702426968276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5 - April
3.5 - May
6 - June
7 - July
4.5 - Aug
3 - Sept
2.5 - Oct
1.5 - Nov
1.5 - Dec
0.5 - Jan
1.5 - Feb")</f>
        <v>3 - March
5 - April
3.5 - May
6 - June
7 - July
4.5 - Aug
3 - Sept
2.5 - Oct
1.5 - Nov
1.5 - Dec
0.5 -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QTY-42")</f>
        <v>Del QTY-42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QTY-40")</f>
        <v>US QTY-40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56</v>
      </c>
      <c r="X3" s="7">
        <f>W3/D3</f>
        <v>9.6054888507718691E-2</v>
      </c>
      <c r="Y3" s="6"/>
      <c r="Z3" s="5"/>
      <c r="AA3" s="5"/>
      <c r="AB3" s="5"/>
      <c r="AC3" s="5"/>
      <c r="AD3" s="6">
        <f>SUM(AD4:AD99765)</f>
        <v>-217.72536127618062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Info!B2:BZ7000""),36,FALSE)),"""")*-1"),-8.39379125375)</f>
        <v>-8.3937912537500008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487</v>
      </c>
      <c r="C4" s="16">
        <f t="shared" ref="C4:C32" si="4">IFERROR(F4/D4," - ")</f>
        <v>29.64</v>
      </c>
      <c r="D4" s="17">
        <v>1</v>
      </c>
      <c r="E4" s="17">
        <v>0</v>
      </c>
      <c r="F4" s="18">
        <v>29.64</v>
      </c>
      <c r="G4" s="18">
        <v>0</v>
      </c>
      <c r="H4" s="19">
        <f t="shared" si="1"/>
        <v>0</v>
      </c>
      <c r="I4" s="19">
        <f t="shared" si="2"/>
        <v>0.35148307085038266</v>
      </c>
      <c r="J4" s="18">
        <f t="shared" ref="J4:J32" si="5">F4*0.85+G4+AF4*D4+D4*AE4+AG4+AD4</f>
        <v>10.417958220005342</v>
      </c>
      <c r="K4" s="18">
        <f t="shared" si="3"/>
        <v>10.417958220005342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0.14285714285714285</v>
      </c>
      <c r="P4" s="21">
        <f t="shared" si="7"/>
        <v>0</v>
      </c>
      <c r="Q4" s="17">
        <f t="shared" ref="Q4:Q32" si="8">ROUNDDOWN(N4/(O4+P4),0)</f>
        <v>0</v>
      </c>
      <c r="R4" s="17"/>
      <c r="S4" s="22" t="e">
        <v>#N/A</v>
      </c>
      <c r="T4" s="15">
        <v>836</v>
      </c>
      <c r="U4" s="23">
        <v>100</v>
      </c>
      <c r="V4" s="24" t="s">
        <v>627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0.23437995949074078</v>
      </c>
      <c r="AD4" s="26">
        <f t="shared" ref="AD4:AD32" si="12">IFERROR(AB4*AC4*D4*2,0)</f>
        <v>-0.32344434409722223</v>
      </c>
      <c r="AE4" s="26">
        <v>-7.32</v>
      </c>
      <c r="AF4" s="26">
        <v>-7.132597435897436</v>
      </c>
      <c r="AG4" s="26">
        <v>0</v>
      </c>
    </row>
    <row r="5" spans="1:33" ht="15.75" customHeight="1" x14ac:dyDescent="0.2">
      <c r="A5" s="29" t="s">
        <v>33</v>
      </c>
      <c r="B5" s="29" t="s">
        <v>596</v>
      </c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1020</v>
      </c>
      <c r="U5" s="37">
        <v>100</v>
      </c>
      <c r="V5" s="38" t="s">
        <v>628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-7.132597435897436</v>
      </c>
      <c r="AG5" s="40">
        <v>0</v>
      </c>
    </row>
    <row r="6" spans="1:33" ht="15.75" customHeight="1" x14ac:dyDescent="0.2">
      <c r="A6" s="29" t="s">
        <v>34</v>
      </c>
      <c r="B6" s="29" t="s">
        <v>462</v>
      </c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100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920</v>
      </c>
      <c r="U6" s="37">
        <v>80</v>
      </c>
      <c r="V6" s="38" t="s">
        <v>629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-7.132597435897436</v>
      </c>
      <c r="AG6" s="40">
        <v>0</v>
      </c>
    </row>
    <row r="7" spans="1:33" ht="15.75" customHeight="1" x14ac:dyDescent="0.2">
      <c r="A7" s="29" t="s">
        <v>35</v>
      </c>
      <c r="B7" s="29" t="s">
        <v>630</v>
      </c>
      <c r="C7" s="16">
        <f t="shared" si="4"/>
        <v>29.99</v>
      </c>
      <c r="D7" s="30">
        <v>6</v>
      </c>
      <c r="E7" s="30">
        <v>0</v>
      </c>
      <c r="F7" s="31">
        <v>179.94</v>
      </c>
      <c r="G7" s="31">
        <v>-33.43</v>
      </c>
      <c r="H7" s="32">
        <f t="shared" si="1"/>
        <v>0.18578415027231299</v>
      </c>
      <c r="I7" s="32">
        <f t="shared" si="2"/>
        <v>0.17151689074153623</v>
      </c>
      <c r="J7" s="33">
        <f t="shared" si="5"/>
        <v>30.86274932003203</v>
      </c>
      <c r="K7" s="33">
        <f t="shared" si="3"/>
        <v>5.143791553338672</v>
      </c>
      <c r="L7" s="30">
        <v>46</v>
      </c>
      <c r="M7" s="34">
        <f t="shared" si="6"/>
        <v>0.13043478260869565</v>
      </c>
      <c r="N7" s="30">
        <v>93</v>
      </c>
      <c r="O7" s="35">
        <f t="shared" ref="O7:P7" si="15">D7/7</f>
        <v>0.8571428571428571</v>
      </c>
      <c r="P7" s="35">
        <f t="shared" si="15"/>
        <v>0</v>
      </c>
      <c r="Q7" s="30">
        <f t="shared" si="8"/>
        <v>108</v>
      </c>
      <c r="R7" s="30"/>
      <c r="S7" s="36">
        <v>1.7464788732394301</v>
      </c>
      <c r="T7" s="29">
        <v>920</v>
      </c>
      <c r="U7" s="37">
        <v>80</v>
      </c>
      <c r="V7" s="38" t="s">
        <v>631</v>
      </c>
      <c r="W7" s="29">
        <v>0</v>
      </c>
      <c r="X7" s="39">
        <f t="shared" si="9"/>
        <v>0</v>
      </c>
      <c r="Y7" s="40">
        <f t="shared" si="10"/>
        <v>3.343</v>
      </c>
      <c r="Z7" s="29">
        <v>10</v>
      </c>
      <c r="AA7" s="29" t="s">
        <v>58</v>
      </c>
      <c r="AB7" s="41">
        <f t="shared" si="11"/>
        <v>-0.69</v>
      </c>
      <c r="AC7" s="42">
        <v>0.23437995949074078</v>
      </c>
      <c r="AD7" s="40">
        <f t="shared" si="12"/>
        <v>-1.9406660645833334</v>
      </c>
      <c r="AE7" s="40">
        <v>-7.32</v>
      </c>
      <c r="AF7" s="40">
        <v>-7.132597435897436</v>
      </c>
      <c r="AG7" s="40">
        <v>0</v>
      </c>
    </row>
    <row r="8" spans="1:33" ht="15.75" customHeight="1" x14ac:dyDescent="0.2">
      <c r="A8" s="29" t="s">
        <v>36</v>
      </c>
      <c r="B8" s="29" t="s">
        <v>632</v>
      </c>
      <c r="C8" s="16">
        <f t="shared" si="4"/>
        <v>30.921250000000001</v>
      </c>
      <c r="D8" s="30">
        <v>8</v>
      </c>
      <c r="E8" s="30">
        <v>0</v>
      </c>
      <c r="F8" s="31">
        <v>247.37</v>
      </c>
      <c r="G8" s="31">
        <v>-42.449999999999989</v>
      </c>
      <c r="H8" s="32">
        <f t="shared" si="1"/>
        <v>0.17160528762582361</v>
      </c>
      <c r="I8" s="32">
        <f t="shared" si="2"/>
        <v>0.19499631070865511</v>
      </c>
      <c r="J8" s="33">
        <f t="shared" si="5"/>
        <v>48.236237380000013</v>
      </c>
      <c r="K8" s="33">
        <f t="shared" si="3"/>
        <v>6.0295296725000016</v>
      </c>
      <c r="L8" s="30">
        <v>41</v>
      </c>
      <c r="M8" s="34">
        <f t="shared" si="6"/>
        <v>0.1951219512195122</v>
      </c>
      <c r="N8" s="30">
        <v>87</v>
      </c>
      <c r="O8" s="35">
        <f t="shared" ref="O8:P8" si="16">D8/7</f>
        <v>1.1428571428571428</v>
      </c>
      <c r="P8" s="35">
        <f t="shared" si="16"/>
        <v>0</v>
      </c>
      <c r="Q8" s="30">
        <f t="shared" si="8"/>
        <v>76</v>
      </c>
      <c r="R8" s="30"/>
      <c r="S8" s="36">
        <v>2.1734104046242702</v>
      </c>
      <c r="T8" s="29">
        <v>920</v>
      </c>
      <c r="U8" s="37">
        <v>80</v>
      </c>
      <c r="V8" s="38" t="s">
        <v>633</v>
      </c>
      <c r="W8" s="29">
        <v>0</v>
      </c>
      <c r="X8" s="39">
        <f t="shared" si="9"/>
        <v>0</v>
      </c>
      <c r="Y8" s="40">
        <f t="shared" si="10"/>
        <v>8.4899999999999984</v>
      </c>
      <c r="Z8" s="29">
        <v>5</v>
      </c>
      <c r="AA8" s="29" t="s">
        <v>58</v>
      </c>
      <c r="AB8" s="41">
        <f t="shared" si="11"/>
        <v>-0.69</v>
      </c>
      <c r="AC8" s="42">
        <v>0.36034987499999999</v>
      </c>
      <c r="AD8" s="40">
        <f t="shared" si="12"/>
        <v>-3.9782626199999997</v>
      </c>
      <c r="AE8" s="40">
        <v>-7.32</v>
      </c>
      <c r="AF8" s="40">
        <v>-7.13</v>
      </c>
      <c r="AG8" s="40">
        <v>0</v>
      </c>
    </row>
    <row r="9" spans="1:33" ht="15.75" customHeight="1" x14ac:dyDescent="0.2">
      <c r="A9" s="29" t="s">
        <v>37</v>
      </c>
      <c r="B9" s="29" t="s">
        <v>535</v>
      </c>
      <c r="C9" s="16">
        <f t="shared" si="4"/>
        <v>30.068571428571431</v>
      </c>
      <c r="D9" s="30">
        <v>14</v>
      </c>
      <c r="E9" s="30">
        <v>0</v>
      </c>
      <c r="F9" s="31">
        <v>420.96000000000004</v>
      </c>
      <c r="G9" s="31">
        <v>-49.970000000000006</v>
      </c>
      <c r="H9" s="32">
        <f t="shared" si="1"/>
        <v>0.11870486507031547</v>
      </c>
      <c r="I9" s="32">
        <f t="shared" si="2"/>
        <v>0.22235557895658528</v>
      </c>
      <c r="J9" s="33">
        <f t="shared" si="5"/>
        <v>93.602804517564152</v>
      </c>
      <c r="K9" s="33">
        <f t="shared" si="3"/>
        <v>6.6859146083974395</v>
      </c>
      <c r="L9" s="30">
        <v>66</v>
      </c>
      <c r="M9" s="34">
        <f t="shared" si="6"/>
        <v>0.21212121212121213</v>
      </c>
      <c r="N9" s="30">
        <v>72</v>
      </c>
      <c r="O9" s="35">
        <f t="shared" ref="O9:P9" si="17">D9/7</f>
        <v>2</v>
      </c>
      <c r="P9" s="35">
        <f t="shared" si="17"/>
        <v>0</v>
      </c>
      <c r="Q9" s="30">
        <f t="shared" si="8"/>
        <v>36</v>
      </c>
      <c r="R9" s="30"/>
      <c r="S9" s="36">
        <v>2.4049079754601199</v>
      </c>
      <c r="T9" s="29">
        <v>920</v>
      </c>
      <c r="U9" s="37">
        <v>184</v>
      </c>
      <c r="V9" s="38" t="s">
        <v>634</v>
      </c>
      <c r="W9" s="29">
        <v>5</v>
      </c>
      <c r="X9" s="39">
        <f t="shared" si="9"/>
        <v>0.35714285714285715</v>
      </c>
      <c r="Y9" s="40">
        <f t="shared" si="10"/>
        <v>5.5522222222222233</v>
      </c>
      <c r="Z9" s="29">
        <v>4</v>
      </c>
      <c r="AA9" s="29" t="s">
        <v>58</v>
      </c>
      <c r="AB9" s="41">
        <f t="shared" si="11"/>
        <v>-0.69</v>
      </c>
      <c r="AC9" s="42">
        <v>0.36034987499999999</v>
      </c>
      <c r="AD9" s="40">
        <f t="shared" si="12"/>
        <v>-6.9619595849999998</v>
      </c>
      <c r="AE9" s="40">
        <v>-7.32</v>
      </c>
      <c r="AF9" s="40">
        <v>-7.4858025641025598</v>
      </c>
      <c r="AG9" s="40">
        <v>0</v>
      </c>
    </row>
    <row r="10" spans="1:33" ht="15.75" customHeight="1" x14ac:dyDescent="0.2">
      <c r="A10" s="29" t="s">
        <v>38</v>
      </c>
      <c r="B10" s="29" t="s">
        <v>469</v>
      </c>
      <c r="C10" s="16">
        <f t="shared" si="4"/>
        <v>27.51166666666667</v>
      </c>
      <c r="D10" s="30">
        <v>12</v>
      </c>
      <c r="E10" s="30">
        <v>1</v>
      </c>
      <c r="F10" s="31">
        <v>330.14000000000004</v>
      </c>
      <c r="G10" s="31">
        <v>-51.140000000000008</v>
      </c>
      <c r="H10" s="32">
        <f t="shared" si="1"/>
        <v>0.15490398012964196</v>
      </c>
      <c r="I10" s="32">
        <f t="shared" si="2"/>
        <v>0.13885616799166808</v>
      </c>
      <c r="J10" s="33">
        <f t="shared" si="5"/>
        <v>45.841975300769306</v>
      </c>
      <c r="K10" s="33">
        <f t="shared" si="3"/>
        <v>3.8201646083974423</v>
      </c>
      <c r="L10" s="30">
        <v>69</v>
      </c>
      <c r="M10" s="34">
        <f t="shared" si="6"/>
        <v>0.17391304347826086</v>
      </c>
      <c r="N10" s="30">
        <v>55</v>
      </c>
      <c r="O10" s="35">
        <f t="shared" ref="O10:P10" si="18">D10/7</f>
        <v>1.7142857142857142</v>
      </c>
      <c r="P10" s="35">
        <f t="shared" si="18"/>
        <v>0.14285714285714285</v>
      </c>
      <c r="Q10" s="30">
        <f t="shared" si="8"/>
        <v>29</v>
      </c>
      <c r="R10" s="30"/>
      <c r="S10" s="36">
        <v>3.07462686567164</v>
      </c>
      <c r="T10" s="29">
        <v>980</v>
      </c>
      <c r="U10" s="37">
        <v>80</v>
      </c>
      <c r="V10" s="38" t="s">
        <v>635</v>
      </c>
      <c r="W10" s="29">
        <v>3</v>
      </c>
      <c r="X10" s="39">
        <f t="shared" si="9"/>
        <v>0.25</v>
      </c>
      <c r="Y10" s="40">
        <f t="shared" si="10"/>
        <v>6.392500000000001</v>
      </c>
      <c r="Z10" s="29">
        <v>5</v>
      </c>
      <c r="AA10" s="29" t="s">
        <v>58</v>
      </c>
      <c r="AB10" s="41">
        <f t="shared" si="11"/>
        <v>-0.69</v>
      </c>
      <c r="AC10" s="42">
        <v>0.36034987499999999</v>
      </c>
      <c r="AD10" s="40">
        <f t="shared" si="12"/>
        <v>-5.9673939300000001</v>
      </c>
      <c r="AE10" s="40">
        <v>-7.32</v>
      </c>
      <c r="AF10" s="40">
        <v>-7.4858025641025598</v>
      </c>
      <c r="AG10" s="40">
        <v>0</v>
      </c>
    </row>
    <row r="11" spans="1:33" ht="15.75" customHeight="1" x14ac:dyDescent="0.2">
      <c r="A11" s="29" t="s">
        <v>39</v>
      </c>
      <c r="B11" s="29" t="s">
        <v>604</v>
      </c>
      <c r="C11" s="16">
        <f t="shared" si="4"/>
        <v>30.098333333333333</v>
      </c>
      <c r="D11" s="30">
        <v>6</v>
      </c>
      <c r="E11" s="30">
        <v>0</v>
      </c>
      <c r="F11" s="31">
        <v>180.59</v>
      </c>
      <c r="G11" s="31">
        <v>-39.580000000000005</v>
      </c>
      <c r="H11" s="32">
        <f t="shared" si="1"/>
        <v>0.21917049670524394</v>
      </c>
      <c r="I11" s="32">
        <f t="shared" si="2"/>
        <v>0.12239319813048681</v>
      </c>
      <c r="J11" s="33">
        <f t="shared" si="5"/>
        <v>22.102987650384613</v>
      </c>
      <c r="K11" s="33">
        <f t="shared" si="3"/>
        <v>3.6838312750641022</v>
      </c>
      <c r="L11" s="30">
        <v>62</v>
      </c>
      <c r="M11" s="34">
        <f t="shared" si="6"/>
        <v>9.6774193548387094E-2</v>
      </c>
      <c r="N11" s="30">
        <v>50</v>
      </c>
      <c r="O11" s="35">
        <f t="shared" ref="O11:P11" si="19">D11/7</f>
        <v>0.8571428571428571</v>
      </c>
      <c r="P11" s="35">
        <f t="shared" si="19"/>
        <v>0</v>
      </c>
      <c r="Q11" s="30">
        <f t="shared" si="8"/>
        <v>58</v>
      </c>
      <c r="R11" s="30"/>
      <c r="S11" s="36">
        <v>2.03045685279187</v>
      </c>
      <c r="T11" s="29">
        <v>920</v>
      </c>
      <c r="U11" s="37">
        <v>80</v>
      </c>
      <c r="V11" s="38" t="s">
        <v>636</v>
      </c>
      <c r="W11" s="29">
        <v>0</v>
      </c>
      <c r="X11" s="39">
        <f t="shared" si="9"/>
        <v>0</v>
      </c>
      <c r="Y11" s="40">
        <f t="shared" si="10"/>
        <v>7.9160000000000013</v>
      </c>
      <c r="Z11" s="29">
        <v>5</v>
      </c>
      <c r="AA11" s="29" t="s">
        <v>58</v>
      </c>
      <c r="AB11" s="41">
        <f t="shared" si="11"/>
        <v>-0.69</v>
      </c>
      <c r="AC11" s="42">
        <v>0.36034987499999999</v>
      </c>
      <c r="AD11" s="40">
        <f t="shared" si="12"/>
        <v>-2.983696965</v>
      </c>
      <c r="AE11" s="40">
        <v>-7.32</v>
      </c>
      <c r="AF11" s="40">
        <v>-7.4858025641025598</v>
      </c>
      <c r="AG11" s="40">
        <v>0</v>
      </c>
    </row>
    <row r="12" spans="1:33" ht="15.75" customHeight="1" x14ac:dyDescent="0.2">
      <c r="A12" s="29" t="s">
        <v>40</v>
      </c>
      <c r="B12" s="29" t="s">
        <v>637</v>
      </c>
      <c r="C12" s="16">
        <f t="shared" si="4"/>
        <v>29.990000000000006</v>
      </c>
      <c r="D12" s="30">
        <v>22</v>
      </c>
      <c r="E12" s="30">
        <v>2</v>
      </c>
      <c r="F12" s="31">
        <v>659.78000000000009</v>
      </c>
      <c r="G12" s="31">
        <v>-48.89</v>
      </c>
      <c r="H12" s="32">
        <f t="shared" si="1"/>
        <v>7.410045772833368E-2</v>
      </c>
      <c r="I12" s="32">
        <f t="shared" si="2"/>
        <v>0.26562660490579248</v>
      </c>
      <c r="J12" s="33">
        <f t="shared" si="5"/>
        <v>175.2551213847438</v>
      </c>
      <c r="K12" s="33">
        <f t="shared" si="3"/>
        <v>7.9661418811247184</v>
      </c>
      <c r="L12" s="30">
        <v>53</v>
      </c>
      <c r="M12" s="34">
        <f t="shared" si="6"/>
        <v>0.41509433962264153</v>
      </c>
      <c r="N12" s="30">
        <v>29</v>
      </c>
      <c r="O12" s="35">
        <f t="shared" ref="O12:P12" si="20">D12/7</f>
        <v>3.1428571428571428</v>
      </c>
      <c r="P12" s="35">
        <f t="shared" si="20"/>
        <v>0.2857142857142857</v>
      </c>
      <c r="Q12" s="30">
        <f t="shared" si="8"/>
        <v>8</v>
      </c>
      <c r="R12" s="30"/>
      <c r="S12" s="36">
        <v>2.8157894736842102</v>
      </c>
      <c r="T12" s="29">
        <v>368</v>
      </c>
      <c r="U12" s="37">
        <v>184</v>
      </c>
      <c r="V12" s="38" t="s">
        <v>638</v>
      </c>
      <c r="W12" s="29">
        <v>3</v>
      </c>
      <c r="X12" s="39">
        <f t="shared" si="9"/>
        <v>0.13636363636363635</v>
      </c>
      <c r="Y12" s="40">
        <f t="shared" si="10"/>
        <v>5.4322222222222223</v>
      </c>
      <c r="Z12" s="29">
        <v>6</v>
      </c>
      <c r="AA12" s="29" t="s">
        <v>58</v>
      </c>
      <c r="AB12" s="41">
        <f t="shared" si="11"/>
        <v>-0.69</v>
      </c>
      <c r="AC12" s="42">
        <v>0.36034987499999999</v>
      </c>
      <c r="AD12" s="40">
        <f t="shared" si="12"/>
        <v>-10.940222205</v>
      </c>
      <c r="AE12" s="40">
        <v>-7.32</v>
      </c>
      <c r="AF12" s="40">
        <v>-7.4858025641025598</v>
      </c>
      <c r="AG12" s="40">
        <v>0</v>
      </c>
    </row>
    <row r="13" spans="1:33" ht="15.75" customHeight="1" x14ac:dyDescent="0.2">
      <c r="A13" s="29" t="s">
        <v>41</v>
      </c>
      <c r="B13" s="29" t="s">
        <v>462</v>
      </c>
      <c r="C13" s="16">
        <f t="shared" si="4"/>
        <v>29.990000000000002</v>
      </c>
      <c r="D13" s="30">
        <v>7</v>
      </c>
      <c r="E13" s="30">
        <v>1</v>
      </c>
      <c r="F13" s="33">
        <v>209.93</v>
      </c>
      <c r="G13" s="31">
        <v>-14.600000000000003</v>
      </c>
      <c r="H13" s="32">
        <f t="shared" si="1"/>
        <v>6.9546991854427684E-2</v>
      </c>
      <c r="I13" s="32">
        <f t="shared" si="2"/>
        <v>0.40229689673343505</v>
      </c>
      <c r="J13" s="33">
        <f t="shared" si="5"/>
        <v>84.454187531250028</v>
      </c>
      <c r="K13" s="33">
        <f t="shared" si="3"/>
        <v>12.064883933035718</v>
      </c>
      <c r="L13" s="30">
        <v>23</v>
      </c>
      <c r="M13" s="34">
        <f t="shared" si="6"/>
        <v>0.30434782608695654</v>
      </c>
      <c r="N13" s="30">
        <v>15</v>
      </c>
      <c r="O13" s="35">
        <f t="shared" ref="O13:P13" si="21">D13/7</f>
        <v>1</v>
      </c>
      <c r="P13" s="35">
        <f t="shared" si="21"/>
        <v>0.14285714285714285</v>
      </c>
      <c r="Q13" s="30">
        <f t="shared" si="8"/>
        <v>13</v>
      </c>
      <c r="R13" s="30"/>
      <c r="S13" s="36">
        <v>3.1176470588235201</v>
      </c>
      <c r="T13" s="29">
        <v>184</v>
      </c>
      <c r="U13" s="37">
        <v>184</v>
      </c>
      <c r="V13" s="38" t="s">
        <v>609</v>
      </c>
      <c r="W13" s="29">
        <v>0</v>
      </c>
      <c r="X13" s="39">
        <f t="shared" si="9"/>
        <v>0</v>
      </c>
      <c r="Y13" s="40">
        <f t="shared" si="10"/>
        <v>7.3000000000000016</v>
      </c>
      <c r="Z13" s="29">
        <v>2</v>
      </c>
      <c r="AA13" s="29" t="s">
        <v>58</v>
      </c>
      <c r="AB13" s="41">
        <f t="shared" si="11"/>
        <v>-0.69</v>
      </c>
      <c r="AC13" s="42">
        <v>0.26029114583333335</v>
      </c>
      <c r="AD13" s="40">
        <f t="shared" si="12"/>
        <v>-2.5144124687500002</v>
      </c>
      <c r="AE13" s="40">
        <v>-3.31</v>
      </c>
      <c r="AF13" s="40">
        <v>-7.6717000000000004</v>
      </c>
      <c r="AG13" s="40">
        <v>0</v>
      </c>
    </row>
    <row r="14" spans="1:33" ht="15.75" customHeight="1" x14ac:dyDescent="0.2">
      <c r="A14" s="29" t="s">
        <v>42</v>
      </c>
      <c r="B14" s="29" t="s">
        <v>469</v>
      </c>
      <c r="C14" s="16">
        <f t="shared" si="4"/>
        <v>27.490833333333338</v>
      </c>
      <c r="D14" s="30">
        <v>12</v>
      </c>
      <c r="E14" s="30">
        <v>0</v>
      </c>
      <c r="F14" s="33">
        <v>329.89000000000004</v>
      </c>
      <c r="G14" s="31">
        <v>-47.490000000000016</v>
      </c>
      <c r="H14" s="32">
        <f t="shared" si="1"/>
        <v>0.14395707660129137</v>
      </c>
      <c r="I14" s="32">
        <f t="shared" si="2"/>
        <v>0.29350898367637701</v>
      </c>
      <c r="J14" s="33">
        <f t="shared" si="5"/>
        <v>96.825678625000023</v>
      </c>
      <c r="K14" s="33">
        <f t="shared" si="3"/>
        <v>8.0688065520833359</v>
      </c>
      <c r="L14" s="30">
        <v>55</v>
      </c>
      <c r="M14" s="34">
        <f t="shared" si="6"/>
        <v>0.21818181818181817</v>
      </c>
      <c r="N14" s="30">
        <v>3</v>
      </c>
      <c r="O14" s="35">
        <f t="shared" ref="O14:P14" si="22">D14/7</f>
        <v>1.7142857142857142</v>
      </c>
      <c r="P14" s="35">
        <f t="shared" si="22"/>
        <v>0</v>
      </c>
      <c r="Q14" s="30">
        <f t="shared" si="8"/>
        <v>1</v>
      </c>
      <c r="R14" s="30"/>
      <c r="S14" s="36">
        <v>4.3673469387755102</v>
      </c>
      <c r="T14" s="29">
        <v>184</v>
      </c>
      <c r="U14" s="37">
        <v>184</v>
      </c>
      <c r="V14" s="38" t="s">
        <v>609</v>
      </c>
      <c r="W14" s="29">
        <v>2</v>
      </c>
      <c r="X14" s="39">
        <f t="shared" si="9"/>
        <v>0.16666666666666666</v>
      </c>
      <c r="Y14" s="40">
        <f t="shared" si="10"/>
        <v>3.6530769230769242</v>
      </c>
      <c r="Z14" s="29">
        <v>11</v>
      </c>
      <c r="AA14" s="29" t="s">
        <v>58</v>
      </c>
      <c r="AB14" s="41">
        <f t="shared" si="11"/>
        <v>-0.69</v>
      </c>
      <c r="AC14" s="42">
        <v>0.26029114583333335</v>
      </c>
      <c r="AD14" s="40">
        <f t="shared" si="12"/>
        <v>-4.3104213750000007</v>
      </c>
      <c r="AE14" s="40">
        <v>-3.31</v>
      </c>
      <c r="AF14" s="40">
        <v>-7.6717000000000004</v>
      </c>
      <c r="AG14" s="40">
        <v>0</v>
      </c>
    </row>
    <row r="15" spans="1:33" ht="15.75" customHeight="1" x14ac:dyDescent="0.2">
      <c r="A15" s="29" t="s">
        <v>43</v>
      </c>
      <c r="B15" s="29" t="s">
        <v>535</v>
      </c>
      <c r="C15" s="16">
        <f t="shared" si="4"/>
        <v>29.990000000000006</v>
      </c>
      <c r="D15" s="30">
        <v>12</v>
      </c>
      <c r="E15" s="30">
        <v>1</v>
      </c>
      <c r="F15" s="33">
        <v>359.88000000000005</v>
      </c>
      <c r="G15" s="31">
        <v>-44.029999999999994</v>
      </c>
      <c r="H15" s="32">
        <f t="shared" si="1"/>
        <v>0.12234633766811155</v>
      </c>
      <c r="I15" s="32">
        <f t="shared" si="2"/>
        <v>0.34949755091975104</v>
      </c>
      <c r="J15" s="33">
        <f t="shared" si="5"/>
        <v>125.77717862500003</v>
      </c>
      <c r="K15" s="33">
        <f t="shared" si="3"/>
        <v>10.481431552083336</v>
      </c>
      <c r="L15" s="30">
        <v>37</v>
      </c>
      <c r="M15" s="34">
        <f t="shared" si="6"/>
        <v>0.32432432432432434</v>
      </c>
      <c r="N15" s="30">
        <v>185</v>
      </c>
      <c r="O15" s="35">
        <f t="shared" ref="O15:P15" si="23">D15/7</f>
        <v>1.7142857142857142</v>
      </c>
      <c r="P15" s="35">
        <f t="shared" si="23"/>
        <v>0.14285714285714285</v>
      </c>
      <c r="Q15" s="30">
        <f t="shared" si="8"/>
        <v>99</v>
      </c>
      <c r="R15" s="30"/>
      <c r="S15" s="36">
        <v>1.21348314606741</v>
      </c>
      <c r="T15" s="29">
        <v>184</v>
      </c>
      <c r="U15" s="37">
        <v>184</v>
      </c>
      <c r="V15" s="38" t="s">
        <v>609</v>
      </c>
      <c r="W15" s="29">
        <v>2</v>
      </c>
      <c r="X15" s="39">
        <f t="shared" si="9"/>
        <v>0.16666666666666666</v>
      </c>
      <c r="Y15" s="40">
        <f t="shared" si="10"/>
        <v>6.2899999999999991</v>
      </c>
      <c r="Z15" s="29">
        <v>5</v>
      </c>
      <c r="AA15" s="29" t="s">
        <v>58</v>
      </c>
      <c r="AB15" s="41">
        <f t="shared" si="11"/>
        <v>-0.69</v>
      </c>
      <c r="AC15" s="42">
        <v>0.26029114583333335</v>
      </c>
      <c r="AD15" s="40">
        <f t="shared" si="12"/>
        <v>-4.3104213750000007</v>
      </c>
      <c r="AE15" s="40">
        <v>-3.31</v>
      </c>
      <c r="AF15" s="40">
        <v>-7.6717000000000004</v>
      </c>
      <c r="AG15" s="40">
        <v>0</v>
      </c>
    </row>
    <row r="16" spans="1:33" ht="15.75" customHeight="1" x14ac:dyDescent="0.2">
      <c r="A16" s="29" t="s">
        <v>44</v>
      </c>
      <c r="B16" s="29" t="s">
        <v>535</v>
      </c>
      <c r="C16" s="16">
        <f t="shared" si="4"/>
        <v>29.990000000000006</v>
      </c>
      <c r="D16" s="30">
        <v>22</v>
      </c>
      <c r="E16" s="30">
        <v>0</v>
      </c>
      <c r="F16" s="33">
        <v>659.78000000000009</v>
      </c>
      <c r="G16" s="31">
        <v>-56.269999999999996</v>
      </c>
      <c r="H16" s="32">
        <f t="shared" si="1"/>
        <v>8.528600442571764E-2</v>
      </c>
      <c r="I16" s="32">
        <f t="shared" si="2"/>
        <v>0.34105071510579299</v>
      </c>
      <c r="J16" s="33">
        <f t="shared" si="5"/>
        <v>225.01844081250013</v>
      </c>
      <c r="K16" s="33">
        <f t="shared" si="3"/>
        <v>10.228110946022733</v>
      </c>
      <c r="L16" s="30">
        <v>81</v>
      </c>
      <c r="M16" s="34">
        <f t="shared" si="6"/>
        <v>0.27160493827160492</v>
      </c>
      <c r="N16" s="30">
        <v>152</v>
      </c>
      <c r="O16" s="35">
        <f t="shared" ref="O16:P16" si="24">D16/7</f>
        <v>3.1428571428571428</v>
      </c>
      <c r="P16" s="35">
        <f t="shared" si="24"/>
        <v>0</v>
      </c>
      <c r="Q16" s="30">
        <f t="shared" si="8"/>
        <v>48</v>
      </c>
      <c r="R16" s="30"/>
      <c r="S16" s="36">
        <v>1.61333333333333</v>
      </c>
      <c r="T16" s="29">
        <v>184</v>
      </c>
      <c r="U16" s="37">
        <v>184</v>
      </c>
      <c r="V16" s="38" t="s">
        <v>611</v>
      </c>
      <c r="W16" s="29">
        <v>4</v>
      </c>
      <c r="X16" s="39">
        <f t="shared" si="9"/>
        <v>0.18181818181818182</v>
      </c>
      <c r="Y16" s="40">
        <f t="shared" si="10"/>
        <v>4.3284615384615384</v>
      </c>
      <c r="Z16" s="29">
        <v>9</v>
      </c>
      <c r="AA16" s="29" t="s">
        <v>58</v>
      </c>
      <c r="AB16" s="41">
        <f t="shared" si="11"/>
        <v>-0.69</v>
      </c>
      <c r="AC16" s="42">
        <v>0.26029114583333335</v>
      </c>
      <c r="AD16" s="40">
        <f t="shared" si="12"/>
        <v>-7.9024391875000006</v>
      </c>
      <c r="AE16" s="40">
        <v>-3.31</v>
      </c>
      <c r="AF16" s="40">
        <v>-9.0364599999999999</v>
      </c>
      <c r="AG16" s="40">
        <v>0</v>
      </c>
    </row>
    <row r="17" spans="1:33" ht="15.75" customHeight="1" x14ac:dyDescent="0.2">
      <c r="A17" s="29" t="s">
        <v>45</v>
      </c>
      <c r="B17" s="29" t="s">
        <v>452</v>
      </c>
      <c r="C17" s="16">
        <f t="shared" si="4"/>
        <v>32.985200000000013</v>
      </c>
      <c r="D17" s="30">
        <v>25</v>
      </c>
      <c r="E17" s="30">
        <v>0</v>
      </c>
      <c r="F17" s="33">
        <v>824.63000000000034</v>
      </c>
      <c r="G17" s="31">
        <v>-53.390000000000015</v>
      </c>
      <c r="H17" s="32">
        <f t="shared" si="1"/>
        <v>6.4744188302632691E-2</v>
      </c>
      <c r="I17" s="32">
        <f t="shared" si="2"/>
        <v>0.40006300458235838</v>
      </c>
      <c r="J17" s="33">
        <f t="shared" si="5"/>
        <v>329.90395546875033</v>
      </c>
      <c r="K17" s="33">
        <f t="shared" si="3"/>
        <v>13.196158218750012</v>
      </c>
      <c r="L17" s="30">
        <v>66</v>
      </c>
      <c r="M17" s="34">
        <f t="shared" si="6"/>
        <v>0.37878787878787878</v>
      </c>
      <c r="N17" s="30">
        <v>126</v>
      </c>
      <c r="O17" s="35">
        <f t="shared" ref="O17:P17" si="25">D17/7</f>
        <v>3.5714285714285716</v>
      </c>
      <c r="P17" s="35">
        <f t="shared" si="25"/>
        <v>0</v>
      </c>
      <c r="Q17" s="30">
        <f t="shared" si="8"/>
        <v>35</v>
      </c>
      <c r="R17" s="30"/>
      <c r="S17" s="36">
        <v>2.109375</v>
      </c>
      <c r="T17" s="29">
        <v>184</v>
      </c>
      <c r="U17" s="37">
        <v>184</v>
      </c>
      <c r="V17" s="38" t="s">
        <v>611</v>
      </c>
      <c r="W17" s="29">
        <v>6</v>
      </c>
      <c r="X17" s="39">
        <f t="shared" si="9"/>
        <v>0.24</v>
      </c>
      <c r="Y17" s="40">
        <f t="shared" si="10"/>
        <v>3.5593333333333343</v>
      </c>
      <c r="Z17" s="29">
        <v>9</v>
      </c>
      <c r="AA17" s="29" t="s">
        <v>58</v>
      </c>
      <c r="AB17" s="41">
        <f t="shared" si="11"/>
        <v>-0.69</v>
      </c>
      <c r="AC17" s="42">
        <v>0.26029114583333335</v>
      </c>
      <c r="AD17" s="40">
        <f t="shared" si="12"/>
        <v>-8.9800445312499999</v>
      </c>
      <c r="AE17" s="40">
        <v>-3.31</v>
      </c>
      <c r="AF17" s="40">
        <v>-9.0364599999999999</v>
      </c>
      <c r="AG17" s="40">
        <v>0</v>
      </c>
    </row>
    <row r="18" spans="1:33" ht="15.75" customHeight="1" x14ac:dyDescent="0.2">
      <c r="A18" s="29" t="s">
        <v>46</v>
      </c>
      <c r="B18" s="29" t="s">
        <v>639</v>
      </c>
      <c r="C18" s="16">
        <f t="shared" si="4"/>
        <v>33.618947368421047</v>
      </c>
      <c r="D18" s="30">
        <v>19</v>
      </c>
      <c r="E18" s="30">
        <v>0</v>
      </c>
      <c r="F18" s="33">
        <v>638.75999999999988</v>
      </c>
      <c r="G18" s="31">
        <v>-49.599999999999994</v>
      </c>
      <c r="H18" s="32">
        <f t="shared" si="1"/>
        <v>7.76504477425011E-2</v>
      </c>
      <c r="I18" s="32">
        <f t="shared" si="2"/>
        <v>0.3914434625778852</v>
      </c>
      <c r="J18" s="33">
        <f t="shared" si="5"/>
        <v>250.0384261562499</v>
      </c>
      <c r="K18" s="33">
        <f t="shared" si="3"/>
        <v>13.159917166118415</v>
      </c>
      <c r="L18" s="30">
        <v>66</v>
      </c>
      <c r="M18" s="34">
        <f t="shared" si="6"/>
        <v>0.2878787878787879</v>
      </c>
      <c r="N18" s="30">
        <v>167</v>
      </c>
      <c r="O18" s="35">
        <f t="shared" ref="O18:P18" si="26">D18/7</f>
        <v>2.7142857142857144</v>
      </c>
      <c r="P18" s="35">
        <f t="shared" si="26"/>
        <v>0</v>
      </c>
      <c r="Q18" s="30">
        <f t="shared" si="8"/>
        <v>61</v>
      </c>
      <c r="R18" s="30"/>
      <c r="S18" s="36">
        <v>2.5826771653543301</v>
      </c>
      <c r="T18" s="29">
        <v>524</v>
      </c>
      <c r="U18" s="37" t="s">
        <v>56</v>
      </c>
      <c r="V18" s="38" t="s">
        <v>612</v>
      </c>
      <c r="W18" s="29">
        <v>1</v>
      </c>
      <c r="X18" s="39">
        <f t="shared" si="9"/>
        <v>5.2631578947368418E-2</v>
      </c>
      <c r="Y18" s="40">
        <f t="shared" si="10"/>
        <v>4.9599999999999991</v>
      </c>
      <c r="Z18" s="29">
        <v>9</v>
      </c>
      <c r="AA18" s="29" t="s">
        <v>58</v>
      </c>
      <c r="AB18" s="41">
        <f t="shared" si="11"/>
        <v>-0.69</v>
      </c>
      <c r="AC18" s="42">
        <v>0.26029114583333335</v>
      </c>
      <c r="AD18" s="40">
        <f t="shared" si="12"/>
        <v>-6.8248338437500005</v>
      </c>
      <c r="AE18" s="40">
        <v>-3.31</v>
      </c>
      <c r="AF18" s="40">
        <v>-9.1364599999999996</v>
      </c>
      <c r="AG18" s="40">
        <v>0</v>
      </c>
    </row>
    <row r="19" spans="1:33" ht="15.75" customHeight="1" x14ac:dyDescent="0.2">
      <c r="A19" s="29" t="s">
        <v>47</v>
      </c>
      <c r="B19" s="29" t="s">
        <v>640</v>
      </c>
      <c r="C19" s="16">
        <f t="shared" si="4"/>
        <v>35.467878787878796</v>
      </c>
      <c r="D19" s="30">
        <v>33</v>
      </c>
      <c r="E19" s="30">
        <v>0</v>
      </c>
      <c r="F19" s="33">
        <v>1170.4400000000003</v>
      </c>
      <c r="G19" s="31">
        <v>-93.949999999999989</v>
      </c>
      <c r="H19" s="32">
        <f t="shared" si="1"/>
        <v>8.0268958682204961E-2</v>
      </c>
      <c r="I19" s="32">
        <f t="shared" si="2"/>
        <v>0.40868148834519513</v>
      </c>
      <c r="J19" s="33">
        <f t="shared" si="5"/>
        <v>478.33716121875028</v>
      </c>
      <c r="K19" s="33">
        <f t="shared" si="3"/>
        <v>14.495065491477281</v>
      </c>
      <c r="L19" s="30">
        <v>85</v>
      </c>
      <c r="M19" s="34">
        <f t="shared" si="6"/>
        <v>0.38823529411764707</v>
      </c>
      <c r="N19" s="30">
        <v>137</v>
      </c>
      <c r="O19" s="35">
        <f t="shared" ref="O19:P19" si="27">D19/7</f>
        <v>4.7142857142857144</v>
      </c>
      <c r="P19" s="35">
        <f t="shared" si="27"/>
        <v>0</v>
      </c>
      <c r="Q19" s="30">
        <f t="shared" si="8"/>
        <v>29</v>
      </c>
      <c r="R19" s="30"/>
      <c r="S19" s="36">
        <v>1.73105134474327</v>
      </c>
      <c r="T19" s="29">
        <v>340</v>
      </c>
      <c r="U19" s="37" t="s">
        <v>56</v>
      </c>
      <c r="V19" s="38" t="s">
        <v>56</v>
      </c>
      <c r="W19" s="29">
        <v>3</v>
      </c>
      <c r="X19" s="39">
        <f t="shared" si="9"/>
        <v>9.0909090909090912E-2</v>
      </c>
      <c r="Y19" s="40">
        <f t="shared" si="10"/>
        <v>4.6974999999999998</v>
      </c>
      <c r="Z19" s="29">
        <v>17</v>
      </c>
      <c r="AA19" s="29" t="s">
        <v>58</v>
      </c>
      <c r="AB19" s="41">
        <f t="shared" si="11"/>
        <v>-0.69</v>
      </c>
      <c r="AC19" s="42">
        <v>0.26029114583333335</v>
      </c>
      <c r="AD19" s="40">
        <f t="shared" si="12"/>
        <v>-11.853658781250001</v>
      </c>
      <c r="AE19" s="40">
        <v>-3.31</v>
      </c>
      <c r="AF19" s="40">
        <v>-9.1364599999999996</v>
      </c>
      <c r="AG19" s="40">
        <v>0</v>
      </c>
    </row>
    <row r="20" spans="1:33" ht="15.75" customHeight="1" x14ac:dyDescent="0.2">
      <c r="A20" s="29" t="s">
        <v>48</v>
      </c>
      <c r="B20" s="29" t="s">
        <v>395</v>
      </c>
      <c r="C20" s="16">
        <f t="shared" si="4"/>
        <v>34.949999999999996</v>
      </c>
      <c r="D20" s="30">
        <v>15</v>
      </c>
      <c r="E20" s="30">
        <v>1</v>
      </c>
      <c r="F20" s="33">
        <v>524.24999999999989</v>
      </c>
      <c r="G20" s="31">
        <v>-99.789999999999992</v>
      </c>
      <c r="H20" s="32">
        <f t="shared" si="1"/>
        <v>0.19034811635670007</v>
      </c>
      <c r="I20" s="32">
        <f t="shared" si="2"/>
        <v>0.2932524049237003</v>
      </c>
      <c r="J20" s="33">
        <f t="shared" si="5"/>
        <v>153.73757328124987</v>
      </c>
      <c r="K20" s="33">
        <f t="shared" si="3"/>
        <v>10.249171552083324</v>
      </c>
      <c r="L20" s="30">
        <v>69</v>
      </c>
      <c r="M20" s="34">
        <f t="shared" si="6"/>
        <v>0.21739130434782608</v>
      </c>
      <c r="N20" s="30">
        <v>113</v>
      </c>
      <c r="O20" s="35">
        <f t="shared" ref="O20:P20" si="28">D20/7</f>
        <v>2.1428571428571428</v>
      </c>
      <c r="P20" s="35">
        <f t="shared" si="28"/>
        <v>0.14285714285714285</v>
      </c>
      <c r="Q20" s="30">
        <f t="shared" si="8"/>
        <v>49</v>
      </c>
      <c r="R20" s="30"/>
      <c r="S20" s="36">
        <v>1.8148984198645599</v>
      </c>
      <c r="T20" s="29">
        <v>640</v>
      </c>
      <c r="U20" s="37">
        <v>300</v>
      </c>
      <c r="V20" s="38" t="s">
        <v>615</v>
      </c>
      <c r="W20" s="29">
        <v>2</v>
      </c>
      <c r="X20" s="39">
        <f t="shared" si="9"/>
        <v>0.13333333333333333</v>
      </c>
      <c r="Y20" s="40">
        <f t="shared" si="10"/>
        <v>4.7519047619047612</v>
      </c>
      <c r="Z20" s="29">
        <v>19</v>
      </c>
      <c r="AA20" s="29" t="s">
        <v>58</v>
      </c>
      <c r="AB20" s="41">
        <f t="shared" si="11"/>
        <v>-0.69</v>
      </c>
      <c r="AC20" s="42">
        <v>0.26029114583333335</v>
      </c>
      <c r="AD20" s="40">
        <f t="shared" si="12"/>
        <v>-5.3880267187499999</v>
      </c>
      <c r="AE20" s="40">
        <v>-3.31</v>
      </c>
      <c r="AF20" s="40">
        <v>-9.1364599999999996</v>
      </c>
      <c r="AG20" s="40">
        <v>0</v>
      </c>
    </row>
    <row r="21" spans="1:33" ht="15.75" customHeight="1" x14ac:dyDescent="0.2">
      <c r="A21" s="29" t="s">
        <v>49</v>
      </c>
      <c r="B21" s="29" t="s">
        <v>452</v>
      </c>
      <c r="C21" s="16">
        <f t="shared" si="4"/>
        <v>34.949999999999996</v>
      </c>
      <c r="D21" s="30">
        <v>12</v>
      </c>
      <c r="E21" s="30">
        <v>1</v>
      </c>
      <c r="F21" s="33">
        <v>419.39999999999992</v>
      </c>
      <c r="G21" s="31">
        <v>-15.239999999999997</v>
      </c>
      <c r="H21" s="32">
        <f t="shared" si="1"/>
        <v>3.6337625178826896E-2</v>
      </c>
      <c r="I21" s="32">
        <f t="shared" si="2"/>
        <v>0.44726289610157349</v>
      </c>
      <c r="J21" s="33">
        <f t="shared" si="5"/>
        <v>187.58205862499989</v>
      </c>
      <c r="K21" s="33">
        <f t="shared" si="3"/>
        <v>15.631838218749991</v>
      </c>
      <c r="L21" s="30">
        <v>36</v>
      </c>
      <c r="M21" s="34">
        <f t="shared" si="6"/>
        <v>0.33333333333333331</v>
      </c>
      <c r="N21" s="30">
        <v>100</v>
      </c>
      <c r="O21" s="35">
        <f t="shared" ref="O21:P21" si="29">D21/7</f>
        <v>1.7142857142857142</v>
      </c>
      <c r="P21" s="35">
        <f t="shared" si="29"/>
        <v>0.14285714285714285</v>
      </c>
      <c r="Q21" s="30">
        <f t="shared" si="8"/>
        <v>53</v>
      </c>
      <c r="R21" s="30"/>
      <c r="S21" s="36">
        <v>2.2561307901907299</v>
      </c>
      <c r="T21" s="29">
        <v>640</v>
      </c>
      <c r="U21" s="37">
        <v>300</v>
      </c>
      <c r="V21" s="38" t="s">
        <v>616</v>
      </c>
      <c r="W21" s="29">
        <v>0</v>
      </c>
      <c r="X21" s="39">
        <f t="shared" si="9"/>
        <v>0</v>
      </c>
      <c r="Y21" s="40">
        <f t="shared" si="10"/>
        <v>5.0799999999999992</v>
      </c>
      <c r="Z21" s="29">
        <v>3</v>
      </c>
      <c r="AA21" s="29" t="s">
        <v>58</v>
      </c>
      <c r="AB21" s="41">
        <f t="shared" si="11"/>
        <v>-0.69</v>
      </c>
      <c r="AC21" s="42">
        <v>0.26029114583333335</v>
      </c>
      <c r="AD21" s="40">
        <f t="shared" si="12"/>
        <v>-4.3104213750000007</v>
      </c>
      <c r="AE21" s="40">
        <v>-3.31</v>
      </c>
      <c r="AF21" s="40">
        <v>-9.1364599999999996</v>
      </c>
      <c r="AG21" s="40">
        <v>0</v>
      </c>
    </row>
    <row r="22" spans="1:33" ht="15.75" customHeight="1" x14ac:dyDescent="0.2">
      <c r="A22" s="29" t="s">
        <v>50</v>
      </c>
      <c r="B22" s="29" t="s">
        <v>641</v>
      </c>
      <c r="C22" s="16">
        <f t="shared" si="4"/>
        <v>34.949999999999996</v>
      </c>
      <c r="D22" s="30">
        <v>15</v>
      </c>
      <c r="E22" s="30">
        <v>0</v>
      </c>
      <c r="F22" s="31">
        <v>524.24999999999989</v>
      </c>
      <c r="G22" s="31">
        <v>0</v>
      </c>
      <c r="H22" s="32">
        <f t="shared" si="1"/>
        <v>0</v>
      </c>
      <c r="I22" s="32">
        <f t="shared" si="2"/>
        <v>0.48360052128040049</v>
      </c>
      <c r="J22" s="33">
        <f t="shared" si="5"/>
        <v>253.52757328124991</v>
      </c>
      <c r="K22" s="33">
        <f t="shared" si="3"/>
        <v>16.901838218749994</v>
      </c>
      <c r="L22" s="30">
        <v>53</v>
      </c>
      <c r="M22" s="34">
        <f t="shared" si="6"/>
        <v>0.28301886792452829</v>
      </c>
      <c r="N22" s="30">
        <v>88</v>
      </c>
      <c r="O22" s="35">
        <f t="shared" ref="O22:P22" si="30">D22/7</f>
        <v>2.1428571428571428</v>
      </c>
      <c r="P22" s="35">
        <f t="shared" si="30"/>
        <v>0</v>
      </c>
      <c r="Q22" s="30">
        <f t="shared" si="8"/>
        <v>41</v>
      </c>
      <c r="R22" s="30"/>
      <c r="S22" s="36">
        <v>2.2779291553133501</v>
      </c>
      <c r="T22" s="29">
        <v>640</v>
      </c>
      <c r="U22" s="37">
        <v>300</v>
      </c>
      <c r="V22" s="38" t="s">
        <v>618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58</v>
      </c>
      <c r="AB22" s="41">
        <f t="shared" si="11"/>
        <v>-0.69</v>
      </c>
      <c r="AC22" s="42">
        <v>0.26029114583333335</v>
      </c>
      <c r="AD22" s="40">
        <f t="shared" si="12"/>
        <v>-5.3880267187499999</v>
      </c>
      <c r="AE22" s="40">
        <v>-3.31</v>
      </c>
      <c r="AF22" s="40">
        <v>-9.1364599999999996</v>
      </c>
      <c r="AG22" s="40">
        <v>0</v>
      </c>
    </row>
    <row r="23" spans="1:33" ht="15.75" customHeight="1" x14ac:dyDescent="0.2">
      <c r="A23" s="29" t="s">
        <v>51</v>
      </c>
      <c r="B23" s="29" t="s">
        <v>395</v>
      </c>
      <c r="C23" s="16">
        <f t="shared" si="4"/>
        <v>27.459999999999997</v>
      </c>
      <c r="D23" s="30">
        <v>20</v>
      </c>
      <c r="E23" s="30">
        <v>1</v>
      </c>
      <c r="F23" s="33">
        <v>549.19999999999993</v>
      </c>
      <c r="G23" s="31">
        <v>-66.910000000000011</v>
      </c>
      <c r="H23" s="32">
        <f t="shared" si="1"/>
        <v>0.12183175528040791</v>
      </c>
      <c r="I23" s="32">
        <f t="shared" si="2"/>
        <v>0.26182950541697003</v>
      </c>
      <c r="J23" s="33">
        <f t="shared" si="5"/>
        <v>143.79676437499992</v>
      </c>
      <c r="K23" s="33">
        <f t="shared" si="3"/>
        <v>7.1898382187499958</v>
      </c>
      <c r="L23" s="30">
        <v>74</v>
      </c>
      <c r="M23" s="34">
        <f t="shared" si="6"/>
        <v>0.27027027027027029</v>
      </c>
      <c r="N23" s="30">
        <v>69</v>
      </c>
      <c r="O23" s="35">
        <f t="shared" ref="O23:P23" si="31">D23/7</f>
        <v>2.8571428571428572</v>
      </c>
      <c r="P23" s="35">
        <f t="shared" si="31"/>
        <v>0.14285714285714285</v>
      </c>
      <c r="Q23" s="30">
        <f t="shared" si="8"/>
        <v>23</v>
      </c>
      <c r="R23" s="30"/>
      <c r="S23" s="36">
        <v>2.6422018348623801</v>
      </c>
      <c r="T23" s="29">
        <v>640</v>
      </c>
      <c r="U23" s="37">
        <v>300</v>
      </c>
      <c r="V23" s="38" t="s">
        <v>618</v>
      </c>
      <c r="W23" s="29">
        <v>4</v>
      </c>
      <c r="X23" s="39">
        <f t="shared" si="9"/>
        <v>0.2</v>
      </c>
      <c r="Y23" s="40">
        <f t="shared" si="10"/>
        <v>5.5758333333333345</v>
      </c>
      <c r="Z23" s="29">
        <v>8</v>
      </c>
      <c r="AA23" s="29" t="s">
        <v>58</v>
      </c>
      <c r="AB23" s="41">
        <f t="shared" si="11"/>
        <v>-0.69</v>
      </c>
      <c r="AC23" s="42">
        <v>0.26029114583333335</v>
      </c>
      <c r="AD23" s="40">
        <f t="shared" si="12"/>
        <v>-7.1840356249999999</v>
      </c>
      <c r="AE23" s="40">
        <v>-3.31</v>
      </c>
      <c r="AF23" s="40">
        <v>-9.1364599999999996</v>
      </c>
      <c r="AG23" s="40">
        <v>0</v>
      </c>
    </row>
    <row r="24" spans="1:33" ht="15.75" customHeight="1" x14ac:dyDescent="0.2">
      <c r="A24" s="29" t="s">
        <v>52</v>
      </c>
      <c r="B24" s="29" t="s">
        <v>642</v>
      </c>
      <c r="C24" s="16">
        <f t="shared" si="4"/>
        <v>23.761904761904756</v>
      </c>
      <c r="D24" s="30">
        <v>21</v>
      </c>
      <c r="E24" s="30">
        <v>3</v>
      </c>
      <c r="F24" s="33">
        <v>498.99999999999989</v>
      </c>
      <c r="G24" s="33">
        <v>-1.08</v>
      </c>
      <c r="H24" s="32">
        <f t="shared" si="1"/>
        <v>2.1643286573146299E-3</v>
      </c>
      <c r="I24" s="32">
        <f t="shared" si="2"/>
        <v>0.30892004527805611</v>
      </c>
      <c r="J24" s="33">
        <f t="shared" si="5"/>
        <v>154.15110259374995</v>
      </c>
      <c r="K24" s="33">
        <f t="shared" si="3"/>
        <v>7.340528694940474</v>
      </c>
      <c r="L24" s="30">
        <v>62</v>
      </c>
      <c r="M24" s="34">
        <f t="shared" si="6"/>
        <v>0.33870967741935482</v>
      </c>
      <c r="N24" s="30">
        <v>47</v>
      </c>
      <c r="O24" s="35">
        <f t="shared" ref="O24:P24" si="32">D24/7</f>
        <v>3</v>
      </c>
      <c r="P24" s="35">
        <f t="shared" si="32"/>
        <v>0.42857142857142855</v>
      </c>
      <c r="Q24" s="30">
        <f t="shared" si="8"/>
        <v>13</v>
      </c>
      <c r="R24" s="30"/>
      <c r="S24" s="36">
        <v>2.0904977375565599</v>
      </c>
      <c r="T24" s="29">
        <v>640</v>
      </c>
      <c r="U24" s="37">
        <v>300</v>
      </c>
      <c r="V24" s="38" t="s">
        <v>620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42">
        <v>0.26029114583333335</v>
      </c>
      <c r="AD24" s="40">
        <f t="shared" si="12"/>
        <v>-7.5432374062500003</v>
      </c>
      <c r="AE24" s="40">
        <v>-3.31</v>
      </c>
      <c r="AF24" s="40">
        <v>-9.1364599999999996</v>
      </c>
      <c r="AG24" s="40">
        <v>0</v>
      </c>
    </row>
    <row r="25" spans="1:33" ht="15.75" customHeight="1" x14ac:dyDescent="0.2">
      <c r="A25" s="29" t="s">
        <v>53</v>
      </c>
      <c r="B25" s="15" t="s">
        <v>643</v>
      </c>
      <c r="C25" s="16">
        <f t="shared" si="4"/>
        <v>29.47941176470588</v>
      </c>
      <c r="D25" s="30">
        <v>17</v>
      </c>
      <c r="E25" s="30">
        <v>1</v>
      </c>
      <c r="F25" s="33">
        <v>501.15</v>
      </c>
      <c r="G25" s="33">
        <v>0</v>
      </c>
      <c r="H25" s="32">
        <f t="shared" si="1"/>
        <v>0</v>
      </c>
      <c r="I25" s="32">
        <f t="shared" si="2"/>
        <v>0.41548652044048684</v>
      </c>
      <c r="J25" s="33">
        <f t="shared" si="5"/>
        <v>208.22106971874996</v>
      </c>
      <c r="K25" s="33">
        <f t="shared" si="3"/>
        <v>12.248298218749998</v>
      </c>
      <c r="L25" s="30">
        <v>72</v>
      </c>
      <c r="M25" s="34">
        <f t="shared" si="6"/>
        <v>0.2361111111111111</v>
      </c>
      <c r="N25" s="30">
        <v>484</v>
      </c>
      <c r="O25" s="35">
        <f t="shared" ref="O25:P25" si="33">D25/7</f>
        <v>2.4285714285714284</v>
      </c>
      <c r="P25" s="35">
        <f t="shared" si="33"/>
        <v>0.14285714285714285</v>
      </c>
      <c r="Q25" s="30">
        <f t="shared" si="8"/>
        <v>188</v>
      </c>
      <c r="R25" s="30"/>
      <c r="S25" s="36">
        <v>1.1959287531806611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0.26029114583333335</v>
      </c>
      <c r="AD25" s="40">
        <f t="shared" si="12"/>
        <v>-6.1064302812500006</v>
      </c>
      <c r="AE25" s="40">
        <v>-3.31</v>
      </c>
      <c r="AF25" s="40">
        <v>-9.14</v>
      </c>
      <c r="AG25" s="40">
        <v>0</v>
      </c>
    </row>
    <row r="26" spans="1:33" ht="15.75" customHeight="1" x14ac:dyDescent="0.2">
      <c r="A26" s="15" t="s">
        <v>54</v>
      </c>
      <c r="B26" s="51" t="s">
        <v>644</v>
      </c>
      <c r="C26" s="16">
        <f t="shared" si="4"/>
        <v>30.174193548387095</v>
      </c>
      <c r="D26" s="17">
        <v>31</v>
      </c>
      <c r="E26" s="17">
        <v>3</v>
      </c>
      <c r="F26" s="18">
        <v>935.4</v>
      </c>
      <c r="G26" s="18">
        <v>-55.649999999999977</v>
      </c>
      <c r="H26" s="32">
        <f t="shared" si="1"/>
        <v>5.9493264913406008E-2</v>
      </c>
      <c r="I26" s="32">
        <f t="shared" si="2"/>
        <v>0.36081300489763735</v>
      </c>
      <c r="J26" s="33">
        <f t="shared" si="5"/>
        <v>337.50448478124997</v>
      </c>
      <c r="K26" s="33">
        <f t="shared" si="3"/>
        <v>10.88724144455645</v>
      </c>
      <c r="L26" s="17">
        <v>82</v>
      </c>
      <c r="M26" s="34">
        <f t="shared" si="6"/>
        <v>0.37804878048780488</v>
      </c>
      <c r="N26" s="17">
        <v>431</v>
      </c>
      <c r="O26" s="35">
        <f t="shared" ref="O26:P26" si="34">D26/7</f>
        <v>4.4285714285714288</v>
      </c>
      <c r="P26" s="35">
        <f t="shared" si="34"/>
        <v>0.42857142857142855</v>
      </c>
      <c r="Q26" s="30">
        <f t="shared" si="8"/>
        <v>88</v>
      </c>
      <c r="R26" s="30"/>
      <c r="S26" s="22">
        <v>1.406779661016949</v>
      </c>
      <c r="T26" s="15">
        <v>340</v>
      </c>
      <c r="U26" s="23" t="s">
        <v>56</v>
      </c>
      <c r="V26" s="1" t="s">
        <v>56</v>
      </c>
      <c r="W26" s="15">
        <v>4</v>
      </c>
      <c r="X26" s="39">
        <f t="shared" si="9"/>
        <v>0.12903225806451613</v>
      </c>
      <c r="Y26" s="40">
        <f t="shared" si="10"/>
        <v>2.7824999999999989</v>
      </c>
      <c r="Z26" s="15">
        <v>16</v>
      </c>
      <c r="AA26" s="29" t="s">
        <v>58</v>
      </c>
      <c r="AB26" s="41">
        <f t="shared" si="11"/>
        <v>-0.69</v>
      </c>
      <c r="AC26" s="42">
        <v>0.26029114583333335</v>
      </c>
      <c r="AD26" s="40">
        <f t="shared" si="12"/>
        <v>-11.13525521875</v>
      </c>
      <c r="AE26" s="26">
        <v>-3.47</v>
      </c>
      <c r="AF26" s="26">
        <v>-9.1364599999999996</v>
      </c>
      <c r="AG26" s="26">
        <v>0</v>
      </c>
    </row>
    <row r="27" spans="1:33" ht="15.75" customHeight="1" x14ac:dyDescent="0.2">
      <c r="A27" s="15" t="s">
        <v>74</v>
      </c>
      <c r="B27" s="52" t="s">
        <v>645</v>
      </c>
      <c r="C27" s="16">
        <f t="shared" si="4"/>
        <v>26.321538461538463</v>
      </c>
      <c r="D27" s="17">
        <v>52</v>
      </c>
      <c r="E27" s="17">
        <v>2</v>
      </c>
      <c r="F27" s="18">
        <v>1368.72</v>
      </c>
      <c r="G27" s="18">
        <v>-176.49</v>
      </c>
      <c r="H27" s="32">
        <f t="shared" si="1"/>
        <v>0.12894529195160442</v>
      </c>
      <c r="I27" s="32">
        <f t="shared" si="2"/>
        <v>0.22846717179189319</v>
      </c>
      <c r="J27" s="33">
        <f t="shared" si="5"/>
        <v>312.70758737500006</v>
      </c>
      <c r="K27" s="33">
        <f t="shared" si="3"/>
        <v>6.013607449519232</v>
      </c>
      <c r="L27" s="17">
        <v>124</v>
      </c>
      <c r="M27" s="34">
        <f t="shared" si="6"/>
        <v>0.41935483870967744</v>
      </c>
      <c r="N27" s="17">
        <v>297</v>
      </c>
      <c r="O27" s="35">
        <f t="shared" ref="O27:P27" si="35">D27/7</f>
        <v>7.4285714285714288</v>
      </c>
      <c r="P27" s="35">
        <f t="shared" si="35"/>
        <v>0.2857142857142857</v>
      </c>
      <c r="Q27" s="30">
        <f t="shared" si="8"/>
        <v>38</v>
      </c>
      <c r="R27" s="30"/>
      <c r="S27" s="22">
        <v>2.1064220183486242</v>
      </c>
      <c r="T27" s="15">
        <v>340</v>
      </c>
      <c r="U27" s="23" t="s">
        <v>56</v>
      </c>
      <c r="V27" s="1" t="s">
        <v>56</v>
      </c>
      <c r="W27" s="15">
        <v>9</v>
      </c>
      <c r="X27" s="39">
        <f t="shared" si="9"/>
        <v>0.17307692307692307</v>
      </c>
      <c r="Y27" s="40">
        <f t="shared" si="10"/>
        <v>4.2021428571428574</v>
      </c>
      <c r="Z27" s="15">
        <v>33</v>
      </c>
      <c r="AA27" s="29" t="s">
        <v>58</v>
      </c>
      <c r="AB27" s="41">
        <f t="shared" si="11"/>
        <v>-0.69</v>
      </c>
      <c r="AC27" s="42">
        <v>0.26029114583333335</v>
      </c>
      <c r="AD27" s="40">
        <f t="shared" si="12"/>
        <v>-18.678492625000001</v>
      </c>
      <c r="AE27" s="26">
        <v>-3.47</v>
      </c>
      <c r="AF27" s="26">
        <v>-9.1364599999999996</v>
      </c>
      <c r="AG27" s="26">
        <v>0</v>
      </c>
    </row>
    <row r="28" spans="1:33" ht="15.75" customHeight="1" x14ac:dyDescent="0.2">
      <c r="A28" s="15" t="s">
        <v>75</v>
      </c>
      <c r="B28" s="15" t="s">
        <v>646</v>
      </c>
      <c r="C28" s="16">
        <f t="shared" si="4"/>
        <v>27.841249999999999</v>
      </c>
      <c r="D28" s="17">
        <v>32</v>
      </c>
      <c r="E28" s="17">
        <v>0</v>
      </c>
      <c r="F28" s="18">
        <v>890.92</v>
      </c>
      <c r="G28" s="18">
        <v>-151.21</v>
      </c>
      <c r="H28" s="32">
        <f t="shared" si="1"/>
        <v>0.16972343195797604</v>
      </c>
      <c r="I28" s="32">
        <f t="shared" si="2"/>
        <v>0.21457686773223172</v>
      </c>
      <c r="J28" s="33">
        <f t="shared" si="5"/>
        <v>191.17082299999987</v>
      </c>
      <c r="K28" s="33">
        <f t="shared" si="3"/>
        <v>5.974088218749996</v>
      </c>
      <c r="L28" s="17">
        <v>149</v>
      </c>
      <c r="M28" s="34">
        <f t="shared" si="6"/>
        <v>0.21476510067114093</v>
      </c>
      <c r="N28" s="17">
        <v>267</v>
      </c>
      <c r="O28" s="35">
        <f t="shared" ref="O28:P28" si="36">D28/7</f>
        <v>4.5714285714285712</v>
      </c>
      <c r="P28" s="35">
        <f t="shared" si="36"/>
        <v>0</v>
      </c>
      <c r="Q28" s="30">
        <f t="shared" si="8"/>
        <v>58</v>
      </c>
      <c r="R28" s="30"/>
      <c r="S28" s="22">
        <v>1.84393063583815</v>
      </c>
      <c r="T28" s="15">
        <v>340</v>
      </c>
      <c r="U28" s="23" t="s">
        <v>56</v>
      </c>
      <c r="V28" s="1" t="s">
        <v>56</v>
      </c>
      <c r="W28" s="15">
        <v>7</v>
      </c>
      <c r="X28" s="39">
        <f t="shared" si="9"/>
        <v>0.21875</v>
      </c>
      <c r="Y28" s="40">
        <f t="shared" si="10"/>
        <v>4.8777419354838711</v>
      </c>
      <c r="Z28" s="15">
        <v>24</v>
      </c>
      <c r="AA28" s="29" t="s">
        <v>58</v>
      </c>
      <c r="AB28" s="41">
        <f t="shared" si="11"/>
        <v>-0.69</v>
      </c>
      <c r="AC28" s="42">
        <v>0.26029114583333335</v>
      </c>
      <c r="AD28" s="40">
        <f t="shared" si="12"/>
        <v>-11.494457000000001</v>
      </c>
      <c r="AE28" s="26">
        <v>-3.47</v>
      </c>
      <c r="AF28" s="26">
        <v>-9.1364599999999996</v>
      </c>
      <c r="AG28" s="26">
        <v>0</v>
      </c>
    </row>
    <row r="29" spans="1:33" ht="15.75" customHeight="1" x14ac:dyDescent="0.2">
      <c r="A29" s="15" t="s">
        <v>77</v>
      </c>
      <c r="B29" s="15" t="s">
        <v>452</v>
      </c>
      <c r="C29" s="16">
        <f t="shared" si="4"/>
        <v>27.819090909090907</v>
      </c>
      <c r="D29" s="17">
        <v>44</v>
      </c>
      <c r="E29" s="17">
        <v>2</v>
      </c>
      <c r="F29" s="18">
        <v>1224.04</v>
      </c>
      <c r="G29" s="18">
        <v>-64.05</v>
      </c>
      <c r="H29" s="32">
        <f t="shared" si="1"/>
        <v>5.2326721348975522E-2</v>
      </c>
      <c r="I29" s="32">
        <f t="shared" si="2"/>
        <v>0.3316026286926898</v>
      </c>
      <c r="J29" s="33">
        <f t="shared" si="5"/>
        <v>405.89488162500004</v>
      </c>
      <c r="K29" s="33">
        <f t="shared" si="3"/>
        <v>9.2248836732954551</v>
      </c>
      <c r="L29" s="17">
        <v>142</v>
      </c>
      <c r="M29" s="34">
        <f t="shared" si="6"/>
        <v>0.30985915492957744</v>
      </c>
      <c r="N29" s="17">
        <v>231</v>
      </c>
      <c r="O29" s="35">
        <f t="shared" ref="O29:P29" si="37">D29/7</f>
        <v>6.2857142857142856</v>
      </c>
      <c r="P29" s="35">
        <f t="shared" si="37"/>
        <v>0.2857142857142857</v>
      </c>
      <c r="Q29" s="30">
        <f t="shared" si="8"/>
        <v>35</v>
      </c>
      <c r="R29" s="30"/>
      <c r="S29" s="22">
        <v>1.324137931034483</v>
      </c>
      <c r="T29" s="15">
        <v>340</v>
      </c>
      <c r="U29" s="23" t="s">
        <v>56</v>
      </c>
      <c r="V29" s="1" t="s">
        <v>56</v>
      </c>
      <c r="W29" s="15">
        <v>0</v>
      </c>
      <c r="X29" s="39">
        <f t="shared" si="9"/>
        <v>0</v>
      </c>
      <c r="Y29" s="40">
        <f t="shared" si="10"/>
        <v>4.9269230769230763</v>
      </c>
      <c r="Z29" s="15">
        <v>13</v>
      </c>
      <c r="AA29" s="29" t="s">
        <v>58</v>
      </c>
      <c r="AB29" s="41">
        <f t="shared" si="11"/>
        <v>-0.69</v>
      </c>
      <c r="AC29" s="42">
        <v>0.26029114583333335</v>
      </c>
      <c r="AD29" s="40">
        <f t="shared" si="12"/>
        <v>-15.804878375000001</v>
      </c>
      <c r="AE29" s="26">
        <v>-3.47</v>
      </c>
      <c r="AF29" s="26">
        <v>-9.1364599999999996</v>
      </c>
      <c r="AG29" s="26">
        <v>0</v>
      </c>
    </row>
    <row r="30" spans="1:33" ht="15.75" customHeight="1" x14ac:dyDescent="0.2">
      <c r="A30" s="15" t="s">
        <v>78</v>
      </c>
      <c r="B30" s="15" t="s">
        <v>647</v>
      </c>
      <c r="C30" s="16">
        <f t="shared" si="4"/>
        <v>28.950000000000021</v>
      </c>
      <c r="D30" s="17">
        <v>37</v>
      </c>
      <c r="E30" s="17">
        <v>1</v>
      </c>
      <c r="F30" s="18">
        <v>1071.1500000000008</v>
      </c>
      <c r="G30" s="18">
        <v>-58.76</v>
      </c>
      <c r="H30" s="32">
        <f t="shared" si="1"/>
        <v>5.4856929468328389E-2</v>
      </c>
      <c r="I30" s="32">
        <f t="shared" si="2"/>
        <v>0.37293260300144737</v>
      </c>
      <c r="J30" s="33">
        <f t="shared" si="5"/>
        <v>399.46675770500065</v>
      </c>
      <c r="K30" s="33">
        <f t="shared" si="3"/>
        <v>10.796398856891908</v>
      </c>
      <c r="L30" s="17">
        <v>98</v>
      </c>
      <c r="M30" s="34">
        <f t="shared" si="6"/>
        <v>0.37755102040816324</v>
      </c>
      <c r="N30" s="17">
        <v>182</v>
      </c>
      <c r="O30" s="35">
        <f t="shared" ref="O30:P30" si="38">D30/7</f>
        <v>5.2857142857142856</v>
      </c>
      <c r="P30" s="35">
        <f t="shared" si="38"/>
        <v>0.14285714285714285</v>
      </c>
      <c r="Q30" s="30">
        <f t="shared" si="8"/>
        <v>33</v>
      </c>
      <c r="R30" s="30"/>
      <c r="S30" s="22">
        <v>1.438341968911917</v>
      </c>
      <c r="T30" s="29">
        <v>340</v>
      </c>
      <c r="U30" s="37" t="s">
        <v>56</v>
      </c>
      <c r="V30" s="38" t="s">
        <v>56</v>
      </c>
      <c r="W30" s="15">
        <v>1</v>
      </c>
      <c r="X30" s="39">
        <f t="shared" si="9"/>
        <v>2.7027027027027029E-2</v>
      </c>
      <c r="Y30" s="40">
        <f t="shared" si="10"/>
        <v>3.9173333333333331</v>
      </c>
      <c r="Z30" s="15">
        <v>14</v>
      </c>
      <c r="AA30" s="29" t="s">
        <v>58</v>
      </c>
      <c r="AB30" s="41">
        <f t="shared" si="11"/>
        <v>-0.69</v>
      </c>
      <c r="AC30" s="42">
        <v>0.26029114583333335</v>
      </c>
      <c r="AD30" s="40">
        <f t="shared" si="12"/>
        <v>-13.290465906250001</v>
      </c>
      <c r="AE30" s="26">
        <v>-3.47</v>
      </c>
      <c r="AF30" s="26">
        <v>-8.3937912537500008</v>
      </c>
      <c r="AG30" s="26">
        <v>0</v>
      </c>
    </row>
    <row r="31" spans="1:33" ht="15.75" customHeight="1" x14ac:dyDescent="0.2">
      <c r="A31" s="15" t="s">
        <v>55</v>
      </c>
      <c r="B31" s="15" t="s">
        <v>648</v>
      </c>
      <c r="C31" s="16">
        <f t="shared" si="4"/>
        <v>29.000666666666696</v>
      </c>
      <c r="D31" s="17">
        <v>60</v>
      </c>
      <c r="E31" s="17">
        <v>1</v>
      </c>
      <c r="F31" s="18">
        <v>1740.0400000000018</v>
      </c>
      <c r="G31" s="43">
        <v>-16.439999999999998</v>
      </c>
      <c r="H31" s="32">
        <f t="shared" si="1"/>
        <v>9.4480586653180269E-3</v>
      </c>
      <c r="I31" s="32">
        <f t="shared" si="2"/>
        <v>0.41907911191696784</v>
      </c>
      <c r="J31" s="33">
        <f t="shared" si="5"/>
        <v>729.21441790000142</v>
      </c>
      <c r="K31" s="33">
        <f t="shared" si="3"/>
        <v>12.15357363166669</v>
      </c>
      <c r="L31" s="17">
        <v>139</v>
      </c>
      <c r="M31" s="34">
        <f t="shared" si="6"/>
        <v>0.43165467625899279</v>
      </c>
      <c r="N31" s="17">
        <v>124</v>
      </c>
      <c r="O31" s="35">
        <f t="shared" ref="O31:P31" si="39">D31/7</f>
        <v>8.5714285714285712</v>
      </c>
      <c r="P31" s="35">
        <f t="shared" si="39"/>
        <v>0.14285714285714285</v>
      </c>
      <c r="Q31" s="30">
        <f t="shared" si="8"/>
        <v>14</v>
      </c>
      <c r="R31" s="30"/>
      <c r="S31" s="22">
        <v>1.74588235294117</v>
      </c>
      <c r="T31" s="15">
        <v>560</v>
      </c>
      <c r="U31" s="23">
        <v>80</v>
      </c>
      <c r="V31" s="1" t="s">
        <v>625</v>
      </c>
      <c r="W31" s="15">
        <v>0</v>
      </c>
      <c r="X31" s="39">
        <f t="shared" si="9"/>
        <v>0</v>
      </c>
      <c r="Y31" s="40">
        <f t="shared" si="10"/>
        <v>5.4799999999999995</v>
      </c>
      <c r="Z31" s="15">
        <v>3</v>
      </c>
      <c r="AA31" s="15" t="s">
        <v>58</v>
      </c>
      <c r="AB31" s="41">
        <f t="shared" si="11"/>
        <v>-0.69</v>
      </c>
      <c r="AC31" s="28">
        <v>0.26029114583333335</v>
      </c>
      <c r="AD31" s="40">
        <f t="shared" si="12"/>
        <v>-21.552106875</v>
      </c>
      <c r="AE31" s="44">
        <v>-3.47</v>
      </c>
      <c r="AF31" s="44">
        <v>-8.393791253749999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27.948214285714283</v>
      </c>
      <c r="D32" s="17">
        <v>28</v>
      </c>
      <c r="E32" s="17">
        <v>0</v>
      </c>
      <c r="F32" s="18">
        <v>782.55</v>
      </c>
      <c r="G32" s="18">
        <v>0</v>
      </c>
      <c r="H32" s="32">
        <f t="shared" si="1"/>
        <v>0</v>
      </c>
      <c r="I32" s="32">
        <f t="shared" si="2"/>
        <v>0.41265567058973851</v>
      </c>
      <c r="J32" s="33">
        <f t="shared" si="5"/>
        <v>322.92369501999985</v>
      </c>
      <c r="K32" s="33">
        <f t="shared" si="3"/>
        <v>11.532989107857137</v>
      </c>
      <c r="L32" s="17">
        <v>73</v>
      </c>
      <c r="M32" s="34">
        <f t="shared" si="6"/>
        <v>0.38356164383561642</v>
      </c>
      <c r="N32" s="17">
        <v>93</v>
      </c>
      <c r="O32" s="35">
        <f t="shared" ref="O32:P32" si="40">D32/7</f>
        <v>4</v>
      </c>
      <c r="P32" s="35">
        <f t="shared" si="40"/>
        <v>0</v>
      </c>
      <c r="Q32" s="30">
        <f t="shared" si="8"/>
        <v>23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2.502431118314425</v>
      </c>
      <c r="T32" s="15">
        <f ca="1">IFERROR(__xludf.DUMMYFUNCTION("IFERROR(VLOOKUP($B$2,IMPORTRANGE(""https://docs.google.com/spreadsheets/d/1KiWZV1ko8G7lnRucBRBd29jj3Be6ltMfljMDqzOkQmI/edit#gid=1381463014"",""Lookup!A:D""),4,FALSE),"""")"),560)</f>
        <v>560</v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S210718   - 80 units 09/17")</f>
        <v>| S210718   - 80 units 09/17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0.26029114583333335</v>
      </c>
      <c r="AD32" s="40">
        <f t="shared" si="12"/>
        <v>-10.057649875000001</v>
      </c>
      <c r="AE32" s="26">
        <v>-3.47</v>
      </c>
      <c r="AF32" s="26">
        <v>-8.3937912537500008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05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Info!B1:BJ7000""),3,FALSE),"""")"),"Professional Cornhole Bags - Set of 8 Regulation All Weather Two Sided Bean Bags for Pro Corn Hole Game - 4 Hunter Green &amp; 4 Yellow")</f>
        <v>Professional Cornhole Bags - Set of 8 Regulation All Weather Two Sided Bean Bags for Pro Corn Hole Game - 4 Hunter Green &amp; 4 Yellow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Info!B1:BJ7000""),2,FALSE),"""")"),"B07ZTN5YR6")</f>
        <v>B07ZTN5YR6</v>
      </c>
      <c r="B2" s="47" t="s">
        <v>649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18.32210735735293</v>
      </c>
      <c r="D3" s="5">
        <f>SUM(D4:D99765)</f>
        <v>538</v>
      </c>
      <c r="E3" s="5"/>
      <c r="F3" s="6">
        <f t="shared" ref="F3:G3" si="0">SUM(F4:F99765)</f>
        <v>15600.110000000002</v>
      </c>
      <c r="G3" s="6">
        <f t="shared" si="0"/>
        <v>-332.71000000000004</v>
      </c>
      <c r="H3" s="7">
        <f t="shared" ref="H3:H32" si="1">G3/F3*-1</f>
        <v>2.1327413716954558E-2</v>
      </c>
      <c r="I3" s="8">
        <f t="shared" ref="I3:I32" si="2">J3/F3</f>
        <v>0.26391057150440628</v>
      </c>
      <c r="J3" s="6">
        <f>SUM(J4:J99765)</f>
        <v>4117.0339456316042</v>
      </c>
      <c r="K3" s="6">
        <f t="shared" ref="K3:K32" si="3">J3/D3</f>
        <v>7.6524794528468476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3 - April
3 - May
6.5 - June
8 - July
3.5 - Aug
3.5 - Sept
2.5 - Oct
2 - Nov
3.5 - Dec
0.5 - Jan
1.5 - Feb")</f>
        <v>2.5 - March
3 - April
3 - May
6.5 - June
8 - July
3.5 - Aug
3.5 - Sept
2.5 - Oct
2 - Nov
3.5 - Dec
0.5 -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QTY-41")</f>
        <v>Del QTY-41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26</v>
      </c>
      <c r="X3" s="7">
        <f>W3/D3</f>
        <v>4.8327137546468404E-2</v>
      </c>
      <c r="Y3" s="6"/>
      <c r="Z3" s="5"/>
      <c r="AA3" s="5"/>
      <c r="AB3" s="5"/>
      <c r="AC3" s="5"/>
      <c r="AD3" s="6">
        <f>SUM(AD4:AD99765)</f>
        <v>-129.68576886999998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487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>
        <v>3.2713178294573599</v>
      </c>
      <c r="T4" s="15">
        <v>900</v>
      </c>
      <c r="U4" s="23">
        <v>44</v>
      </c>
      <c r="V4" s="24" t="s">
        <v>650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-7.132597435897436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>
        <v>3.1183673469387698</v>
      </c>
      <c r="T5" s="29">
        <v>980</v>
      </c>
      <c r="U5" s="37">
        <v>184</v>
      </c>
      <c r="V5" s="38" t="s">
        <v>651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-7.132597435897436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980</v>
      </c>
      <c r="U6" s="37">
        <v>184</v>
      </c>
      <c r="V6" s="38" t="s">
        <v>652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-7.132597435897436</v>
      </c>
      <c r="AG6" s="40">
        <v>0</v>
      </c>
    </row>
    <row r="7" spans="1:33" ht="15.75" customHeight="1" x14ac:dyDescent="0.2">
      <c r="A7" s="29" t="s">
        <v>35</v>
      </c>
      <c r="B7" s="15" t="s">
        <v>487</v>
      </c>
      <c r="C7" s="16">
        <f t="shared" si="4"/>
        <v>25.24</v>
      </c>
      <c r="D7" s="30">
        <v>1</v>
      </c>
      <c r="E7" s="30">
        <v>0</v>
      </c>
      <c r="F7" s="31">
        <v>25.24</v>
      </c>
      <c r="G7" s="31">
        <v>0</v>
      </c>
      <c r="H7" s="32">
        <f t="shared" si="1"/>
        <v>0</v>
      </c>
      <c r="I7" s="32">
        <f t="shared" si="2"/>
        <v>0.26784274758726473</v>
      </c>
      <c r="J7" s="33">
        <f t="shared" si="5"/>
        <v>6.7603509491025608</v>
      </c>
      <c r="K7" s="33">
        <f t="shared" si="3"/>
        <v>6.7603509491025608</v>
      </c>
      <c r="L7" s="30">
        <v>8</v>
      </c>
      <c r="M7" s="34">
        <f t="shared" si="6"/>
        <v>0.125</v>
      </c>
      <c r="N7" s="30">
        <v>1</v>
      </c>
      <c r="O7" s="35">
        <f t="shared" ref="O7:P7" si="15">D7/7</f>
        <v>0.14285714285714285</v>
      </c>
      <c r="P7" s="35">
        <f t="shared" si="15"/>
        <v>0</v>
      </c>
      <c r="Q7" s="30">
        <f t="shared" si="8"/>
        <v>7</v>
      </c>
      <c r="R7" s="30"/>
      <c r="S7" s="36">
        <v>7.5714285714285703</v>
      </c>
      <c r="T7" s="29">
        <v>980</v>
      </c>
      <c r="U7" s="37">
        <v>184</v>
      </c>
      <c r="V7" s="38" t="s">
        <v>653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58</v>
      </c>
      <c r="AB7" s="41">
        <f t="shared" si="11"/>
        <v>-0.69</v>
      </c>
      <c r="AC7" s="42">
        <v>0.17467508333333334</v>
      </c>
      <c r="AD7" s="40">
        <f t="shared" si="12"/>
        <v>-0.241051615</v>
      </c>
      <c r="AE7" s="40">
        <v>-7.32</v>
      </c>
      <c r="AF7" s="40">
        <v>-7.132597435897436</v>
      </c>
      <c r="AG7" s="40">
        <v>0</v>
      </c>
    </row>
    <row r="8" spans="1:33" ht="15.75" customHeight="1" x14ac:dyDescent="0.2">
      <c r="A8" s="29" t="s">
        <v>36</v>
      </c>
      <c r="B8" s="15" t="s">
        <v>487</v>
      </c>
      <c r="C8" s="16">
        <f t="shared" si="4"/>
        <v>25.24</v>
      </c>
      <c r="D8" s="30">
        <v>1</v>
      </c>
      <c r="E8" s="30">
        <v>0</v>
      </c>
      <c r="F8" s="31">
        <v>25.24</v>
      </c>
      <c r="G8" s="31">
        <v>0</v>
      </c>
      <c r="H8" s="32">
        <f t="shared" si="1"/>
        <v>0</v>
      </c>
      <c r="I8" s="32">
        <f t="shared" si="2"/>
        <v>0.26794565709191753</v>
      </c>
      <c r="J8" s="33">
        <f t="shared" si="5"/>
        <v>6.7629483849999978</v>
      </c>
      <c r="K8" s="33">
        <f t="shared" si="3"/>
        <v>6.7629483849999978</v>
      </c>
      <c r="L8" s="30">
        <v>1</v>
      </c>
      <c r="M8" s="34">
        <f t="shared" si="6"/>
        <v>1</v>
      </c>
      <c r="N8" s="30">
        <v>0</v>
      </c>
      <c r="O8" s="35">
        <f t="shared" ref="O8:P8" si="16">D8/7</f>
        <v>0.14285714285714285</v>
      </c>
      <c r="P8" s="35">
        <f t="shared" si="16"/>
        <v>0</v>
      </c>
      <c r="Q8" s="30">
        <f t="shared" si="8"/>
        <v>0</v>
      </c>
      <c r="R8" s="30"/>
      <c r="S8" s="36" t="e">
        <v>#N/A</v>
      </c>
      <c r="T8" s="29">
        <v>980</v>
      </c>
      <c r="U8" s="37">
        <v>184</v>
      </c>
      <c r="V8" s="38" t="s">
        <v>654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58</v>
      </c>
      <c r="AB8" s="41">
        <f t="shared" si="11"/>
        <v>-0.69</v>
      </c>
      <c r="AC8" s="42">
        <v>0.17467508333333334</v>
      </c>
      <c r="AD8" s="40">
        <f t="shared" si="12"/>
        <v>-0.241051615</v>
      </c>
      <c r="AE8" s="40">
        <v>-7.32</v>
      </c>
      <c r="AF8" s="40">
        <v>-7.13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980</v>
      </c>
      <c r="U9" s="37">
        <v>184</v>
      </c>
      <c r="V9" s="38" t="s">
        <v>655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-7.4858025641025598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1040</v>
      </c>
      <c r="U10" s="37">
        <v>60</v>
      </c>
      <c r="V10" s="38" t="s">
        <v>656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-7.4858025641025598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1776</v>
      </c>
      <c r="U11" s="37">
        <v>184</v>
      </c>
      <c r="V11" s="38" t="s">
        <v>657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-7.4858025641025598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980</v>
      </c>
      <c r="U12" s="37">
        <v>184</v>
      </c>
      <c r="V12" s="38" t="s">
        <v>658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-7.5729820512820503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980</v>
      </c>
      <c r="U13" s="37">
        <v>184</v>
      </c>
      <c r="V13" s="38" t="s">
        <v>658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-7.7717000000000001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980</v>
      </c>
      <c r="U14" s="37">
        <v>184</v>
      </c>
      <c r="V14" s="38" t="s">
        <v>658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-7.7717000000000001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980</v>
      </c>
      <c r="U15" s="37">
        <v>184</v>
      </c>
      <c r="V15" s="38" t="s">
        <v>658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-7.7717000000000001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980</v>
      </c>
      <c r="U16" s="37">
        <v>184</v>
      </c>
      <c r="V16" s="38" t="s">
        <v>659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-9.1364599999999996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1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0.14285714285714285</v>
      </c>
      <c r="Q17" s="30">
        <f t="shared" si="8"/>
        <v>0</v>
      </c>
      <c r="R17" s="30"/>
      <c r="S17" s="36" t="e">
        <v>#N/A</v>
      </c>
      <c r="T17" s="29">
        <v>980</v>
      </c>
      <c r="U17" s="37">
        <v>184</v>
      </c>
      <c r="V17" s="38" t="s">
        <v>660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-9.1364599999999996</v>
      </c>
      <c r="AG17" s="40">
        <v>0</v>
      </c>
    </row>
    <row r="18" spans="1:33" ht="15.75" customHeight="1" x14ac:dyDescent="0.2">
      <c r="A18" s="29" t="s">
        <v>46</v>
      </c>
      <c r="B18" s="29" t="s">
        <v>452</v>
      </c>
      <c r="C18" s="16">
        <f t="shared" si="4"/>
        <v>34.949999999999996</v>
      </c>
      <c r="D18" s="30">
        <v>13</v>
      </c>
      <c r="E18" s="30">
        <v>0</v>
      </c>
      <c r="F18" s="33">
        <v>454.34999999999991</v>
      </c>
      <c r="G18" s="31">
        <v>0</v>
      </c>
      <c r="H18" s="32">
        <f t="shared" si="1"/>
        <v>0</v>
      </c>
      <c r="I18" s="32">
        <f t="shared" si="2"/>
        <v>0.37224573347639484</v>
      </c>
      <c r="J18" s="33">
        <f t="shared" si="5"/>
        <v>169.12984900499995</v>
      </c>
      <c r="K18" s="33">
        <f t="shared" si="3"/>
        <v>13.009988384999996</v>
      </c>
      <c r="L18" s="30">
        <v>13</v>
      </c>
      <c r="M18" s="34">
        <f t="shared" si="6"/>
        <v>1</v>
      </c>
      <c r="N18" s="30">
        <v>127</v>
      </c>
      <c r="O18" s="35">
        <f t="shared" ref="O18:P18" si="26">D18/7</f>
        <v>1.8571428571428572</v>
      </c>
      <c r="P18" s="35">
        <f t="shared" si="26"/>
        <v>0</v>
      </c>
      <c r="Q18" s="30">
        <f t="shared" si="8"/>
        <v>68</v>
      </c>
      <c r="R18" s="30"/>
      <c r="S18" s="36">
        <v>0.115942028985507</v>
      </c>
      <c r="T18" s="29">
        <v>1240</v>
      </c>
      <c r="U18" s="37">
        <v>796</v>
      </c>
      <c r="V18" s="38" t="s">
        <v>661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58</v>
      </c>
      <c r="AB18" s="41">
        <f t="shared" si="11"/>
        <v>-0.69</v>
      </c>
      <c r="AC18" s="42">
        <v>0.17467508333333334</v>
      </c>
      <c r="AD18" s="40">
        <f t="shared" si="12"/>
        <v>-3.1336709950000001</v>
      </c>
      <c r="AE18" s="40">
        <v>-7.32</v>
      </c>
      <c r="AF18" s="40">
        <v>-9.1364599999999996</v>
      </c>
      <c r="AG18" s="40">
        <v>0</v>
      </c>
    </row>
    <row r="19" spans="1:33" ht="15.75" customHeight="1" x14ac:dyDescent="0.2">
      <c r="A19" s="29" t="s">
        <v>47</v>
      </c>
      <c r="B19" s="29" t="s">
        <v>462</v>
      </c>
      <c r="C19" s="16">
        <f t="shared" si="4"/>
        <v>35.14352941176471</v>
      </c>
      <c r="D19" s="30">
        <v>17</v>
      </c>
      <c r="E19" s="30">
        <v>0</v>
      </c>
      <c r="F19" s="33">
        <v>597.44000000000005</v>
      </c>
      <c r="G19" s="31">
        <v>0</v>
      </c>
      <c r="H19" s="32">
        <f t="shared" si="1"/>
        <v>0</v>
      </c>
      <c r="I19" s="32">
        <f t="shared" si="2"/>
        <v>0.37487664459192555</v>
      </c>
      <c r="J19" s="33">
        <f t="shared" si="5"/>
        <v>223.96630254500002</v>
      </c>
      <c r="K19" s="33">
        <f t="shared" si="3"/>
        <v>13.174488385000002</v>
      </c>
      <c r="L19" s="30">
        <v>28</v>
      </c>
      <c r="M19" s="34">
        <f t="shared" si="6"/>
        <v>0.6071428571428571</v>
      </c>
      <c r="N19" s="30">
        <v>101</v>
      </c>
      <c r="O19" s="35">
        <f t="shared" ref="O19:P19" si="27">D19/7</f>
        <v>2.4285714285714284</v>
      </c>
      <c r="P19" s="35">
        <f t="shared" si="27"/>
        <v>0</v>
      </c>
      <c r="Q19" s="30">
        <f t="shared" si="8"/>
        <v>41</v>
      </c>
      <c r="R19" s="30"/>
      <c r="S19" s="36">
        <v>0.77876106194690198</v>
      </c>
      <c r="T19" s="29">
        <v>1056</v>
      </c>
      <c r="U19" s="37">
        <v>796</v>
      </c>
      <c r="V19" s="38" t="s">
        <v>662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58</v>
      </c>
      <c r="AB19" s="41">
        <f t="shared" si="11"/>
        <v>-0.69</v>
      </c>
      <c r="AC19" s="42">
        <v>0.17467508333333334</v>
      </c>
      <c r="AD19" s="40">
        <f t="shared" si="12"/>
        <v>-4.0978774549999999</v>
      </c>
      <c r="AE19" s="40">
        <v>-7.32</v>
      </c>
      <c r="AF19" s="40">
        <v>-9.1364599999999996</v>
      </c>
      <c r="AG19" s="40">
        <v>0</v>
      </c>
    </row>
    <row r="20" spans="1:33" ht="15.75" customHeight="1" x14ac:dyDescent="0.2">
      <c r="A20" s="29" t="s">
        <v>48</v>
      </c>
      <c r="B20" s="29" t="s">
        <v>395</v>
      </c>
      <c r="C20" s="16">
        <f t="shared" si="4"/>
        <v>34.981999999999992</v>
      </c>
      <c r="D20" s="30">
        <v>15</v>
      </c>
      <c r="E20" s="30">
        <v>1</v>
      </c>
      <c r="F20" s="33">
        <v>524.7299999999999</v>
      </c>
      <c r="G20" s="31">
        <v>-0.56999999999999995</v>
      </c>
      <c r="H20" s="32">
        <f t="shared" si="1"/>
        <v>1.0862729403693329E-3</v>
      </c>
      <c r="I20" s="32">
        <f t="shared" si="2"/>
        <v>0.37159648919444277</v>
      </c>
      <c r="J20" s="33">
        <f t="shared" si="5"/>
        <v>194.98782577499992</v>
      </c>
      <c r="K20" s="33">
        <f t="shared" si="3"/>
        <v>12.999188384999995</v>
      </c>
      <c r="L20" s="30">
        <v>40</v>
      </c>
      <c r="M20" s="34">
        <f t="shared" si="6"/>
        <v>0.375</v>
      </c>
      <c r="N20" s="30">
        <v>57</v>
      </c>
      <c r="O20" s="35">
        <f t="shared" ref="O20:P20" si="28">D20/7</f>
        <v>2.1428571428571428</v>
      </c>
      <c r="P20" s="35">
        <f t="shared" si="28"/>
        <v>0.14285714285714285</v>
      </c>
      <c r="Q20" s="30">
        <f t="shared" si="8"/>
        <v>24</v>
      </c>
      <c r="R20" s="30"/>
      <c r="S20" s="36">
        <v>1.60869565217391</v>
      </c>
      <c r="T20" s="29">
        <v>1056</v>
      </c>
      <c r="U20" s="37">
        <v>796</v>
      </c>
      <c r="V20" s="38" t="s">
        <v>663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58</v>
      </c>
      <c r="AB20" s="41">
        <f t="shared" si="11"/>
        <v>-0.69</v>
      </c>
      <c r="AC20" s="42">
        <v>0.17467508333333334</v>
      </c>
      <c r="AD20" s="40">
        <f t="shared" si="12"/>
        <v>-3.615774225</v>
      </c>
      <c r="AE20" s="40">
        <v>-7.32</v>
      </c>
      <c r="AF20" s="40">
        <v>-9.1364599999999996</v>
      </c>
      <c r="AG20" s="40">
        <v>0</v>
      </c>
    </row>
    <row r="21" spans="1:33" ht="15.75" customHeight="1" x14ac:dyDescent="0.2">
      <c r="A21" s="29" t="s">
        <v>49</v>
      </c>
      <c r="B21" s="29" t="s">
        <v>664</v>
      </c>
      <c r="C21" s="16">
        <f t="shared" si="4"/>
        <v>35.141818181818195</v>
      </c>
      <c r="D21" s="30">
        <v>22</v>
      </c>
      <c r="E21" s="30">
        <v>0</v>
      </c>
      <c r="F21" s="33">
        <v>773.12000000000035</v>
      </c>
      <c r="G21" s="31">
        <v>0</v>
      </c>
      <c r="H21" s="32">
        <f t="shared" si="1"/>
        <v>0</v>
      </c>
      <c r="I21" s="32">
        <f t="shared" si="2"/>
        <v>0.37485350847216486</v>
      </c>
      <c r="J21" s="33">
        <f t="shared" si="5"/>
        <v>289.80674447000024</v>
      </c>
      <c r="K21" s="33">
        <f t="shared" si="3"/>
        <v>13.173033839545466</v>
      </c>
      <c r="L21" s="30">
        <v>25</v>
      </c>
      <c r="M21" s="34">
        <f t="shared" si="6"/>
        <v>0.88</v>
      </c>
      <c r="N21" s="30">
        <v>52</v>
      </c>
      <c r="O21" s="35">
        <f t="shared" ref="O21:P21" si="29">D21/7</f>
        <v>3.1428571428571428</v>
      </c>
      <c r="P21" s="35">
        <f t="shared" si="29"/>
        <v>0</v>
      </c>
      <c r="Q21" s="30">
        <f t="shared" si="8"/>
        <v>16</v>
      </c>
      <c r="R21" s="30"/>
      <c r="S21" s="36">
        <v>3.6923076923076898</v>
      </c>
      <c r="T21" s="29">
        <v>1056</v>
      </c>
      <c r="U21" s="37">
        <v>796</v>
      </c>
      <c r="V21" s="38" t="s">
        <v>663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58</v>
      </c>
      <c r="AB21" s="41">
        <f t="shared" si="11"/>
        <v>-0.69</v>
      </c>
      <c r="AC21" s="42">
        <v>0.17467508333333334</v>
      </c>
      <c r="AD21" s="40">
        <f t="shared" si="12"/>
        <v>-5.3031355299999996</v>
      </c>
      <c r="AE21" s="40">
        <v>-7.32</v>
      </c>
      <c r="AF21" s="40">
        <v>-9.1364599999999996</v>
      </c>
      <c r="AG21" s="40">
        <v>0</v>
      </c>
    </row>
    <row r="22" spans="1:33" ht="15.75" customHeight="1" x14ac:dyDescent="0.2">
      <c r="A22" s="29" t="s">
        <v>50</v>
      </c>
      <c r="B22" s="29" t="s">
        <v>665</v>
      </c>
      <c r="C22" s="16">
        <f t="shared" si="4"/>
        <v>35.808571428571426</v>
      </c>
      <c r="D22" s="30">
        <v>14</v>
      </c>
      <c r="E22" s="30">
        <v>0</v>
      </c>
      <c r="F22" s="31">
        <v>501.32</v>
      </c>
      <c r="G22" s="31">
        <v>0</v>
      </c>
      <c r="H22" s="32">
        <f t="shared" si="1"/>
        <v>0</v>
      </c>
      <c r="I22" s="32">
        <f t="shared" si="2"/>
        <v>0.3837007049190137</v>
      </c>
      <c r="J22" s="33">
        <f t="shared" si="5"/>
        <v>192.35683738999995</v>
      </c>
      <c r="K22" s="33">
        <f t="shared" si="3"/>
        <v>13.739774099285711</v>
      </c>
      <c r="L22" s="30">
        <v>48</v>
      </c>
      <c r="M22" s="34">
        <f t="shared" si="6"/>
        <v>0.29166666666666669</v>
      </c>
      <c r="N22" s="30">
        <v>40</v>
      </c>
      <c r="O22" s="35">
        <f t="shared" ref="O22:P22" si="30">D22/7</f>
        <v>2</v>
      </c>
      <c r="P22" s="35">
        <f t="shared" si="30"/>
        <v>0</v>
      </c>
      <c r="Q22" s="30">
        <f t="shared" si="8"/>
        <v>20</v>
      </c>
      <c r="R22" s="30"/>
      <c r="S22" s="36">
        <v>1.71428571428571</v>
      </c>
      <c r="T22" s="29">
        <v>1056</v>
      </c>
      <c r="U22" s="37">
        <v>796</v>
      </c>
      <c r="V22" s="38" t="s">
        <v>663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58</v>
      </c>
      <c r="AB22" s="41">
        <f t="shared" si="11"/>
        <v>-0.69</v>
      </c>
      <c r="AC22" s="42">
        <v>0.17467508333333334</v>
      </c>
      <c r="AD22" s="40">
        <f t="shared" si="12"/>
        <v>-3.3747226100000001</v>
      </c>
      <c r="AE22" s="40">
        <v>-7.32</v>
      </c>
      <c r="AF22" s="40">
        <v>-9.1364599999999996</v>
      </c>
      <c r="AG22" s="40">
        <v>0</v>
      </c>
    </row>
    <row r="23" spans="1:33" ht="15.75" customHeight="1" x14ac:dyDescent="0.2">
      <c r="A23" s="29" t="s">
        <v>51</v>
      </c>
      <c r="B23" s="29" t="s">
        <v>179</v>
      </c>
      <c r="C23" s="16">
        <f t="shared" si="4"/>
        <v>27.800666666666686</v>
      </c>
      <c r="D23" s="30">
        <v>30</v>
      </c>
      <c r="E23" s="30">
        <v>0</v>
      </c>
      <c r="F23" s="33">
        <v>834.02000000000055</v>
      </c>
      <c r="G23" s="31">
        <v>0</v>
      </c>
      <c r="H23" s="32">
        <f t="shared" si="1"/>
        <v>0</v>
      </c>
      <c r="I23" s="32">
        <f t="shared" si="2"/>
        <v>0.24938448904103061</v>
      </c>
      <c r="J23" s="33">
        <f t="shared" si="5"/>
        <v>207.99165155000048</v>
      </c>
      <c r="K23" s="33">
        <f t="shared" si="3"/>
        <v>6.9330550516666829</v>
      </c>
      <c r="L23" s="30">
        <v>58</v>
      </c>
      <c r="M23" s="34">
        <f t="shared" si="6"/>
        <v>0.51724137931034486</v>
      </c>
      <c r="N23" s="30">
        <v>12</v>
      </c>
      <c r="O23" s="35">
        <f t="shared" ref="O23:P23" si="31">D23/7</f>
        <v>4.2857142857142856</v>
      </c>
      <c r="P23" s="35">
        <f t="shared" si="31"/>
        <v>0</v>
      </c>
      <c r="Q23" s="30">
        <f t="shared" si="8"/>
        <v>2</v>
      </c>
      <c r="R23" s="30"/>
      <c r="S23" s="36">
        <v>2.4266666666666601</v>
      </c>
      <c r="T23" s="29">
        <v>1056</v>
      </c>
      <c r="U23" s="37">
        <v>796</v>
      </c>
      <c r="V23" s="38" t="s">
        <v>666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58</v>
      </c>
      <c r="AB23" s="41">
        <f t="shared" si="11"/>
        <v>-0.69</v>
      </c>
      <c r="AC23" s="42">
        <v>0.17467508333333334</v>
      </c>
      <c r="AD23" s="40">
        <f t="shared" si="12"/>
        <v>-7.23154845</v>
      </c>
      <c r="AE23" s="40">
        <v>-7.32</v>
      </c>
      <c r="AF23" s="40">
        <v>-9.1364599999999996</v>
      </c>
      <c r="AG23" s="40">
        <v>0</v>
      </c>
    </row>
    <row r="24" spans="1:33" ht="15.75" customHeight="1" x14ac:dyDescent="0.2">
      <c r="A24" s="29" t="s">
        <v>52</v>
      </c>
      <c r="B24" s="29" t="s">
        <v>179</v>
      </c>
      <c r="C24" s="16">
        <f t="shared" si="4"/>
        <v>24.95</v>
      </c>
      <c r="D24" s="30">
        <v>3</v>
      </c>
      <c r="E24" s="30">
        <v>0</v>
      </c>
      <c r="F24" s="33">
        <v>74.849999999999994</v>
      </c>
      <c r="G24" s="33">
        <v>0</v>
      </c>
      <c r="H24" s="32">
        <f t="shared" si="1"/>
        <v>0</v>
      </c>
      <c r="I24" s="32">
        <f t="shared" si="2"/>
        <v>0.18076105751503002</v>
      </c>
      <c r="J24" s="33">
        <f t="shared" si="5"/>
        <v>13.529965154999996</v>
      </c>
      <c r="K24" s="33">
        <f t="shared" si="3"/>
        <v>4.5099883849999989</v>
      </c>
      <c r="L24" s="30">
        <v>4</v>
      </c>
      <c r="M24" s="34">
        <f t="shared" si="6"/>
        <v>0.75</v>
      </c>
      <c r="N24" s="30">
        <v>1</v>
      </c>
      <c r="O24" s="35">
        <f t="shared" ref="O24:P24" si="32">D24/7</f>
        <v>0.42857142857142855</v>
      </c>
      <c r="P24" s="35">
        <f t="shared" si="32"/>
        <v>0</v>
      </c>
      <c r="Q24" s="30">
        <f t="shared" si="8"/>
        <v>2</v>
      </c>
      <c r="R24" s="30"/>
      <c r="S24" s="36">
        <v>4.5999999999999996</v>
      </c>
      <c r="T24" s="29">
        <v>1056</v>
      </c>
      <c r="U24" s="37">
        <v>796</v>
      </c>
      <c r="V24" s="38" t="s">
        <v>666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42">
        <v>0.17467508333333334</v>
      </c>
      <c r="AD24" s="40">
        <f t="shared" si="12"/>
        <v>-0.72315484500000005</v>
      </c>
      <c r="AE24" s="40">
        <v>-7.32</v>
      </c>
      <c r="AF24" s="40">
        <v>-9.1364599999999996</v>
      </c>
      <c r="AG24" s="40">
        <v>0</v>
      </c>
    </row>
    <row r="25" spans="1:33" ht="15.75" customHeight="1" x14ac:dyDescent="0.2">
      <c r="A25" s="29" t="s">
        <v>53</v>
      </c>
      <c r="B25" s="15" t="s">
        <v>643</v>
      </c>
      <c r="C25" s="16">
        <f t="shared" si="4"/>
        <v>32.222727272727269</v>
      </c>
      <c r="D25" s="30">
        <v>11</v>
      </c>
      <c r="E25" s="30">
        <v>0</v>
      </c>
      <c r="F25" s="33">
        <v>354.45</v>
      </c>
      <c r="G25" s="33">
        <v>0</v>
      </c>
      <c r="H25" s="32">
        <f t="shared" si="1"/>
        <v>0</v>
      </c>
      <c r="I25" s="32">
        <f t="shared" si="2"/>
        <v>0.33169962543377046</v>
      </c>
      <c r="J25" s="33">
        <f t="shared" si="5"/>
        <v>117.57093223499994</v>
      </c>
      <c r="K25" s="33">
        <f t="shared" si="3"/>
        <v>10.688266566818177</v>
      </c>
      <c r="L25" s="30">
        <v>35</v>
      </c>
      <c r="M25" s="34">
        <f t="shared" si="6"/>
        <v>0.31428571428571428</v>
      </c>
      <c r="N25" s="30">
        <v>848</v>
      </c>
      <c r="O25" s="35">
        <f t="shared" ref="O25:P25" si="33">D25/7</f>
        <v>1.5714285714285714</v>
      </c>
      <c r="P25" s="35">
        <f t="shared" si="33"/>
        <v>0</v>
      </c>
      <c r="Q25" s="30">
        <f t="shared" si="8"/>
        <v>539</v>
      </c>
      <c r="R25" s="30"/>
      <c r="S25" s="36">
        <v>0.51137594799566632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0.17467508333333334</v>
      </c>
      <c r="AD25" s="40">
        <f t="shared" si="12"/>
        <v>-2.6515677649999998</v>
      </c>
      <c r="AE25" s="40">
        <v>-7.32</v>
      </c>
      <c r="AF25" s="40">
        <v>-9.14</v>
      </c>
      <c r="AG25" s="40">
        <v>0</v>
      </c>
    </row>
    <row r="26" spans="1:33" ht="15.75" customHeight="1" x14ac:dyDescent="0.2">
      <c r="A26" s="15" t="s">
        <v>54</v>
      </c>
      <c r="B26" s="51" t="s">
        <v>667</v>
      </c>
      <c r="C26" s="16">
        <f t="shared" si="4"/>
        <v>30.990227272727271</v>
      </c>
      <c r="D26" s="17">
        <v>44</v>
      </c>
      <c r="E26" s="17">
        <v>0</v>
      </c>
      <c r="F26" s="18">
        <v>1363.57</v>
      </c>
      <c r="G26" s="18">
        <v>-52.03</v>
      </c>
      <c r="H26" s="32">
        <f t="shared" si="1"/>
        <v>3.815719031659541E-2</v>
      </c>
      <c r="I26" s="32">
        <f t="shared" si="2"/>
        <v>0.27756109986286004</v>
      </c>
      <c r="J26" s="33">
        <f t="shared" si="5"/>
        <v>378.47398894000008</v>
      </c>
      <c r="K26" s="33">
        <f t="shared" si="3"/>
        <v>8.6016815668181845</v>
      </c>
      <c r="L26" s="17">
        <v>91</v>
      </c>
      <c r="M26" s="34">
        <f t="shared" si="6"/>
        <v>0.48351648351648352</v>
      </c>
      <c r="N26" s="17">
        <v>807</v>
      </c>
      <c r="O26" s="35">
        <f t="shared" ref="O26:P26" si="34">D26/7</f>
        <v>6.2857142857142856</v>
      </c>
      <c r="P26" s="35">
        <f t="shared" si="34"/>
        <v>0</v>
      </c>
      <c r="Q26" s="30">
        <f t="shared" si="8"/>
        <v>128</v>
      </c>
      <c r="R26" s="30"/>
      <c r="S26" s="22">
        <v>0.65446224256292906</v>
      </c>
      <c r="T26" s="15">
        <v>260</v>
      </c>
      <c r="U26" s="23" t="s">
        <v>56</v>
      </c>
      <c r="V26" s="1" t="s">
        <v>56</v>
      </c>
      <c r="W26" s="15">
        <v>6</v>
      </c>
      <c r="X26" s="39">
        <f t="shared" si="9"/>
        <v>0.13636363636363635</v>
      </c>
      <c r="Y26" s="40">
        <f t="shared" si="10"/>
        <v>2.7384210526315789</v>
      </c>
      <c r="Z26" s="15">
        <v>13</v>
      </c>
      <c r="AA26" s="29" t="s">
        <v>58</v>
      </c>
      <c r="AB26" s="41">
        <f t="shared" si="11"/>
        <v>-0.69</v>
      </c>
      <c r="AC26" s="42">
        <v>0.17467508333333334</v>
      </c>
      <c r="AD26" s="40">
        <f t="shared" si="12"/>
        <v>-10.606271059999999</v>
      </c>
      <c r="AE26" s="26">
        <v>-7.18</v>
      </c>
      <c r="AF26" s="26">
        <v>-9.1364599999999996</v>
      </c>
      <c r="AG26" s="26">
        <v>0</v>
      </c>
    </row>
    <row r="27" spans="1:33" ht="15.75" customHeight="1" x14ac:dyDescent="0.2">
      <c r="A27" s="15" t="s">
        <v>74</v>
      </c>
      <c r="B27" s="15" t="s">
        <v>668</v>
      </c>
      <c r="C27" s="16">
        <f t="shared" si="4"/>
        <v>26.409340659340661</v>
      </c>
      <c r="D27" s="17">
        <v>91</v>
      </c>
      <c r="E27" s="17">
        <v>2</v>
      </c>
      <c r="F27" s="18">
        <v>2403.25</v>
      </c>
      <c r="G27" s="18">
        <v>-261.95999999999998</v>
      </c>
      <c r="H27" s="32">
        <f t="shared" si="1"/>
        <v>0.10900239259336314</v>
      </c>
      <c r="I27" s="32">
        <f t="shared" si="2"/>
        <v>0.11404096246125039</v>
      </c>
      <c r="J27" s="33">
        <f t="shared" si="5"/>
        <v>274.06894303500002</v>
      </c>
      <c r="K27" s="33">
        <f t="shared" si="3"/>
        <v>3.0117466267582418</v>
      </c>
      <c r="L27" s="17">
        <v>154</v>
      </c>
      <c r="M27" s="34">
        <f t="shared" si="6"/>
        <v>0.59090909090909094</v>
      </c>
      <c r="N27" s="17">
        <v>714</v>
      </c>
      <c r="O27" s="35">
        <f t="shared" ref="O27:P27" si="35">D27/7</f>
        <v>13</v>
      </c>
      <c r="P27" s="35">
        <f t="shared" si="35"/>
        <v>0.2857142857142857</v>
      </c>
      <c r="Q27" s="30">
        <f t="shared" si="8"/>
        <v>53</v>
      </c>
      <c r="R27" s="30"/>
      <c r="S27" s="22">
        <v>1.010055865921788</v>
      </c>
      <c r="T27" s="15">
        <v>260</v>
      </c>
      <c r="U27" s="23" t="s">
        <v>56</v>
      </c>
      <c r="V27" s="1" t="s">
        <v>56</v>
      </c>
      <c r="W27" s="15">
        <v>19</v>
      </c>
      <c r="X27" s="39">
        <f t="shared" si="9"/>
        <v>0.2087912087912088</v>
      </c>
      <c r="Y27" s="40">
        <f t="shared" si="10"/>
        <v>4.9426415094339617</v>
      </c>
      <c r="Z27" s="15">
        <v>34</v>
      </c>
      <c r="AA27" s="29" t="s">
        <v>58</v>
      </c>
      <c r="AB27" s="41">
        <f t="shared" si="11"/>
        <v>-0.69</v>
      </c>
      <c r="AC27" s="42">
        <v>0.17467508333333334</v>
      </c>
      <c r="AD27" s="40">
        <f t="shared" si="12"/>
        <v>-21.935696964999998</v>
      </c>
      <c r="AE27" s="26">
        <v>-7.18</v>
      </c>
      <c r="AF27" s="26">
        <v>-9.1364599999999996</v>
      </c>
      <c r="AG27" s="26">
        <v>0</v>
      </c>
    </row>
    <row r="28" spans="1:33" ht="15.75" customHeight="1" x14ac:dyDescent="0.2">
      <c r="A28" s="15" t="s">
        <v>75</v>
      </c>
      <c r="B28" s="15" t="s">
        <v>452</v>
      </c>
      <c r="C28" s="16">
        <f t="shared" si="4"/>
        <v>27.500133333333338</v>
      </c>
      <c r="D28" s="17">
        <v>75</v>
      </c>
      <c r="E28" s="17">
        <v>1</v>
      </c>
      <c r="F28" s="18">
        <v>2062.5100000000002</v>
      </c>
      <c r="G28" s="18">
        <v>-17.28</v>
      </c>
      <c r="H28" s="32">
        <f t="shared" si="1"/>
        <v>8.378141196891167E-3</v>
      </c>
      <c r="I28" s="32">
        <f t="shared" si="2"/>
        <v>0.23953344656510761</v>
      </c>
      <c r="J28" s="33">
        <f t="shared" si="5"/>
        <v>494.04012887500016</v>
      </c>
      <c r="K28" s="33">
        <f t="shared" si="3"/>
        <v>6.5872017183333353</v>
      </c>
      <c r="L28" s="17">
        <v>159</v>
      </c>
      <c r="M28" s="34">
        <f t="shared" si="6"/>
        <v>0.47169811320754718</v>
      </c>
      <c r="N28" s="17">
        <v>612</v>
      </c>
      <c r="O28" s="35">
        <f t="shared" ref="O28:P28" si="36">D28/7</f>
        <v>10.714285714285714</v>
      </c>
      <c r="P28" s="35">
        <f t="shared" si="36"/>
        <v>0.14285714285714285</v>
      </c>
      <c r="Q28" s="30">
        <f t="shared" si="8"/>
        <v>56</v>
      </c>
      <c r="R28" s="30"/>
      <c r="S28" s="22">
        <v>1.6432432432432429</v>
      </c>
      <c r="T28" s="15">
        <v>260</v>
      </c>
      <c r="U28" s="23" t="s">
        <v>56</v>
      </c>
      <c r="V28" s="1" t="s">
        <v>56</v>
      </c>
      <c r="W28" s="15">
        <v>1</v>
      </c>
      <c r="X28" s="39">
        <f t="shared" si="9"/>
        <v>1.3333333333333334E-2</v>
      </c>
      <c r="Y28" s="40">
        <f t="shared" si="10"/>
        <v>3.4560000000000004</v>
      </c>
      <c r="Z28" s="15">
        <v>4</v>
      </c>
      <c r="AA28" s="29" t="s">
        <v>58</v>
      </c>
      <c r="AB28" s="41">
        <f t="shared" si="11"/>
        <v>-0.69</v>
      </c>
      <c r="AC28" s="42">
        <v>0.17467508333333334</v>
      </c>
      <c r="AD28" s="40">
        <f t="shared" si="12"/>
        <v>-18.078871124999999</v>
      </c>
      <c r="AE28" s="26">
        <v>-7.18</v>
      </c>
      <c r="AF28" s="26">
        <v>-9.1364599999999996</v>
      </c>
      <c r="AG28" s="26">
        <v>0</v>
      </c>
    </row>
    <row r="29" spans="1:33" ht="15.75" customHeight="1" x14ac:dyDescent="0.2">
      <c r="A29" s="15" t="s">
        <v>77</v>
      </c>
      <c r="B29" s="15" t="s">
        <v>452</v>
      </c>
      <c r="C29" s="16">
        <f t="shared" si="4"/>
        <v>27.512745098039218</v>
      </c>
      <c r="D29" s="17">
        <v>51</v>
      </c>
      <c r="E29" s="17">
        <v>0</v>
      </c>
      <c r="F29" s="18">
        <v>1403.15</v>
      </c>
      <c r="G29" s="18">
        <v>0</v>
      </c>
      <c r="H29" s="32">
        <f t="shared" si="1"/>
        <v>0</v>
      </c>
      <c r="I29" s="32">
        <f t="shared" si="2"/>
        <v>0.24818758339094177</v>
      </c>
      <c r="J29" s="33">
        <f t="shared" si="5"/>
        <v>348.24440763499996</v>
      </c>
      <c r="K29" s="33">
        <f t="shared" si="3"/>
        <v>6.8283217183333322</v>
      </c>
      <c r="L29" s="17">
        <v>105</v>
      </c>
      <c r="M29" s="34">
        <f t="shared" si="6"/>
        <v>0.48571428571428571</v>
      </c>
      <c r="N29" s="17">
        <v>571</v>
      </c>
      <c r="O29" s="35">
        <f t="shared" ref="O29:P29" si="37">D29/7</f>
        <v>7.2857142857142856</v>
      </c>
      <c r="P29" s="35">
        <f t="shared" si="37"/>
        <v>0</v>
      </c>
      <c r="Q29" s="30">
        <f t="shared" si="8"/>
        <v>78</v>
      </c>
      <c r="R29" s="30"/>
      <c r="S29" s="22">
        <v>2.0329670329670328</v>
      </c>
      <c r="T29" s="15">
        <v>260</v>
      </c>
      <c r="U29" s="23" t="s">
        <v>56</v>
      </c>
      <c r="V29" s="1" t="s">
        <v>56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0.17467508333333334</v>
      </c>
      <c r="AD29" s="40">
        <f t="shared" si="12"/>
        <v>-12.293632365000001</v>
      </c>
      <c r="AE29" s="26">
        <v>-7.18</v>
      </c>
      <c r="AF29" s="26">
        <v>-9.1364599999999996</v>
      </c>
      <c r="AG29" s="26">
        <v>0</v>
      </c>
    </row>
    <row r="30" spans="1:33" ht="15.75" customHeight="1" x14ac:dyDescent="0.2">
      <c r="A30" s="15" t="s">
        <v>78</v>
      </c>
      <c r="B30" s="15" t="s">
        <v>452</v>
      </c>
      <c r="C30" s="16">
        <f t="shared" si="4"/>
        <v>28.144666666666673</v>
      </c>
      <c r="D30" s="17">
        <v>45</v>
      </c>
      <c r="E30" s="17">
        <v>1</v>
      </c>
      <c r="F30" s="18">
        <v>1266.5100000000002</v>
      </c>
      <c r="G30" s="18">
        <v>0</v>
      </c>
      <c r="H30" s="32">
        <f t="shared" si="1"/>
        <v>0</v>
      </c>
      <c r="I30" s="32">
        <f t="shared" si="2"/>
        <v>0.28808739836736397</v>
      </c>
      <c r="J30" s="33">
        <f t="shared" si="5"/>
        <v>364.86557090625018</v>
      </c>
      <c r="K30" s="33">
        <f t="shared" si="3"/>
        <v>8.1081237979166705</v>
      </c>
      <c r="L30" s="17">
        <v>61</v>
      </c>
      <c r="M30" s="34">
        <f t="shared" si="6"/>
        <v>0.73770491803278693</v>
      </c>
      <c r="N30" s="17">
        <v>517</v>
      </c>
      <c r="O30" s="35">
        <f t="shared" ref="O30:P30" si="38">D30/7</f>
        <v>6.4285714285714288</v>
      </c>
      <c r="P30" s="35">
        <f t="shared" si="38"/>
        <v>0.14285714285714285</v>
      </c>
      <c r="Q30" s="30">
        <f t="shared" si="8"/>
        <v>78</v>
      </c>
      <c r="R30" s="30"/>
      <c r="S30" s="22">
        <v>1.075880758807588</v>
      </c>
      <c r="T30" s="29">
        <v>260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0.17467508333333334</v>
      </c>
      <c r="AD30" s="40">
        <f t="shared" si="12"/>
        <v>-10.847322674999999</v>
      </c>
      <c r="AE30" s="26">
        <v>-7.18</v>
      </c>
      <c r="AF30" s="26">
        <v>-8.3937912537500008</v>
      </c>
      <c r="AG30" s="26">
        <v>0</v>
      </c>
    </row>
    <row r="31" spans="1:33" ht="15.75" customHeight="1" x14ac:dyDescent="0.2">
      <c r="A31" s="15" t="s">
        <v>55</v>
      </c>
      <c r="B31" s="15" t="s">
        <v>452</v>
      </c>
      <c r="C31" s="16">
        <f t="shared" si="4"/>
        <v>27.955223880597035</v>
      </c>
      <c r="D31" s="17">
        <v>67</v>
      </c>
      <c r="E31" s="17">
        <v>0</v>
      </c>
      <c r="F31" s="18">
        <v>1873.0000000000014</v>
      </c>
      <c r="G31" s="43">
        <v>-0.87</v>
      </c>
      <c r="H31" s="32">
        <f t="shared" si="1"/>
        <v>4.6449546182594732E-4</v>
      </c>
      <c r="I31" s="32">
        <f t="shared" si="2"/>
        <v>0.28381501750867649</v>
      </c>
      <c r="J31" s="33">
        <f t="shared" si="5"/>
        <v>531.58552779375145</v>
      </c>
      <c r="K31" s="33">
        <f t="shared" si="3"/>
        <v>7.934112355130619</v>
      </c>
      <c r="L31" s="17">
        <v>110</v>
      </c>
      <c r="M31" s="34">
        <f t="shared" si="6"/>
        <v>0.60909090909090913</v>
      </c>
      <c r="N31" s="17">
        <v>444</v>
      </c>
      <c r="O31" s="35">
        <f t="shared" ref="O31:P31" si="39">D31/7</f>
        <v>9.5714285714285712</v>
      </c>
      <c r="P31" s="35">
        <f t="shared" si="39"/>
        <v>0</v>
      </c>
      <c r="Q31" s="30">
        <f t="shared" si="8"/>
        <v>46</v>
      </c>
      <c r="R31" s="30"/>
      <c r="S31" s="22">
        <v>1.2676249144421601</v>
      </c>
      <c r="T31" s="15">
        <v>260</v>
      </c>
      <c r="U31" s="23" t="s">
        <v>56</v>
      </c>
      <c r="V31" s="1" t="s">
        <v>669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0.17467508333333334</v>
      </c>
      <c r="AD31" s="40">
        <f t="shared" si="12"/>
        <v>-16.150458205</v>
      </c>
      <c r="AE31" s="44">
        <v>-7.18</v>
      </c>
      <c r="AF31" s="44">
        <v>-8.393791253749999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27.983157894736838</v>
      </c>
      <c r="D32" s="17">
        <v>38</v>
      </c>
      <c r="E32" s="17">
        <v>2</v>
      </c>
      <c r="F32" s="18">
        <v>1063.3599999999999</v>
      </c>
      <c r="G32" s="18">
        <v>0</v>
      </c>
      <c r="H32" s="32">
        <f t="shared" si="1"/>
        <v>0</v>
      </c>
      <c r="I32" s="32">
        <f t="shared" si="2"/>
        <v>0.28484423994460989</v>
      </c>
      <c r="J32" s="33">
        <f t="shared" si="5"/>
        <v>302.89197098750032</v>
      </c>
      <c r="K32" s="33">
        <f t="shared" si="3"/>
        <v>7.9708413417763238</v>
      </c>
      <c r="L32" s="17">
        <v>88</v>
      </c>
      <c r="M32" s="34">
        <f t="shared" si="6"/>
        <v>0.43181818181818182</v>
      </c>
      <c r="N32" s="17">
        <v>372</v>
      </c>
      <c r="O32" s="35">
        <f t="shared" ref="O32:P32" si="40">D32/7</f>
        <v>5.4285714285714288</v>
      </c>
      <c r="P32" s="35">
        <f t="shared" si="40"/>
        <v>0.2857142857142857</v>
      </c>
      <c r="Q32" s="30">
        <f t="shared" si="8"/>
        <v>65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1.774250440917108</v>
      </c>
      <c r="T32" s="15">
        <f ca="1">IFERROR(__xludf.DUMMYFUNCTION("IFERROR(VLOOKUP($B$2,IMPORTRANGE(""https://docs.google.com/spreadsheets/d/1KiWZV1ko8G7lnRucBRBd29jj3Be6ltMfljMDqzOkQmI/edit#gid=1381463014"",""Lookup!A:D""),4,FALSE),"""")"),260)</f>
        <v>260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260 At Factory 50-75 days from Earliest Arrival")</f>
        <v>No Transit, But 260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0.17467508333333334</v>
      </c>
      <c r="AD32" s="40">
        <f t="shared" si="12"/>
        <v>-9.1599613699999995</v>
      </c>
      <c r="AE32" s="26">
        <v>-7.18</v>
      </c>
      <c r="AF32" s="26">
        <v>-8.3937912537499901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60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Info!B1:BJ7000""),3,FALSE),"""")"),"Professional Cornhole Bags - Set of 8 Regulation All Weather Two Sided Bean Bags for Pro Corn Hole Game - 4 Orange &amp; 4 Black")</f>
        <v>Professional Cornhole Bags - Set of 8 Regulation All Weather Two Sided Bean Bags for Pro Corn Hole Game - 4 Orange &amp; 4 Black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Info!B1:BJ7000""),2,FALSE),"""")"),"B07ZTN6Y6D")</f>
        <v>B07ZTN6Y6D</v>
      </c>
      <c r="B2" s="47" t="s">
        <v>670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18.32210735735293</v>
      </c>
      <c r="D3" s="5">
        <f>SUM(D4:D99765)</f>
        <v>785</v>
      </c>
      <c r="E3" s="5"/>
      <c r="F3" s="6">
        <f t="shared" ref="F3:G3" si="0">SUM(F4:F99765)</f>
        <v>23601.840000000007</v>
      </c>
      <c r="G3" s="6">
        <f t="shared" si="0"/>
        <v>-1069.71</v>
      </c>
      <c r="H3" s="7">
        <f t="shared" ref="H3:H32" si="1">G3/F3*-1</f>
        <v>4.5323161245055456E-2</v>
      </c>
      <c r="I3" s="8">
        <f t="shared" ref="I3:I32" si="2">J3/F3</f>
        <v>0.25941392075229097</v>
      </c>
      <c r="J3" s="6">
        <f>SUM(J4:J99765)</f>
        <v>6122.6458513682537</v>
      </c>
      <c r="K3" s="6">
        <f t="shared" ref="K3:K32" si="3">J3/D3</f>
        <v>7.7995488552461829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Sheet!a1:g5000""),2,FALSE),"""")"),"3.5 - March
8 - April
5.5 - May
12.5 - June
9 - July
4 - Aug
3.5 - Sept
2 - Oct
1.5 - Nov
2.5 - Dec
2 - Jan
2.5 - Feb")</f>
        <v>3.5 - March
8 - April
5.5 - May
12.5 - June
9 - July
4 - Aug
3.5 - Sept
2 - Oct
1.5 - Nov
2.5 - Dec
2 -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QTY-81")</f>
        <v>Del QTY-81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78</v>
      </c>
      <c r="X3" s="7">
        <f>W3/D3</f>
        <v>9.936305732484077E-2</v>
      </c>
      <c r="Y3" s="6"/>
      <c r="Z3" s="5"/>
      <c r="AA3" s="5"/>
      <c r="AB3" s="5"/>
      <c r="AC3" s="5"/>
      <c r="AD3" s="6">
        <f>SUM(AD4:AD99765)</f>
        <v>-242.60167834476664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SUM(AG4:AG99765)</f>
        <v>-60</v>
      </c>
    </row>
    <row r="4" spans="1:33" ht="15.75" customHeight="1" x14ac:dyDescent="0.2">
      <c r="A4" s="15" t="s">
        <v>32</v>
      </c>
      <c r="B4" s="15" t="s">
        <v>671</v>
      </c>
      <c r="C4" s="16">
        <f t="shared" ref="C4:C32" si="4">IFERROR(F4/D4," - ")</f>
        <v>21.427000000000007</v>
      </c>
      <c r="D4" s="17">
        <v>30</v>
      </c>
      <c r="E4" s="17">
        <v>1</v>
      </c>
      <c r="F4" s="18">
        <v>642.81000000000017</v>
      </c>
      <c r="G4" s="18">
        <v>0</v>
      </c>
      <c r="H4" s="19">
        <f t="shared" si="1"/>
        <v>0</v>
      </c>
      <c r="I4" s="19">
        <f t="shared" si="2"/>
        <v>0.16430930492381426</v>
      </c>
      <c r="J4" s="18">
        <f t="shared" ref="J4:J32" si="5">F4*0.85+G4+AF4*D4+D4*AE4+AG4+AD4</f>
        <v>105.61966429807707</v>
      </c>
      <c r="K4" s="18">
        <f t="shared" si="3"/>
        <v>3.5206554766025691</v>
      </c>
      <c r="L4" s="17">
        <v>32</v>
      </c>
      <c r="M4" s="20">
        <f t="shared" ref="M4:M32" si="6">IFERROR(D4/L4,"-")</f>
        <v>0.9375</v>
      </c>
      <c r="N4" s="17">
        <v>36</v>
      </c>
      <c r="O4" s="21">
        <f t="shared" ref="O4:P4" si="7">D4/7</f>
        <v>4.2857142857142856</v>
      </c>
      <c r="P4" s="21">
        <f t="shared" si="7"/>
        <v>0.14285714285714285</v>
      </c>
      <c r="Q4" s="17">
        <f t="shared" ref="Q4:Q32" si="8">ROUNDDOWN(N4/(O4+P4),0)</f>
        <v>8</v>
      </c>
      <c r="R4" s="17"/>
      <c r="S4" s="22">
        <v>3.2857142857142798</v>
      </c>
      <c r="T4" s="15">
        <v>1656</v>
      </c>
      <c r="U4" s="23">
        <v>200</v>
      </c>
      <c r="V4" s="24" t="s">
        <v>672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0.17369354166666665</v>
      </c>
      <c r="AD4" s="26">
        <f t="shared" ref="AD4:AD32" si="12">IFERROR(AB4*AC4*D4*2,0)</f>
        <v>-7.1909126249999993</v>
      </c>
      <c r="AE4" s="26">
        <v>-7.32</v>
      </c>
      <c r="AF4" s="26">
        <v>-7.132597435897436</v>
      </c>
      <c r="AG4" s="26">
        <v>0</v>
      </c>
    </row>
    <row r="5" spans="1:33" ht="15.75" customHeight="1" x14ac:dyDescent="0.2">
      <c r="A5" s="29" t="s">
        <v>33</v>
      </c>
      <c r="B5" s="29" t="s">
        <v>673</v>
      </c>
      <c r="C5" s="16">
        <f t="shared" si="4"/>
        <v>24.439285714285717</v>
      </c>
      <c r="D5" s="30">
        <v>14</v>
      </c>
      <c r="E5" s="30">
        <v>6</v>
      </c>
      <c r="F5" s="31">
        <v>342.15000000000003</v>
      </c>
      <c r="G5" s="31">
        <v>0</v>
      </c>
      <c r="H5" s="32">
        <f t="shared" si="1"/>
        <v>0</v>
      </c>
      <c r="I5" s="32">
        <f t="shared" si="2"/>
        <v>0.24881335142859731</v>
      </c>
      <c r="J5" s="33">
        <f t="shared" si="5"/>
        <v>85.131488191294579</v>
      </c>
      <c r="K5" s="33">
        <f t="shared" si="3"/>
        <v>6.0808205850924697</v>
      </c>
      <c r="L5" s="30">
        <v>47</v>
      </c>
      <c r="M5" s="34">
        <f t="shared" si="6"/>
        <v>0.2978723404255319</v>
      </c>
      <c r="N5" s="30">
        <v>5</v>
      </c>
      <c r="O5" s="35">
        <f t="shared" ref="O5:P5" si="13">D5/7</f>
        <v>2</v>
      </c>
      <c r="P5" s="35">
        <f t="shared" si="13"/>
        <v>0.8571428571428571</v>
      </c>
      <c r="Q5" s="30">
        <f t="shared" si="8"/>
        <v>1</v>
      </c>
      <c r="R5" s="30"/>
      <c r="S5" s="36">
        <v>3.6772616136919298</v>
      </c>
      <c r="T5" s="29">
        <v>1840</v>
      </c>
      <c r="U5" s="37">
        <v>200</v>
      </c>
      <c r="V5" s="38" t="s">
        <v>674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58</v>
      </c>
      <c r="AB5" s="41">
        <f t="shared" si="11"/>
        <v>-0.69</v>
      </c>
      <c r="AC5" s="42">
        <v>0.17389480880648897</v>
      </c>
      <c r="AD5" s="40">
        <f t="shared" si="12"/>
        <v>-3.3596477061413665</v>
      </c>
      <c r="AE5" s="40">
        <v>-7.32</v>
      </c>
      <c r="AF5" s="40">
        <v>-7.132597435897436</v>
      </c>
      <c r="AG5" s="40">
        <v>0</v>
      </c>
    </row>
    <row r="6" spans="1:33" ht="15.75" customHeight="1" x14ac:dyDescent="0.2">
      <c r="A6" s="29" t="s">
        <v>34</v>
      </c>
      <c r="B6" s="29" t="s">
        <v>487</v>
      </c>
      <c r="C6" s="16">
        <f t="shared" si="4"/>
        <v>33.99</v>
      </c>
      <c r="D6" s="30">
        <v>2</v>
      </c>
      <c r="E6" s="30">
        <v>0</v>
      </c>
      <c r="F6" s="31">
        <v>67.98</v>
      </c>
      <c r="G6" s="31">
        <v>0</v>
      </c>
      <c r="H6" s="32">
        <f t="shared" si="1"/>
        <v>0</v>
      </c>
      <c r="I6" s="32">
        <f t="shared" si="2"/>
        <v>0.41183370779492817</v>
      </c>
      <c r="J6" s="33">
        <f t="shared" si="5"/>
        <v>27.99645545589922</v>
      </c>
      <c r="K6" s="33">
        <f t="shared" si="3"/>
        <v>13.99822772794961</v>
      </c>
      <c r="L6" s="30">
        <v>11</v>
      </c>
      <c r="M6" s="34">
        <f t="shared" si="6"/>
        <v>0.18181818181818182</v>
      </c>
      <c r="N6" s="30">
        <v>0</v>
      </c>
      <c r="O6" s="35">
        <f t="shared" ref="O6:P6" si="14">D6/7</f>
        <v>0.2857142857142857</v>
      </c>
      <c r="P6" s="35">
        <f t="shared" si="14"/>
        <v>0</v>
      </c>
      <c r="Q6" s="30">
        <f t="shared" si="8"/>
        <v>0</v>
      </c>
      <c r="R6" s="30"/>
      <c r="S6" s="36" t="e">
        <v>#N/A</v>
      </c>
      <c r="T6" s="29">
        <v>1840</v>
      </c>
      <c r="U6" s="37">
        <v>200</v>
      </c>
      <c r="V6" s="38" t="s">
        <v>675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58</v>
      </c>
      <c r="AB6" s="41">
        <f t="shared" si="11"/>
        <v>-0.69</v>
      </c>
      <c r="AC6" s="42">
        <v>0.17389480880648897</v>
      </c>
      <c r="AD6" s="40">
        <f t="shared" si="12"/>
        <v>-0.47994967230590951</v>
      </c>
      <c r="AE6" s="40">
        <v>-7.32</v>
      </c>
      <c r="AF6" s="40">
        <v>-7.3332974358974363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1840</v>
      </c>
      <c r="U7" s="37">
        <v>200</v>
      </c>
      <c r="V7" s="38" t="s">
        <v>676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-7.3332974358974363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1840</v>
      </c>
      <c r="U8" s="37">
        <v>200</v>
      </c>
      <c r="V8" s="38" t="s">
        <v>677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-7.33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1840</v>
      </c>
      <c r="U9" s="37">
        <v>130</v>
      </c>
      <c r="V9" s="38" t="s">
        <v>678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-7.6865025641025602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1810</v>
      </c>
      <c r="U10" s="37">
        <v>200</v>
      </c>
      <c r="V10" s="38" t="s">
        <v>679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-7.6865025641025602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2510</v>
      </c>
      <c r="U11" s="37">
        <v>200</v>
      </c>
      <c r="V11" s="38" t="s">
        <v>680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-7.6865025641025602</v>
      </c>
      <c r="AG11" s="40">
        <v>0</v>
      </c>
    </row>
    <row r="12" spans="1:33" ht="15.75" customHeight="1" x14ac:dyDescent="0.2">
      <c r="A12" s="29" t="s">
        <v>40</v>
      </c>
      <c r="B12" s="29" t="s">
        <v>681</v>
      </c>
      <c r="C12" s="16">
        <f t="shared" si="4"/>
        <v>29.99</v>
      </c>
      <c r="D12" s="30">
        <v>2</v>
      </c>
      <c r="E12" s="30">
        <v>0</v>
      </c>
      <c r="F12" s="31">
        <v>59.98</v>
      </c>
      <c r="G12" s="31">
        <v>0</v>
      </c>
      <c r="H12" s="32">
        <f t="shared" si="1"/>
        <v>0</v>
      </c>
      <c r="I12" s="32">
        <f t="shared" si="2"/>
        <v>0.34162388624199524</v>
      </c>
      <c r="J12" s="33">
        <f t="shared" si="5"/>
        <v>20.490600696794875</v>
      </c>
      <c r="K12" s="33">
        <f t="shared" si="3"/>
        <v>10.245300348397437</v>
      </c>
      <c r="L12" s="30">
        <v>0</v>
      </c>
      <c r="M12" s="34" t="str">
        <f t="shared" si="6"/>
        <v>-</v>
      </c>
      <c r="N12" s="30">
        <v>323</v>
      </c>
      <c r="O12" s="35">
        <f t="shared" ref="O12:P12" si="20">D12/7</f>
        <v>0.2857142857142857</v>
      </c>
      <c r="P12" s="35">
        <f t="shared" si="20"/>
        <v>0</v>
      </c>
      <c r="Q12" s="30">
        <f t="shared" si="8"/>
        <v>1130</v>
      </c>
      <c r="R12" s="30"/>
      <c r="S12" s="36">
        <v>1.4773082942097</v>
      </c>
      <c r="T12" s="29">
        <v>1510</v>
      </c>
      <c r="U12" s="37">
        <v>184</v>
      </c>
      <c r="V12" s="38" t="s">
        <v>682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58</v>
      </c>
      <c r="AB12" s="41">
        <f t="shared" si="11"/>
        <v>-0.69</v>
      </c>
      <c r="AC12" s="42">
        <v>0.17369354166666665</v>
      </c>
      <c r="AD12" s="40">
        <f t="shared" si="12"/>
        <v>-0.47939417499999992</v>
      </c>
      <c r="AE12" s="40">
        <v>-7.32</v>
      </c>
      <c r="AF12" s="40">
        <v>-7.6865025641025602</v>
      </c>
      <c r="AG12" s="40">
        <v>0</v>
      </c>
    </row>
    <row r="13" spans="1:33" ht="15.75" customHeight="1" x14ac:dyDescent="0.2">
      <c r="A13" s="29" t="s">
        <v>41</v>
      </c>
      <c r="B13" s="29" t="s">
        <v>462</v>
      </c>
      <c r="C13" s="16">
        <f t="shared" si="4"/>
        <v>29.957272727272724</v>
      </c>
      <c r="D13" s="30">
        <v>11</v>
      </c>
      <c r="E13" s="30">
        <v>2</v>
      </c>
      <c r="F13" s="33">
        <v>329.53</v>
      </c>
      <c r="G13" s="31">
        <v>0</v>
      </c>
      <c r="H13" s="32">
        <f t="shared" si="1"/>
        <v>0</v>
      </c>
      <c r="I13" s="32">
        <f t="shared" si="2"/>
        <v>0.33486308389979647</v>
      </c>
      <c r="J13" s="33">
        <f t="shared" si="5"/>
        <v>110.34743203749993</v>
      </c>
      <c r="K13" s="33">
        <f t="shared" si="3"/>
        <v>10.031584730681812</v>
      </c>
      <c r="L13" s="30">
        <v>22</v>
      </c>
      <c r="M13" s="34">
        <f t="shared" si="6"/>
        <v>0.5</v>
      </c>
      <c r="N13" s="30">
        <v>308</v>
      </c>
      <c r="O13" s="35">
        <f t="shared" ref="O13:P13" si="21">D13/7</f>
        <v>1.5714285714285714</v>
      </c>
      <c r="P13" s="35">
        <f t="shared" si="21"/>
        <v>0.2857142857142857</v>
      </c>
      <c r="Q13" s="30">
        <f t="shared" si="8"/>
        <v>165</v>
      </c>
      <c r="R13" s="30"/>
      <c r="S13" s="36">
        <v>1.4551386623164699</v>
      </c>
      <c r="T13" s="29">
        <v>1326</v>
      </c>
      <c r="U13" s="37">
        <v>184</v>
      </c>
      <c r="V13" s="38" t="s">
        <v>683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58</v>
      </c>
      <c r="AB13" s="41">
        <f t="shared" si="11"/>
        <v>-0.69</v>
      </c>
      <c r="AC13" s="42">
        <v>0.17369354166666665</v>
      </c>
      <c r="AD13" s="40">
        <f t="shared" si="12"/>
        <v>-2.6366679624999998</v>
      </c>
      <c r="AE13" s="40">
        <v>-7.32</v>
      </c>
      <c r="AF13" s="40">
        <v>-7.8723999999999998</v>
      </c>
      <c r="AG13" s="40">
        <v>0</v>
      </c>
    </row>
    <row r="14" spans="1:33" ht="15.75" customHeight="1" x14ac:dyDescent="0.2">
      <c r="A14" s="29" t="s">
        <v>42</v>
      </c>
      <c r="B14" s="29" t="s">
        <v>452</v>
      </c>
      <c r="C14" s="16">
        <f t="shared" si="4"/>
        <v>30.076875000000012</v>
      </c>
      <c r="D14" s="30">
        <v>32</v>
      </c>
      <c r="E14" s="30">
        <v>1</v>
      </c>
      <c r="F14" s="33">
        <v>962.46000000000038</v>
      </c>
      <c r="G14" s="31">
        <v>-42.33</v>
      </c>
      <c r="H14" s="32">
        <f t="shared" si="1"/>
        <v>4.3981048563057144E-2</v>
      </c>
      <c r="I14" s="32">
        <f t="shared" si="2"/>
        <v>0.29293050433264783</v>
      </c>
      <c r="J14" s="33">
        <f t="shared" si="5"/>
        <v>281.93389320000034</v>
      </c>
      <c r="K14" s="33">
        <f t="shared" si="3"/>
        <v>8.8104341625000107</v>
      </c>
      <c r="L14" s="30">
        <v>52</v>
      </c>
      <c r="M14" s="34">
        <f t="shared" si="6"/>
        <v>0.61538461538461542</v>
      </c>
      <c r="N14" s="30">
        <v>272</v>
      </c>
      <c r="O14" s="35">
        <f t="shared" ref="O14:P14" si="22">D14/7</f>
        <v>4.5714285714285712</v>
      </c>
      <c r="P14" s="35">
        <f t="shared" si="22"/>
        <v>0.14285714285714285</v>
      </c>
      <c r="Q14" s="30">
        <f t="shared" si="8"/>
        <v>57</v>
      </c>
      <c r="R14" s="30"/>
      <c r="S14" s="36">
        <v>1.6</v>
      </c>
      <c r="T14" s="29">
        <v>1326</v>
      </c>
      <c r="U14" s="37">
        <v>184</v>
      </c>
      <c r="V14" s="38" t="s">
        <v>683</v>
      </c>
      <c r="W14" s="29">
        <v>6</v>
      </c>
      <c r="X14" s="39">
        <f t="shared" si="9"/>
        <v>0.1875</v>
      </c>
      <c r="Y14" s="40">
        <f t="shared" si="10"/>
        <v>4.2329999999999997</v>
      </c>
      <c r="Z14" s="29">
        <v>4</v>
      </c>
      <c r="AA14" s="29" t="s">
        <v>58</v>
      </c>
      <c r="AB14" s="41">
        <f t="shared" si="11"/>
        <v>-0.69</v>
      </c>
      <c r="AC14" s="42">
        <v>0.17369354166666665</v>
      </c>
      <c r="AD14" s="40">
        <f t="shared" si="12"/>
        <v>-7.6703067999999988</v>
      </c>
      <c r="AE14" s="40">
        <v>-7.32</v>
      </c>
      <c r="AF14" s="40">
        <v>-7.8723999999999998</v>
      </c>
      <c r="AG14" s="40">
        <v>0</v>
      </c>
    </row>
    <row r="15" spans="1:33" ht="15.75" customHeight="1" x14ac:dyDescent="0.2">
      <c r="A15" s="29" t="s">
        <v>43</v>
      </c>
      <c r="B15" s="29" t="s">
        <v>535</v>
      </c>
      <c r="C15" s="16">
        <f t="shared" si="4"/>
        <v>31.199032258064527</v>
      </c>
      <c r="D15" s="30">
        <v>31</v>
      </c>
      <c r="E15" s="30">
        <v>0</v>
      </c>
      <c r="F15" s="33">
        <v>967.1700000000003</v>
      </c>
      <c r="G15" s="31">
        <v>-50.680000000000007</v>
      </c>
      <c r="H15" s="32">
        <f t="shared" si="1"/>
        <v>5.2400301911763175E-2</v>
      </c>
      <c r="I15" s="32">
        <f t="shared" si="2"/>
        <v>0.30296585945335386</v>
      </c>
      <c r="J15" s="33">
        <f t="shared" si="5"/>
        <v>293.01949028750033</v>
      </c>
      <c r="K15" s="33">
        <f t="shared" si="3"/>
        <v>9.4522416221774304</v>
      </c>
      <c r="L15" s="30">
        <v>56</v>
      </c>
      <c r="M15" s="34">
        <f t="shared" si="6"/>
        <v>0.5535714285714286</v>
      </c>
      <c r="N15" s="30">
        <v>245</v>
      </c>
      <c r="O15" s="35">
        <f t="shared" ref="O15:P15" si="23">D15/7</f>
        <v>4.4285714285714288</v>
      </c>
      <c r="P15" s="35">
        <f t="shared" si="23"/>
        <v>0</v>
      </c>
      <c r="Q15" s="30">
        <f t="shared" si="8"/>
        <v>55</v>
      </c>
      <c r="R15" s="30"/>
      <c r="S15" s="36">
        <v>1.7526881720430101</v>
      </c>
      <c r="T15" s="29">
        <v>1326</v>
      </c>
      <c r="U15" s="37">
        <v>184</v>
      </c>
      <c r="V15" s="38" t="s">
        <v>683</v>
      </c>
      <c r="W15" s="29">
        <v>13</v>
      </c>
      <c r="X15" s="39">
        <f t="shared" si="9"/>
        <v>0.41935483870967744</v>
      </c>
      <c r="Y15" s="40">
        <f t="shared" si="10"/>
        <v>2.9811764705882355</v>
      </c>
      <c r="Z15" s="29">
        <v>4</v>
      </c>
      <c r="AA15" s="29" t="s">
        <v>58</v>
      </c>
      <c r="AB15" s="41">
        <f t="shared" si="11"/>
        <v>-0.69</v>
      </c>
      <c r="AC15" s="42">
        <v>0.17369354166666665</v>
      </c>
      <c r="AD15" s="40">
        <f t="shared" si="12"/>
        <v>-7.430609712499999</v>
      </c>
      <c r="AE15" s="40">
        <v>-7.32</v>
      </c>
      <c r="AF15" s="40">
        <v>-7.8723999999999998</v>
      </c>
      <c r="AG15" s="40">
        <v>0</v>
      </c>
    </row>
    <row r="16" spans="1:33" ht="15.75" customHeight="1" x14ac:dyDescent="0.2">
      <c r="A16" s="29" t="s">
        <v>44</v>
      </c>
      <c r="B16" s="29" t="s">
        <v>684</v>
      </c>
      <c r="C16" s="16">
        <f t="shared" si="4"/>
        <v>32.076785714285712</v>
      </c>
      <c r="D16" s="30">
        <v>28</v>
      </c>
      <c r="E16" s="30">
        <v>0</v>
      </c>
      <c r="F16" s="33">
        <v>898.14999999999986</v>
      </c>
      <c r="G16" s="31">
        <v>-47.699999999999982</v>
      </c>
      <c r="H16" s="32">
        <f t="shared" si="1"/>
        <v>5.3109168847074527E-2</v>
      </c>
      <c r="I16" s="32">
        <f t="shared" si="2"/>
        <v>0.27950242337026104</v>
      </c>
      <c r="J16" s="33">
        <f t="shared" si="5"/>
        <v>251.03510154999989</v>
      </c>
      <c r="K16" s="33">
        <f t="shared" si="3"/>
        <v>8.965539341071425</v>
      </c>
      <c r="L16" s="30">
        <v>95</v>
      </c>
      <c r="M16" s="34">
        <f t="shared" si="6"/>
        <v>0.29473684210526313</v>
      </c>
      <c r="N16" s="30">
        <v>215</v>
      </c>
      <c r="O16" s="35">
        <f t="shared" ref="O16:P16" si="24">D16/7</f>
        <v>4</v>
      </c>
      <c r="P16" s="35">
        <f t="shared" si="24"/>
        <v>0</v>
      </c>
      <c r="Q16" s="30">
        <f t="shared" si="8"/>
        <v>53</v>
      </c>
      <c r="R16" s="30"/>
      <c r="S16" s="36">
        <v>2.0526315789473601</v>
      </c>
      <c r="T16" s="29">
        <v>1326</v>
      </c>
      <c r="U16" s="37">
        <v>184</v>
      </c>
      <c r="V16" s="38" t="s">
        <v>685</v>
      </c>
      <c r="W16" s="29">
        <v>3</v>
      </c>
      <c r="X16" s="39">
        <f t="shared" si="9"/>
        <v>0.10714285714285714</v>
      </c>
      <c r="Y16" s="40">
        <f t="shared" si="10"/>
        <v>3.9749999999999983</v>
      </c>
      <c r="Z16" s="29">
        <v>9</v>
      </c>
      <c r="AA16" s="29" t="s">
        <v>58</v>
      </c>
      <c r="AB16" s="41">
        <f t="shared" si="11"/>
        <v>-0.69</v>
      </c>
      <c r="AC16" s="42">
        <v>0.17369354166666665</v>
      </c>
      <c r="AD16" s="40">
        <f t="shared" si="12"/>
        <v>-6.7115184499999989</v>
      </c>
      <c r="AE16" s="40">
        <v>-7.32</v>
      </c>
      <c r="AF16" s="40">
        <v>-9.0364599999999999</v>
      </c>
      <c r="AG16" s="40">
        <v>0</v>
      </c>
    </row>
    <row r="17" spans="1:33" ht="15.75" customHeight="1" x14ac:dyDescent="0.2">
      <c r="A17" s="29" t="s">
        <v>45</v>
      </c>
      <c r="B17" s="29" t="s">
        <v>506</v>
      </c>
      <c r="C17" s="16">
        <f t="shared" si="4"/>
        <v>31.592142857142854</v>
      </c>
      <c r="D17" s="30">
        <v>28</v>
      </c>
      <c r="E17" s="30">
        <v>1</v>
      </c>
      <c r="F17" s="33">
        <v>884.57999999999993</v>
      </c>
      <c r="G17" s="31">
        <v>-67.510000000000005</v>
      </c>
      <c r="H17" s="32">
        <f t="shared" si="1"/>
        <v>7.6318704922109945E-2</v>
      </c>
      <c r="I17" s="32">
        <f t="shared" si="2"/>
        <v>0.24564235815145155</v>
      </c>
      <c r="J17" s="33">
        <f t="shared" si="5"/>
        <v>217.29031717361099</v>
      </c>
      <c r="K17" s="33">
        <f t="shared" si="3"/>
        <v>7.7603684704861067</v>
      </c>
      <c r="L17" s="30">
        <v>103</v>
      </c>
      <c r="M17" s="34">
        <f t="shared" si="6"/>
        <v>0.27184466019417475</v>
      </c>
      <c r="N17" s="30">
        <v>186</v>
      </c>
      <c r="O17" s="35">
        <f t="shared" ref="O17:P17" si="25">D17/7</f>
        <v>4</v>
      </c>
      <c r="P17" s="35">
        <f t="shared" si="25"/>
        <v>0.14285714285714285</v>
      </c>
      <c r="Q17" s="30">
        <f t="shared" si="8"/>
        <v>44</v>
      </c>
      <c r="R17" s="30"/>
      <c r="S17" s="36">
        <v>1.11724137931034</v>
      </c>
      <c r="T17" s="29">
        <v>1326</v>
      </c>
      <c r="U17" s="37">
        <v>184</v>
      </c>
      <c r="V17" s="38" t="s">
        <v>686</v>
      </c>
      <c r="W17" s="29">
        <v>4</v>
      </c>
      <c r="X17" s="39">
        <f t="shared" si="9"/>
        <v>0.14285714285714285</v>
      </c>
      <c r="Y17" s="40">
        <f t="shared" si="10"/>
        <v>3.9711764705882358</v>
      </c>
      <c r="Z17" s="29">
        <v>13</v>
      </c>
      <c r="AA17" s="29" t="s">
        <v>58</v>
      </c>
      <c r="AB17" s="41">
        <f t="shared" si="11"/>
        <v>-0.69</v>
      </c>
      <c r="AC17" s="42">
        <v>0.23581270254629627</v>
      </c>
      <c r="AD17" s="40">
        <f t="shared" si="12"/>
        <v>-9.1118028263888871</v>
      </c>
      <c r="AE17" s="40">
        <v>-7.32</v>
      </c>
      <c r="AF17" s="40">
        <v>-9.0364599999999999</v>
      </c>
      <c r="AG17" s="40">
        <v>0</v>
      </c>
    </row>
    <row r="18" spans="1:33" ht="15.75" customHeight="1" x14ac:dyDescent="0.2">
      <c r="A18" s="29" t="s">
        <v>46</v>
      </c>
      <c r="B18" s="29" t="s">
        <v>506</v>
      </c>
      <c r="C18" s="16">
        <f t="shared" si="4"/>
        <v>34.950000000000024</v>
      </c>
      <c r="D18" s="30">
        <v>40</v>
      </c>
      <c r="E18" s="30">
        <v>1</v>
      </c>
      <c r="F18" s="33">
        <v>1398.0000000000009</v>
      </c>
      <c r="G18" s="31">
        <v>-115.42000000000002</v>
      </c>
      <c r="H18" s="32">
        <f t="shared" si="1"/>
        <v>8.2560801144492088E-2</v>
      </c>
      <c r="I18" s="32">
        <f t="shared" si="2"/>
        <v>0.28727091474924515</v>
      </c>
      <c r="J18" s="33">
        <f t="shared" si="5"/>
        <v>401.604738819445</v>
      </c>
      <c r="K18" s="33">
        <f t="shared" si="3"/>
        <v>10.040118470486124</v>
      </c>
      <c r="L18" s="30">
        <v>96</v>
      </c>
      <c r="M18" s="34">
        <f t="shared" si="6"/>
        <v>0.41666666666666669</v>
      </c>
      <c r="N18" s="30">
        <v>321</v>
      </c>
      <c r="O18" s="35">
        <f t="shared" ref="O18:P18" si="26">D18/7</f>
        <v>5.7142857142857144</v>
      </c>
      <c r="P18" s="35">
        <f t="shared" si="26"/>
        <v>0.14285714285714285</v>
      </c>
      <c r="Q18" s="30">
        <f t="shared" si="8"/>
        <v>54</v>
      </c>
      <c r="R18" s="30"/>
      <c r="S18" s="36">
        <v>1.0451010886469601</v>
      </c>
      <c r="T18" s="29">
        <v>2246</v>
      </c>
      <c r="U18" s="37">
        <v>342</v>
      </c>
      <c r="V18" s="38" t="s">
        <v>687</v>
      </c>
      <c r="W18" s="29">
        <v>9</v>
      </c>
      <c r="X18" s="39">
        <f t="shared" si="9"/>
        <v>0.22500000000000001</v>
      </c>
      <c r="Y18" s="40">
        <f t="shared" si="10"/>
        <v>5.246363636363637</v>
      </c>
      <c r="Z18" s="29">
        <v>13</v>
      </c>
      <c r="AA18" s="29" t="s">
        <v>58</v>
      </c>
      <c r="AB18" s="41">
        <f t="shared" si="11"/>
        <v>-0.69</v>
      </c>
      <c r="AC18" s="42">
        <v>0.23581270254629627</v>
      </c>
      <c r="AD18" s="40">
        <f t="shared" si="12"/>
        <v>-13.016861180555551</v>
      </c>
      <c r="AE18" s="40">
        <v>-7.32</v>
      </c>
      <c r="AF18" s="40">
        <v>-9.1364599999999996</v>
      </c>
      <c r="AG18" s="40">
        <v>0</v>
      </c>
    </row>
    <row r="19" spans="1:33" ht="15.75" customHeight="1" x14ac:dyDescent="0.2">
      <c r="A19" s="29" t="s">
        <v>47</v>
      </c>
      <c r="B19" s="29" t="s">
        <v>688</v>
      </c>
      <c r="C19" s="16">
        <f t="shared" si="4"/>
        <v>34.950000000000017</v>
      </c>
      <c r="D19" s="30">
        <v>32</v>
      </c>
      <c r="E19" s="30">
        <v>1</v>
      </c>
      <c r="F19" s="33">
        <v>1118.4000000000005</v>
      </c>
      <c r="G19" s="31">
        <v>-129.13999999999996</v>
      </c>
      <c r="H19" s="32">
        <f t="shared" si="1"/>
        <v>0.11546852646638045</v>
      </c>
      <c r="I19" s="32">
        <f t="shared" si="2"/>
        <v>0.25436318942735681</v>
      </c>
      <c r="J19" s="33">
        <f t="shared" si="5"/>
        <v>284.47979105555601</v>
      </c>
      <c r="K19" s="33">
        <f t="shared" si="3"/>
        <v>8.8899934704861252</v>
      </c>
      <c r="L19" s="30">
        <v>101</v>
      </c>
      <c r="M19" s="34">
        <f t="shared" si="6"/>
        <v>0.31683168316831684</v>
      </c>
      <c r="N19" s="30">
        <v>287</v>
      </c>
      <c r="O19" s="35">
        <f t="shared" ref="O19:P19" si="27">D19/7</f>
        <v>4.5714285714285712</v>
      </c>
      <c r="P19" s="35">
        <f t="shared" si="27"/>
        <v>0.14285714285714285</v>
      </c>
      <c r="Q19" s="30">
        <f t="shared" si="8"/>
        <v>60</v>
      </c>
      <c r="R19" s="30"/>
      <c r="S19" s="36">
        <v>1.28109028960817</v>
      </c>
      <c r="T19" s="29">
        <v>2062</v>
      </c>
      <c r="U19" s="37">
        <v>342</v>
      </c>
      <c r="V19" s="38" t="s">
        <v>689</v>
      </c>
      <c r="W19" s="29">
        <v>7</v>
      </c>
      <c r="X19" s="39">
        <f t="shared" si="9"/>
        <v>0.21875</v>
      </c>
      <c r="Y19" s="40">
        <f t="shared" si="10"/>
        <v>5.3808333333333316</v>
      </c>
      <c r="Z19" s="29">
        <v>17</v>
      </c>
      <c r="AA19" s="29" t="s">
        <v>58</v>
      </c>
      <c r="AB19" s="41">
        <f t="shared" si="11"/>
        <v>-0.69</v>
      </c>
      <c r="AC19" s="42">
        <v>0.23581270254629627</v>
      </c>
      <c r="AD19" s="40">
        <f t="shared" si="12"/>
        <v>-10.413488944444442</v>
      </c>
      <c r="AE19" s="40">
        <v>-7.32</v>
      </c>
      <c r="AF19" s="40">
        <v>-9.1364599999999996</v>
      </c>
      <c r="AG19" s="40">
        <v>0</v>
      </c>
    </row>
    <row r="20" spans="1:33" ht="15.75" customHeight="1" x14ac:dyDescent="0.2">
      <c r="A20" s="29" t="s">
        <v>48</v>
      </c>
      <c r="B20" s="29" t="s">
        <v>506</v>
      </c>
      <c r="C20" s="16">
        <f t="shared" si="4"/>
        <v>34.956315789473699</v>
      </c>
      <c r="D20" s="30">
        <v>38</v>
      </c>
      <c r="E20" s="30">
        <v>1</v>
      </c>
      <c r="F20" s="33">
        <v>1328.3400000000006</v>
      </c>
      <c r="G20" s="31">
        <v>-113.86999999999999</v>
      </c>
      <c r="H20" s="32">
        <f t="shared" si="1"/>
        <v>8.5723534637216325E-2</v>
      </c>
      <c r="I20" s="32">
        <f t="shared" si="2"/>
        <v>0.28419493644584404</v>
      </c>
      <c r="J20" s="33">
        <f t="shared" si="5"/>
        <v>377.50750187847262</v>
      </c>
      <c r="K20" s="33">
        <f t="shared" si="3"/>
        <v>9.9344079441703315</v>
      </c>
      <c r="L20" s="30">
        <v>116</v>
      </c>
      <c r="M20" s="34">
        <f t="shared" si="6"/>
        <v>0.32758620689655171</v>
      </c>
      <c r="N20" s="30">
        <v>212</v>
      </c>
      <c r="O20" s="35">
        <f t="shared" ref="O20:P20" si="28">D20/7</f>
        <v>5.4285714285714288</v>
      </c>
      <c r="P20" s="35">
        <f t="shared" si="28"/>
        <v>0.14285714285714285</v>
      </c>
      <c r="Q20" s="30">
        <f t="shared" si="8"/>
        <v>38</v>
      </c>
      <c r="R20" s="30"/>
      <c r="S20" s="36">
        <v>2.02597402597402</v>
      </c>
      <c r="T20" s="29">
        <v>2062</v>
      </c>
      <c r="U20" s="37">
        <v>342</v>
      </c>
      <c r="V20" s="38" t="s">
        <v>690</v>
      </c>
      <c r="W20" s="29">
        <v>6</v>
      </c>
      <c r="X20" s="39">
        <f t="shared" si="9"/>
        <v>0.15789473684210525</v>
      </c>
      <c r="Y20" s="40">
        <f t="shared" si="10"/>
        <v>6.6982352941176462</v>
      </c>
      <c r="Z20" s="29">
        <v>11</v>
      </c>
      <c r="AA20" s="29" t="s">
        <v>58</v>
      </c>
      <c r="AB20" s="41">
        <f t="shared" si="11"/>
        <v>-0.69</v>
      </c>
      <c r="AC20" s="42">
        <v>0.23581270254629627</v>
      </c>
      <c r="AD20" s="40">
        <f t="shared" si="12"/>
        <v>-12.366018121527775</v>
      </c>
      <c r="AE20" s="40">
        <v>-7.32</v>
      </c>
      <c r="AF20" s="40">
        <v>-9.1364599999999996</v>
      </c>
      <c r="AG20" s="40">
        <v>0</v>
      </c>
    </row>
    <row r="21" spans="1:33" ht="15.75" customHeight="1" x14ac:dyDescent="0.2">
      <c r="A21" s="29" t="s">
        <v>49</v>
      </c>
      <c r="B21" s="29" t="s">
        <v>691</v>
      </c>
      <c r="C21" s="16">
        <f t="shared" si="4"/>
        <v>35.416875000000012</v>
      </c>
      <c r="D21" s="30">
        <v>48</v>
      </c>
      <c r="E21" s="30">
        <v>0</v>
      </c>
      <c r="F21" s="33">
        <v>1700.0100000000007</v>
      </c>
      <c r="G21" s="31">
        <v>-132.15</v>
      </c>
      <c r="H21" s="32">
        <f t="shared" si="1"/>
        <v>7.7734836853900827E-2</v>
      </c>
      <c r="I21" s="32">
        <f t="shared" si="2"/>
        <v>0.29842658959849272</v>
      </c>
      <c r="J21" s="33">
        <f t="shared" si="5"/>
        <v>507.32818658333383</v>
      </c>
      <c r="K21" s="33">
        <f t="shared" si="3"/>
        <v>10.569337220486121</v>
      </c>
      <c r="L21" s="30">
        <v>53</v>
      </c>
      <c r="M21" s="34">
        <f t="shared" si="6"/>
        <v>0.90566037735849059</v>
      </c>
      <c r="N21" s="30">
        <v>180</v>
      </c>
      <c r="O21" s="35">
        <f t="shared" ref="O21:P21" si="29">D21/7</f>
        <v>6.8571428571428568</v>
      </c>
      <c r="P21" s="35">
        <f t="shared" si="29"/>
        <v>0</v>
      </c>
      <c r="Q21" s="30">
        <f t="shared" si="8"/>
        <v>26</v>
      </c>
      <c r="R21" s="30"/>
      <c r="S21" s="36">
        <v>1.49863760217983</v>
      </c>
      <c r="T21" s="29">
        <v>2020</v>
      </c>
      <c r="U21" s="37">
        <v>800</v>
      </c>
      <c r="V21" s="38" t="s">
        <v>692</v>
      </c>
      <c r="W21" s="29">
        <v>6</v>
      </c>
      <c r="X21" s="39">
        <f t="shared" si="9"/>
        <v>0.125</v>
      </c>
      <c r="Y21" s="40">
        <f t="shared" si="10"/>
        <v>5.7456521739130437</v>
      </c>
      <c r="Z21" s="29">
        <v>17</v>
      </c>
      <c r="AA21" s="29" t="s">
        <v>58</v>
      </c>
      <c r="AB21" s="41">
        <f t="shared" si="11"/>
        <v>-0.69</v>
      </c>
      <c r="AC21" s="42">
        <v>0.23581270254629627</v>
      </c>
      <c r="AD21" s="40">
        <f t="shared" si="12"/>
        <v>-15.620233416666663</v>
      </c>
      <c r="AE21" s="40">
        <v>-7.32</v>
      </c>
      <c r="AF21" s="40">
        <v>-9.1364599999999996</v>
      </c>
      <c r="AG21" s="40">
        <v>0</v>
      </c>
    </row>
    <row r="22" spans="1:33" ht="15.75" customHeight="1" x14ac:dyDescent="0.2">
      <c r="A22" s="29" t="s">
        <v>50</v>
      </c>
      <c r="B22" s="29" t="s">
        <v>693</v>
      </c>
      <c r="C22" s="16">
        <f t="shared" si="4"/>
        <v>33.922058823529426</v>
      </c>
      <c r="D22" s="30">
        <v>34</v>
      </c>
      <c r="E22" s="30">
        <v>0</v>
      </c>
      <c r="F22" s="31">
        <v>1153.3500000000006</v>
      </c>
      <c r="G22" s="31">
        <v>-183.19</v>
      </c>
      <c r="H22" s="32">
        <f t="shared" si="1"/>
        <v>0.15883296484154846</v>
      </c>
      <c r="I22" s="32">
        <f t="shared" si="2"/>
        <v>0.19644819698836272</v>
      </c>
      <c r="J22" s="33">
        <f t="shared" si="5"/>
        <v>226.57352799652827</v>
      </c>
      <c r="K22" s="33">
        <f t="shared" si="3"/>
        <v>6.6639272940155374</v>
      </c>
      <c r="L22" s="30">
        <v>147</v>
      </c>
      <c r="M22" s="34">
        <f t="shared" si="6"/>
        <v>0.23129251700680273</v>
      </c>
      <c r="N22" s="30">
        <v>152</v>
      </c>
      <c r="O22" s="35">
        <f t="shared" ref="O22:P22" si="30">D22/7</f>
        <v>4.8571428571428568</v>
      </c>
      <c r="P22" s="35">
        <f t="shared" si="30"/>
        <v>0</v>
      </c>
      <c r="Q22" s="30">
        <f t="shared" si="8"/>
        <v>31</v>
      </c>
      <c r="R22" s="30"/>
      <c r="S22" s="36">
        <v>1.5686274509803899</v>
      </c>
      <c r="T22" s="29">
        <v>2020</v>
      </c>
      <c r="U22" s="37">
        <v>800</v>
      </c>
      <c r="V22" s="38" t="s">
        <v>692</v>
      </c>
      <c r="W22" s="29">
        <v>6</v>
      </c>
      <c r="X22" s="39">
        <f t="shared" si="9"/>
        <v>0.17647058823529413</v>
      </c>
      <c r="Y22" s="40">
        <f t="shared" si="10"/>
        <v>5.387941176470588</v>
      </c>
      <c r="Z22" s="29">
        <v>28</v>
      </c>
      <c r="AA22" s="29" t="s">
        <v>58</v>
      </c>
      <c r="AB22" s="41">
        <f t="shared" si="11"/>
        <v>-0.69</v>
      </c>
      <c r="AC22" s="42">
        <v>0.23581270254629627</v>
      </c>
      <c r="AD22" s="40">
        <f t="shared" si="12"/>
        <v>-11.06433200347222</v>
      </c>
      <c r="AE22" s="40">
        <v>-7.32</v>
      </c>
      <c r="AF22" s="40">
        <v>-9.1364599999999996</v>
      </c>
      <c r="AG22" s="40">
        <v>0</v>
      </c>
    </row>
    <row r="23" spans="1:33" ht="15.75" customHeight="1" x14ac:dyDescent="0.2">
      <c r="A23" s="29" t="s">
        <v>51</v>
      </c>
      <c r="B23" s="29" t="s">
        <v>694</v>
      </c>
      <c r="C23" s="16">
        <f t="shared" si="4"/>
        <v>26.904444444444469</v>
      </c>
      <c r="D23" s="30">
        <v>72</v>
      </c>
      <c r="E23" s="30">
        <v>2</v>
      </c>
      <c r="F23" s="33">
        <v>1937.1200000000017</v>
      </c>
      <c r="G23" s="31">
        <v>-178.94000000000005</v>
      </c>
      <c r="H23" s="32">
        <f t="shared" si="1"/>
        <v>9.2374246303791138E-2</v>
      </c>
      <c r="I23" s="32">
        <f t="shared" si="2"/>
        <v>0.10289322802665883</v>
      </c>
      <c r="J23" s="33">
        <f t="shared" si="5"/>
        <v>199.31652987500152</v>
      </c>
      <c r="K23" s="33">
        <f t="shared" si="3"/>
        <v>2.768285137152799</v>
      </c>
      <c r="L23" s="30">
        <v>112</v>
      </c>
      <c r="M23" s="34">
        <f t="shared" si="6"/>
        <v>0.6428571428571429</v>
      </c>
      <c r="N23" s="30">
        <v>96</v>
      </c>
      <c r="O23" s="35">
        <f t="shared" ref="O23:P23" si="31">D23/7</f>
        <v>10.285714285714286</v>
      </c>
      <c r="P23" s="35">
        <f t="shared" si="31"/>
        <v>0.2857142857142857</v>
      </c>
      <c r="Q23" s="30">
        <f t="shared" si="8"/>
        <v>9</v>
      </c>
      <c r="R23" s="30"/>
      <c r="S23" s="36">
        <v>1.81575433911882</v>
      </c>
      <c r="T23" s="29">
        <v>2020</v>
      </c>
      <c r="U23" s="37">
        <v>800</v>
      </c>
      <c r="V23" s="38" t="s">
        <v>695</v>
      </c>
      <c r="W23" s="29">
        <v>17</v>
      </c>
      <c r="X23" s="39">
        <f t="shared" si="9"/>
        <v>0.2361111111111111</v>
      </c>
      <c r="Y23" s="40">
        <f t="shared" si="10"/>
        <v>3.0851724137931043</v>
      </c>
      <c r="Z23" s="29">
        <v>41</v>
      </c>
      <c r="AA23" s="29" t="s">
        <v>58</v>
      </c>
      <c r="AB23" s="41">
        <f t="shared" si="11"/>
        <v>-0.69</v>
      </c>
      <c r="AC23" s="42">
        <v>0.23581270254629627</v>
      </c>
      <c r="AD23" s="40">
        <f t="shared" si="12"/>
        <v>-23.430350124999993</v>
      </c>
      <c r="AE23" s="40">
        <v>-7.32</v>
      </c>
      <c r="AF23" s="40">
        <v>-9.1364599999999996</v>
      </c>
      <c r="AG23" s="40">
        <v>-60</v>
      </c>
    </row>
    <row r="24" spans="1:33" ht="15.75" customHeight="1" x14ac:dyDescent="0.2">
      <c r="A24" s="29" t="s">
        <v>52</v>
      </c>
      <c r="B24" s="29" t="s">
        <v>696</v>
      </c>
      <c r="C24" s="16">
        <f t="shared" si="4"/>
        <v>25.340754716981149</v>
      </c>
      <c r="D24" s="30">
        <v>53</v>
      </c>
      <c r="E24" s="30">
        <v>4</v>
      </c>
      <c r="F24" s="33">
        <v>1343.0600000000009</v>
      </c>
      <c r="G24" s="33">
        <v>-4.01</v>
      </c>
      <c r="H24" s="32">
        <f t="shared" si="1"/>
        <v>2.9857191785921679E-3</v>
      </c>
      <c r="I24" s="32">
        <f t="shared" si="2"/>
        <v>0.18476559419219141</v>
      </c>
      <c r="J24" s="33">
        <f t="shared" si="5"/>
        <v>248.15127893576474</v>
      </c>
      <c r="K24" s="33">
        <f t="shared" si="3"/>
        <v>4.6820996025615989</v>
      </c>
      <c r="L24" s="30">
        <v>100</v>
      </c>
      <c r="M24" s="34">
        <f t="shared" si="6"/>
        <v>0.53</v>
      </c>
      <c r="N24" s="30">
        <v>38</v>
      </c>
      <c r="O24" s="35">
        <f t="shared" ref="O24:P24" si="32">D24/7</f>
        <v>7.5714285714285712</v>
      </c>
      <c r="P24" s="35">
        <f t="shared" si="32"/>
        <v>0.5714285714285714</v>
      </c>
      <c r="Q24" s="30">
        <f t="shared" si="8"/>
        <v>4</v>
      </c>
      <c r="R24" s="30"/>
      <c r="S24" s="36">
        <v>2.8019966722129701</v>
      </c>
      <c r="T24" s="29">
        <v>2020</v>
      </c>
      <c r="U24" s="37">
        <v>800</v>
      </c>
      <c r="V24" s="38" t="s">
        <v>697</v>
      </c>
      <c r="W24" s="29">
        <v>1</v>
      </c>
      <c r="X24" s="39">
        <f t="shared" si="9"/>
        <v>1.8867924528301886E-2</v>
      </c>
      <c r="Y24" s="40">
        <f t="shared" si="10"/>
        <v>2.0049999999999999</v>
      </c>
      <c r="Z24" s="29">
        <v>1</v>
      </c>
      <c r="AA24" s="29" t="s">
        <v>58</v>
      </c>
      <c r="AB24" s="41">
        <f t="shared" si="11"/>
        <v>-0.69</v>
      </c>
      <c r="AC24" s="42">
        <v>0.23581270254629627</v>
      </c>
      <c r="AD24" s="40">
        <f t="shared" si="12"/>
        <v>-17.247341064236107</v>
      </c>
      <c r="AE24" s="40">
        <v>-7.32</v>
      </c>
      <c r="AF24" s="40">
        <v>-9.1364599999999996</v>
      </c>
      <c r="AG24" s="40">
        <v>0</v>
      </c>
    </row>
    <row r="25" spans="1:33" ht="15.75" customHeight="1" x14ac:dyDescent="0.2">
      <c r="A25" s="29" t="s">
        <v>53</v>
      </c>
      <c r="B25" s="15" t="s">
        <v>698</v>
      </c>
      <c r="C25" s="16">
        <f t="shared" si="4"/>
        <v>29.469047619047622</v>
      </c>
      <c r="D25" s="30">
        <v>21</v>
      </c>
      <c r="E25" s="30">
        <v>2</v>
      </c>
      <c r="F25" s="33">
        <v>618.85</v>
      </c>
      <c r="G25" s="33">
        <v>0</v>
      </c>
      <c r="H25" s="32">
        <f t="shared" si="1"/>
        <v>0</v>
      </c>
      <c r="I25" s="32">
        <f t="shared" si="2"/>
        <v>0.28040502202506001</v>
      </c>
      <c r="J25" s="33">
        <f t="shared" si="5"/>
        <v>173.52864788020838</v>
      </c>
      <c r="K25" s="33">
        <f t="shared" si="3"/>
        <v>8.2632689466765896</v>
      </c>
      <c r="L25" s="30">
        <v>102</v>
      </c>
      <c r="M25" s="34">
        <f t="shared" si="6"/>
        <v>0.20588235294117646</v>
      </c>
      <c r="N25" s="30">
        <v>25</v>
      </c>
      <c r="O25" s="35">
        <f t="shared" ref="O25:P25" si="33">D25/7</f>
        <v>3</v>
      </c>
      <c r="P25" s="35">
        <f t="shared" si="33"/>
        <v>0.2857142857142857</v>
      </c>
      <c r="Q25" s="30">
        <f t="shared" si="8"/>
        <v>7</v>
      </c>
      <c r="R25" s="30"/>
      <c r="S25" s="36">
        <v>2.4040920716112528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0.23581270254629627</v>
      </c>
      <c r="AD25" s="40">
        <f t="shared" si="12"/>
        <v>-6.8338521197916648</v>
      </c>
      <c r="AE25" s="40">
        <v>-7.32</v>
      </c>
      <c r="AF25" s="40">
        <v>-9.14</v>
      </c>
      <c r="AG25" s="40">
        <v>0</v>
      </c>
    </row>
    <row r="26" spans="1:33" ht="15.75" customHeight="1" x14ac:dyDescent="0.2">
      <c r="A26" s="15" t="s">
        <v>54</v>
      </c>
      <c r="B26" s="15" t="s">
        <v>699</v>
      </c>
      <c r="C26" s="16">
        <f t="shared" si="4"/>
        <v>35.79615384615385</v>
      </c>
      <c r="D26" s="17">
        <v>26</v>
      </c>
      <c r="E26" s="17">
        <v>0</v>
      </c>
      <c r="F26" s="18">
        <v>930.7</v>
      </c>
      <c r="G26" s="18">
        <v>0</v>
      </c>
      <c r="H26" s="32">
        <f t="shared" si="1"/>
        <v>0</v>
      </c>
      <c r="I26" s="32">
        <f t="shared" si="2"/>
        <v>0.38509302700401732</v>
      </c>
      <c r="J26" s="33">
        <f t="shared" si="5"/>
        <v>358.40608023263894</v>
      </c>
      <c r="K26" s="33">
        <f t="shared" si="3"/>
        <v>13.784849239716882</v>
      </c>
      <c r="L26" s="17">
        <v>80</v>
      </c>
      <c r="M26" s="34">
        <f t="shared" si="6"/>
        <v>0.32500000000000001</v>
      </c>
      <c r="N26" s="17">
        <v>22</v>
      </c>
      <c r="O26" s="35">
        <f t="shared" ref="O26:P26" si="34">D26/7</f>
        <v>3.7142857142857144</v>
      </c>
      <c r="P26" s="35">
        <f t="shared" si="34"/>
        <v>0</v>
      </c>
      <c r="Q26" s="30">
        <f t="shared" si="8"/>
        <v>5</v>
      </c>
      <c r="R26" s="30"/>
      <c r="S26" s="22">
        <v>2.7570621468926548</v>
      </c>
      <c r="T26" s="15">
        <v>2020</v>
      </c>
      <c r="U26" s="23">
        <v>300</v>
      </c>
      <c r="V26" s="1" t="s">
        <v>700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0.23581270254629627</v>
      </c>
      <c r="AD26" s="40">
        <f t="shared" si="12"/>
        <v>-8.4609597673611088</v>
      </c>
      <c r="AE26" s="26">
        <v>-7.18</v>
      </c>
      <c r="AF26" s="26">
        <v>-9.1364599999999996</v>
      </c>
      <c r="AG26" s="26">
        <v>0</v>
      </c>
    </row>
    <row r="27" spans="1:33" ht="15.75" customHeight="1" x14ac:dyDescent="0.2">
      <c r="A27" s="15" t="s">
        <v>74</v>
      </c>
      <c r="B27" s="52" t="s">
        <v>701</v>
      </c>
      <c r="C27" s="16">
        <f t="shared" si="4"/>
        <v>38.949999999999996</v>
      </c>
      <c r="D27" s="17">
        <v>3</v>
      </c>
      <c r="E27" s="17">
        <v>2</v>
      </c>
      <c r="F27" s="18">
        <v>116.85</v>
      </c>
      <c r="G27" s="18">
        <v>0</v>
      </c>
      <c r="H27" s="32">
        <f t="shared" si="1"/>
        <v>0</v>
      </c>
      <c r="I27" s="32">
        <f t="shared" si="2"/>
        <v>0.42273731631543282</v>
      </c>
      <c r="J27" s="33">
        <f t="shared" si="5"/>
        <v>49.396855411458326</v>
      </c>
      <c r="K27" s="33">
        <f t="shared" si="3"/>
        <v>16.46561847048611</v>
      </c>
      <c r="L27" s="17">
        <v>101</v>
      </c>
      <c r="M27" s="34">
        <f t="shared" si="6"/>
        <v>2.9702970297029702E-2</v>
      </c>
      <c r="N27" s="17">
        <v>73</v>
      </c>
      <c r="O27" s="35">
        <f t="shared" ref="O27:P27" si="35">D27/7</f>
        <v>0.42857142857142855</v>
      </c>
      <c r="P27" s="35">
        <f t="shared" si="35"/>
        <v>0.2857142857142857</v>
      </c>
      <c r="Q27" s="30">
        <f t="shared" si="8"/>
        <v>102</v>
      </c>
      <c r="R27" s="30"/>
      <c r="S27" s="22">
        <v>2.32258064516129</v>
      </c>
      <c r="T27" s="15">
        <v>1100</v>
      </c>
      <c r="U27" s="23">
        <v>300</v>
      </c>
      <c r="V27" s="1" t="s">
        <v>702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0.23581270254629627</v>
      </c>
      <c r="AD27" s="40">
        <f t="shared" si="12"/>
        <v>-0.97626458854166642</v>
      </c>
      <c r="AE27" s="26">
        <v>-7.18</v>
      </c>
      <c r="AF27" s="26">
        <v>-9.1364599999999996</v>
      </c>
      <c r="AG27" s="26">
        <v>0</v>
      </c>
    </row>
    <row r="28" spans="1:33" ht="15.75" customHeight="1" x14ac:dyDescent="0.2">
      <c r="A28" s="15" t="s">
        <v>75</v>
      </c>
      <c r="B28" s="15" t="s">
        <v>452</v>
      </c>
      <c r="C28" s="16">
        <f t="shared" si="4"/>
        <v>29.206250000000001</v>
      </c>
      <c r="D28" s="17">
        <v>32</v>
      </c>
      <c r="E28" s="17">
        <v>2</v>
      </c>
      <c r="F28" s="18">
        <v>934.6</v>
      </c>
      <c r="G28" s="18">
        <v>0</v>
      </c>
      <c r="H28" s="32">
        <f t="shared" si="1"/>
        <v>0</v>
      </c>
      <c r="I28" s="32">
        <f t="shared" si="2"/>
        <v>0.2801945121501771</v>
      </c>
      <c r="J28" s="33">
        <f t="shared" si="5"/>
        <v>261.86979105555554</v>
      </c>
      <c r="K28" s="33">
        <f t="shared" si="3"/>
        <v>8.1834309704861106</v>
      </c>
      <c r="L28" s="17">
        <v>134</v>
      </c>
      <c r="M28" s="34">
        <f t="shared" si="6"/>
        <v>0.23880597014925373</v>
      </c>
      <c r="N28" s="17">
        <v>59</v>
      </c>
      <c r="O28" s="35">
        <f t="shared" ref="O28:P28" si="36">D28/7</f>
        <v>4.5714285714285712</v>
      </c>
      <c r="P28" s="35">
        <f t="shared" si="36"/>
        <v>0.2857142857142857</v>
      </c>
      <c r="Q28" s="30">
        <f t="shared" si="8"/>
        <v>12</v>
      </c>
      <c r="R28" s="30"/>
      <c r="S28" s="22">
        <v>2.7614814814814821</v>
      </c>
      <c r="T28" s="15">
        <v>1100</v>
      </c>
      <c r="U28" s="23">
        <v>300</v>
      </c>
      <c r="V28" s="1" t="s">
        <v>703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0.23581270254629627</v>
      </c>
      <c r="AD28" s="40">
        <f t="shared" si="12"/>
        <v>-10.413488944444442</v>
      </c>
      <c r="AE28" s="26">
        <v>-7.18</v>
      </c>
      <c r="AF28" s="26">
        <v>-9.1364599999999996</v>
      </c>
      <c r="AG28" s="26">
        <v>0</v>
      </c>
    </row>
    <row r="29" spans="1:33" ht="15.75" customHeight="1" x14ac:dyDescent="0.2">
      <c r="A29" s="15" t="s">
        <v>77</v>
      </c>
      <c r="B29" s="15" t="s">
        <v>704</v>
      </c>
      <c r="C29" s="16">
        <f t="shared" si="4"/>
        <v>29.74</v>
      </c>
      <c r="D29" s="17">
        <v>46</v>
      </c>
      <c r="E29" s="17">
        <v>1</v>
      </c>
      <c r="F29" s="18">
        <v>1368.04</v>
      </c>
      <c r="G29" s="18">
        <v>0</v>
      </c>
      <c r="H29" s="32">
        <f t="shared" si="1"/>
        <v>0</v>
      </c>
      <c r="I29" s="32">
        <f t="shared" si="2"/>
        <v>0.29042093041311734</v>
      </c>
      <c r="J29" s="33">
        <f t="shared" si="5"/>
        <v>397.30744964236101</v>
      </c>
      <c r="K29" s="33">
        <f t="shared" si="3"/>
        <v>8.6371184704861097</v>
      </c>
      <c r="L29" s="17">
        <v>147</v>
      </c>
      <c r="M29" s="34">
        <f t="shared" si="6"/>
        <v>0.31292517006802723</v>
      </c>
      <c r="N29" s="17">
        <v>10</v>
      </c>
      <c r="O29" s="35">
        <f t="shared" ref="O29:P29" si="37">D29/7</f>
        <v>6.5714285714285712</v>
      </c>
      <c r="P29" s="35">
        <f t="shared" si="37"/>
        <v>0.14285714285714285</v>
      </c>
      <c r="Q29" s="30">
        <f t="shared" si="8"/>
        <v>1</v>
      </c>
      <c r="R29" s="30"/>
      <c r="S29" s="22">
        <v>3.9266802443991859</v>
      </c>
      <c r="T29" s="15">
        <v>1100</v>
      </c>
      <c r="U29" s="23">
        <v>300</v>
      </c>
      <c r="V29" s="1" t="s">
        <v>705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0.23581270254629627</v>
      </c>
      <c r="AD29" s="40">
        <f t="shared" si="12"/>
        <v>-14.969390357638884</v>
      </c>
      <c r="AE29" s="26">
        <v>-7.18</v>
      </c>
      <c r="AF29" s="26">
        <v>-9.1364599999999996</v>
      </c>
      <c r="AG29" s="26">
        <v>0</v>
      </c>
    </row>
    <row r="30" spans="1:33" ht="15.75" customHeight="1" x14ac:dyDescent="0.2">
      <c r="A30" s="15" t="s">
        <v>78</v>
      </c>
      <c r="B30" s="15" t="s">
        <v>452</v>
      </c>
      <c r="C30" s="16">
        <f t="shared" si="4"/>
        <v>26.930454545454555</v>
      </c>
      <c r="D30" s="17">
        <v>22</v>
      </c>
      <c r="E30" s="17">
        <v>3</v>
      </c>
      <c r="F30" s="18">
        <v>592.47000000000025</v>
      </c>
      <c r="G30" s="18">
        <v>0</v>
      </c>
      <c r="H30" s="32">
        <f t="shared" si="1"/>
        <v>0</v>
      </c>
      <c r="I30" s="32">
        <f t="shared" si="2"/>
        <v>0.25961959047410804</v>
      </c>
      <c r="J30" s="33">
        <f t="shared" si="5"/>
        <v>153.81681876819485</v>
      </c>
      <c r="K30" s="33">
        <f t="shared" si="3"/>
        <v>6.9916735803724928</v>
      </c>
      <c r="L30" s="17">
        <v>119</v>
      </c>
      <c r="M30" s="34">
        <f t="shared" si="6"/>
        <v>0.18487394957983194</v>
      </c>
      <c r="N30" s="17">
        <v>811</v>
      </c>
      <c r="O30" s="35">
        <f t="shared" ref="O30:P30" si="38">D30/7</f>
        <v>3.1428571428571428</v>
      </c>
      <c r="P30" s="35">
        <f t="shared" si="38"/>
        <v>0.42857142857142855</v>
      </c>
      <c r="Q30" s="30">
        <f t="shared" si="8"/>
        <v>227</v>
      </c>
      <c r="R30" s="30"/>
      <c r="S30" s="22">
        <v>4.1846153846153848</v>
      </c>
      <c r="T30" s="29">
        <v>300</v>
      </c>
      <c r="U30" s="37">
        <v>300</v>
      </c>
      <c r="V30" s="38" t="s">
        <v>474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0.23581270254629627</v>
      </c>
      <c r="AD30" s="40">
        <f t="shared" si="12"/>
        <v>-7.159273649305554</v>
      </c>
      <c r="AE30" s="26">
        <v>-7.18</v>
      </c>
      <c r="AF30" s="26">
        <v>-8.3937912537499901</v>
      </c>
      <c r="AG30" s="26">
        <v>0</v>
      </c>
    </row>
    <row r="31" spans="1:33" ht="15.75" customHeight="1" x14ac:dyDescent="0.2">
      <c r="A31" s="15" t="s">
        <v>55</v>
      </c>
      <c r="B31" s="15" t="s">
        <v>452</v>
      </c>
      <c r="C31" s="16">
        <f t="shared" si="4"/>
        <v>27.175581395348868</v>
      </c>
      <c r="D31" s="17">
        <v>86</v>
      </c>
      <c r="E31" s="17">
        <v>3</v>
      </c>
      <c r="F31" s="18">
        <v>2337.1000000000026</v>
      </c>
      <c r="G31" s="43">
        <v>-4.7699999999999996</v>
      </c>
      <c r="H31" s="32">
        <f t="shared" si="1"/>
        <v>2.040990971717083E-3</v>
      </c>
      <c r="I31" s="32">
        <f t="shared" si="2"/>
        <v>0.26290389826678667</v>
      </c>
      <c r="J31" s="33">
        <f t="shared" si="5"/>
        <v>614.43270063930777</v>
      </c>
      <c r="K31" s="33">
        <f t="shared" si="3"/>
        <v>7.1445662865035784</v>
      </c>
      <c r="L31" s="17">
        <v>166</v>
      </c>
      <c r="M31" s="34">
        <f t="shared" si="6"/>
        <v>0.51807228915662651</v>
      </c>
      <c r="N31" s="17">
        <v>727</v>
      </c>
      <c r="O31" s="35">
        <f t="shared" ref="O31:P31" si="39">D31/7</f>
        <v>12.285714285714286</v>
      </c>
      <c r="P31" s="35">
        <f t="shared" si="39"/>
        <v>0.42857142857142855</v>
      </c>
      <c r="Q31" s="30">
        <f t="shared" si="8"/>
        <v>57</v>
      </c>
      <c r="R31" s="30"/>
      <c r="S31" s="22">
        <v>1.5216049382715999</v>
      </c>
      <c r="T31" s="15" t="s">
        <v>56</v>
      </c>
      <c r="U31" s="23" t="s">
        <v>56</v>
      </c>
      <c r="V31" s="1" t="s">
        <v>57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0.23581270254629627</v>
      </c>
      <c r="AD31" s="40">
        <f t="shared" si="12"/>
        <v>-27.986251538194438</v>
      </c>
      <c r="AE31" s="44">
        <v>-7.18</v>
      </c>
      <c r="AF31" s="44">
        <v>-8.393791253749999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29.076666666666668</v>
      </c>
      <c r="D32" s="17">
        <v>54</v>
      </c>
      <c r="E32" s="17">
        <v>6</v>
      </c>
      <c r="F32" s="18">
        <v>1570.14</v>
      </c>
      <c r="G32" s="18">
        <v>0</v>
      </c>
      <c r="H32" s="32">
        <f t="shared" si="1"/>
        <v>0</v>
      </c>
      <c r="I32" s="32">
        <f t="shared" si="2"/>
        <v>0.30319685486883385</v>
      </c>
      <c r="J32" s="33">
        <f t="shared" si="5"/>
        <v>476.0615097037508</v>
      </c>
      <c r="K32" s="33">
        <f t="shared" si="3"/>
        <v>8.8159538834027931</v>
      </c>
      <c r="L32" s="17">
        <v>112</v>
      </c>
      <c r="M32" s="34">
        <f t="shared" si="6"/>
        <v>0.48214285714285715</v>
      </c>
      <c r="N32" s="17">
        <v>423</v>
      </c>
      <c r="O32" s="35">
        <f t="shared" ref="O32:P32" si="40">D32/7</f>
        <v>7.7142857142857144</v>
      </c>
      <c r="P32" s="35">
        <f t="shared" si="40"/>
        <v>0.8571428571428571</v>
      </c>
      <c r="Q32" s="30">
        <f t="shared" si="8"/>
        <v>49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1.876106194690266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0.23581270254629627</v>
      </c>
      <c r="AD32" s="40">
        <f t="shared" si="12"/>
        <v>-17.572762593749996</v>
      </c>
      <c r="AE32" s="26">
        <v>-7.18</v>
      </c>
      <c r="AF32" s="26">
        <v>-8.3937912537499901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21" customWidth="1"/>
    <col min="22" max="22" width="70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Info!B1:BJ7000""),3,FALSE),"""")"),"Professional Cornhole Bags - Set of 8 Regulation All Weather Two Sided Bean Bags for Pro Corn Hole Game - 4 Orange &amp; 4 Royal Blue")</f>
        <v>Professional Cornhole Bags - Set of 8 Regulation All Weather Two Sided Bean Bags for Pro Corn Hole Game - 4 Orange &amp; 4 Royal Blue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Info!B1:BJ7000""),2,FALSE),"""")"),"B07ZTNKQ6W")</f>
        <v>B07ZTNKQ6W</v>
      </c>
      <c r="B2" s="47" t="s">
        <v>706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18.32210735735293</v>
      </c>
      <c r="D3" s="5">
        <f>SUM(D4:D99765)</f>
        <v>1182</v>
      </c>
      <c r="E3" s="5"/>
      <c r="F3" s="6">
        <f t="shared" ref="F3:G3" si="0">SUM(F4:F99765)</f>
        <v>31677.550000000003</v>
      </c>
      <c r="G3" s="6">
        <f t="shared" si="0"/>
        <v>-1668.27</v>
      </c>
      <c r="H3" s="7">
        <f t="shared" ref="H3:H32" si="1">G3/F3*-1</f>
        <v>5.2664110703005751E-2</v>
      </c>
      <c r="I3" s="8">
        <f t="shared" ref="I3:I32" si="2">J3/F3</f>
        <v>0.1958952461098232</v>
      </c>
      <c r="J3" s="6">
        <f>SUM(J4:J99765)</f>
        <v>6205.4814534062307</v>
      </c>
      <c r="K3" s="6">
        <f t="shared" ref="K3:K32" si="3">J3/D3</f>
        <v>5.2499843091423273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Sheet!a1:g5000""),2,FALSE),"""")"),"9 - March
12.5 - April
6.5 - May
16.5 - June
13.5 - July
7.5 - Aug
4.5 - Sept
2.5 - Oct
2 - Nov
4 - Dec
9 - Jan
9 - Feb")</f>
        <v>9 - March
12.5 - April
6.5 - May
16.5 - June
13.5 - July
7.5 - Aug
4.5 - Sept
2.5 - Oct
2 - Nov
4 - Dec
9 - Jan
9 -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QTY-40")</f>
        <v>Del QTY-40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QTY-256")</f>
        <v>US QTY-256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133</v>
      </c>
      <c r="X3" s="7">
        <f>W3/D3</f>
        <v>0.11252115059221658</v>
      </c>
      <c r="Y3" s="6"/>
      <c r="Z3" s="5"/>
      <c r="AA3" s="5"/>
      <c r="AB3" s="5"/>
      <c r="AC3" s="5"/>
      <c r="AD3" s="6">
        <f>SUM(AD4:AD99765)</f>
        <v>-342.88346997745941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707</v>
      </c>
      <c r="C4" s="16">
        <f t="shared" ref="C4:C32" si="4">IFERROR(F4/D4," - ")</f>
        <v>21.990000000000002</v>
      </c>
      <c r="D4" s="17">
        <v>66</v>
      </c>
      <c r="E4" s="17">
        <v>2</v>
      </c>
      <c r="F4" s="18">
        <v>1451.3400000000001</v>
      </c>
      <c r="G4" s="18">
        <v>-36.82</v>
      </c>
      <c r="H4" s="19">
        <f t="shared" si="1"/>
        <v>2.5369658384665202E-2</v>
      </c>
      <c r="I4" s="19">
        <f t="shared" si="2"/>
        <v>0.1555030883912587</v>
      </c>
      <c r="J4" s="18">
        <f t="shared" ref="J4:J32" si="5">F4*0.85+G4+AF4*D4+D4*AE4+AG4+AD4</f>
        <v>225.68785230576944</v>
      </c>
      <c r="K4" s="18">
        <f t="shared" si="3"/>
        <v>3.4195129137237794</v>
      </c>
      <c r="L4" s="17">
        <v>153</v>
      </c>
      <c r="M4" s="20">
        <f t="shared" ref="M4:M32" si="6">IFERROR(D4/L4,"-")</f>
        <v>0.43137254901960786</v>
      </c>
      <c r="N4" s="17">
        <v>159</v>
      </c>
      <c r="O4" s="21">
        <f t="shared" ref="O4:P4" si="7">D4/7</f>
        <v>9.4285714285714288</v>
      </c>
      <c r="P4" s="21">
        <f t="shared" si="7"/>
        <v>0.2857142857142857</v>
      </c>
      <c r="Q4" s="17">
        <f t="shared" ref="Q4:Q32" si="8">ROUNDDOWN(N4/(O4+P4),0)</f>
        <v>16</v>
      </c>
      <c r="R4" s="17"/>
      <c r="S4" s="22">
        <v>1.2817679558010999</v>
      </c>
      <c r="T4" s="15">
        <v>1720</v>
      </c>
      <c r="U4" s="23" t="s">
        <v>56</v>
      </c>
      <c r="V4" s="24" t="s">
        <v>56</v>
      </c>
      <c r="W4" s="15">
        <v>2</v>
      </c>
      <c r="X4" s="25">
        <f t="shared" ref="X4:X32" si="9">IFERROR(W4/D4,0)</f>
        <v>3.0303030303030304E-2</v>
      </c>
      <c r="Y4" s="26">
        <f t="shared" ref="Y4:Y32" si="10">IFERROR(G4/(W4+Z4)*-1,0)</f>
        <v>4.6025</v>
      </c>
      <c r="Z4" s="15">
        <v>6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0.18950062500000001</v>
      </c>
      <c r="AD4" s="26">
        <f t="shared" ref="AD4:AD32" si="12">IFERROR(AB4*AC4*D4*2,0)</f>
        <v>-17.259716924999999</v>
      </c>
      <c r="AE4" s="26">
        <v>-7.32</v>
      </c>
      <c r="AF4" s="26">
        <v>-7.132597435897436</v>
      </c>
      <c r="AG4" s="26">
        <v>0</v>
      </c>
    </row>
    <row r="5" spans="1:33" ht="15.75" customHeight="1" x14ac:dyDescent="0.2">
      <c r="A5" s="29" t="s">
        <v>33</v>
      </c>
      <c r="B5" s="29" t="s">
        <v>708</v>
      </c>
      <c r="C5" s="16">
        <f t="shared" si="4"/>
        <v>22.675714285714296</v>
      </c>
      <c r="D5" s="30">
        <v>70</v>
      </c>
      <c r="E5" s="30">
        <v>0</v>
      </c>
      <c r="F5" s="31">
        <v>1587.3000000000006</v>
      </c>
      <c r="G5" s="31">
        <v>-5.8199999999999994</v>
      </c>
      <c r="H5" s="32">
        <f t="shared" si="1"/>
        <v>3.6666036666036647E-3</v>
      </c>
      <c r="I5" s="32">
        <f t="shared" si="2"/>
        <v>0.19609183509243405</v>
      </c>
      <c r="J5" s="33">
        <f t="shared" si="5"/>
        <v>311.2565698422207</v>
      </c>
      <c r="K5" s="33">
        <f t="shared" si="3"/>
        <v>4.446522426317439</v>
      </c>
      <c r="L5" s="30">
        <v>218</v>
      </c>
      <c r="M5" s="34">
        <f t="shared" si="6"/>
        <v>0.32110091743119268</v>
      </c>
      <c r="N5" s="30">
        <v>77</v>
      </c>
      <c r="O5" s="35">
        <f t="shared" ref="O5:P5" si="13">D5/7</f>
        <v>10</v>
      </c>
      <c r="P5" s="35">
        <f t="shared" si="13"/>
        <v>0</v>
      </c>
      <c r="Q5" s="30">
        <f t="shared" si="8"/>
        <v>7</v>
      </c>
      <c r="R5" s="30"/>
      <c r="S5" s="36">
        <v>1.47866205305651</v>
      </c>
      <c r="T5" s="29">
        <v>1720</v>
      </c>
      <c r="U5" s="37" t="s">
        <v>56</v>
      </c>
      <c r="V5" s="38" t="s">
        <v>56</v>
      </c>
      <c r="W5" s="29">
        <v>1</v>
      </c>
      <c r="X5" s="39">
        <f t="shared" si="9"/>
        <v>1.4285714285714285E-2</v>
      </c>
      <c r="Y5" s="40">
        <f t="shared" si="10"/>
        <v>5.8199999999999994</v>
      </c>
      <c r="Z5" s="29">
        <v>0</v>
      </c>
      <c r="AA5" s="29" t="s">
        <v>58</v>
      </c>
      <c r="AB5" s="41">
        <f t="shared" si="11"/>
        <v>-0.69</v>
      </c>
      <c r="AC5" s="42">
        <v>0.21166262572421785</v>
      </c>
      <c r="AD5" s="40">
        <f t="shared" si="12"/>
        <v>-20.446609644959441</v>
      </c>
      <c r="AE5" s="40">
        <v>-7.32</v>
      </c>
      <c r="AF5" s="40">
        <v>-7.132597435897436</v>
      </c>
      <c r="AG5" s="40">
        <v>0</v>
      </c>
    </row>
    <row r="6" spans="1:33" ht="15.75" customHeight="1" x14ac:dyDescent="0.2">
      <c r="A6" s="29" t="s">
        <v>34</v>
      </c>
      <c r="B6" s="29" t="s">
        <v>709</v>
      </c>
      <c r="C6" s="16">
        <f t="shared" si="4"/>
        <v>26.450666666666667</v>
      </c>
      <c r="D6" s="30">
        <v>15</v>
      </c>
      <c r="E6" s="30">
        <v>0</v>
      </c>
      <c r="F6" s="31">
        <v>396.76</v>
      </c>
      <c r="G6" s="31">
        <v>0</v>
      </c>
      <c r="H6" s="32">
        <f t="shared" si="1"/>
        <v>0</v>
      </c>
      <c r="I6" s="32">
        <f t="shared" si="2"/>
        <v>0.29257156263934986</v>
      </c>
      <c r="J6" s="33">
        <f t="shared" si="5"/>
        <v>116.08069319278844</v>
      </c>
      <c r="K6" s="33">
        <f t="shared" si="3"/>
        <v>7.7387128795192295</v>
      </c>
      <c r="L6" s="30">
        <v>122</v>
      </c>
      <c r="M6" s="34">
        <f t="shared" si="6"/>
        <v>0.12295081967213115</v>
      </c>
      <c r="N6" s="30">
        <v>54</v>
      </c>
      <c r="O6" s="35">
        <f t="shared" ref="O6:P6" si="14">D6/7</f>
        <v>2.1428571428571428</v>
      </c>
      <c r="P6" s="35">
        <f t="shared" si="14"/>
        <v>0</v>
      </c>
      <c r="Q6" s="30">
        <f t="shared" si="8"/>
        <v>25</v>
      </c>
      <c r="R6" s="30"/>
      <c r="S6" s="36">
        <v>1.72332015810276</v>
      </c>
      <c r="T6" s="29">
        <v>1720</v>
      </c>
      <c r="U6" s="37" t="s">
        <v>56</v>
      </c>
      <c r="V6" s="38" t="s">
        <v>63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58</v>
      </c>
      <c r="AB6" s="41">
        <f t="shared" si="11"/>
        <v>-0.69</v>
      </c>
      <c r="AC6" s="42">
        <v>0.21141764583333333</v>
      </c>
      <c r="AD6" s="40">
        <f t="shared" si="12"/>
        <v>-4.3763452687499997</v>
      </c>
      <c r="AE6" s="40">
        <v>-7.32</v>
      </c>
      <c r="AF6" s="40">
        <v>-7.132597435897436</v>
      </c>
      <c r="AG6" s="40">
        <v>0</v>
      </c>
    </row>
    <row r="7" spans="1:33" ht="15.75" customHeight="1" x14ac:dyDescent="0.2">
      <c r="A7" s="29" t="s">
        <v>35</v>
      </c>
      <c r="B7" s="29" t="s">
        <v>452</v>
      </c>
      <c r="C7" s="16">
        <f t="shared" si="4"/>
        <v>24.1525</v>
      </c>
      <c r="D7" s="30">
        <v>4</v>
      </c>
      <c r="E7" s="30">
        <v>0</v>
      </c>
      <c r="F7" s="31">
        <v>96.61</v>
      </c>
      <c r="G7" s="31">
        <v>0</v>
      </c>
      <c r="H7" s="32">
        <f t="shared" si="1"/>
        <v>0</v>
      </c>
      <c r="I7" s="32">
        <f t="shared" si="2"/>
        <v>0.23953094763906688</v>
      </c>
      <c r="J7" s="33">
        <f t="shared" si="5"/>
        <v>23.141084851410252</v>
      </c>
      <c r="K7" s="33">
        <f t="shared" si="3"/>
        <v>5.785271212852563</v>
      </c>
      <c r="L7" s="30">
        <v>79</v>
      </c>
      <c r="M7" s="34">
        <f t="shared" si="6"/>
        <v>5.0632911392405063E-2</v>
      </c>
      <c r="N7" s="30">
        <v>47</v>
      </c>
      <c r="O7" s="35">
        <f t="shared" ref="O7:P7" si="15">D7/7</f>
        <v>0.5714285714285714</v>
      </c>
      <c r="P7" s="35">
        <f t="shared" si="15"/>
        <v>0</v>
      </c>
      <c r="Q7" s="30">
        <f t="shared" si="8"/>
        <v>82</v>
      </c>
      <c r="R7" s="30"/>
      <c r="S7" s="36">
        <v>1.86367041198501</v>
      </c>
      <c r="T7" s="29">
        <v>1720</v>
      </c>
      <c r="U7" s="37" t="s">
        <v>56</v>
      </c>
      <c r="V7" s="38" t="s">
        <v>63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58</v>
      </c>
      <c r="AB7" s="41">
        <f t="shared" si="11"/>
        <v>-0.69</v>
      </c>
      <c r="AC7" s="42">
        <v>0.21141764583333333</v>
      </c>
      <c r="AD7" s="40">
        <f t="shared" si="12"/>
        <v>-1.167025405</v>
      </c>
      <c r="AE7" s="40">
        <v>-7.32</v>
      </c>
      <c r="AF7" s="40">
        <v>-7.132597435897436</v>
      </c>
      <c r="AG7" s="40">
        <v>0</v>
      </c>
    </row>
    <row r="8" spans="1:33" ht="15.75" customHeight="1" x14ac:dyDescent="0.2">
      <c r="A8" s="29" t="s">
        <v>36</v>
      </c>
      <c r="B8" s="29" t="s">
        <v>452</v>
      </c>
      <c r="C8" s="16">
        <f t="shared" si="4"/>
        <v>34.381428571428572</v>
      </c>
      <c r="D8" s="30">
        <v>7</v>
      </c>
      <c r="E8" s="30">
        <v>0</v>
      </c>
      <c r="F8" s="31">
        <v>240.67</v>
      </c>
      <c r="G8" s="31">
        <v>0</v>
      </c>
      <c r="H8" s="32">
        <f t="shared" si="1"/>
        <v>0</v>
      </c>
      <c r="I8" s="32">
        <f t="shared" si="2"/>
        <v>0.42122909187372737</v>
      </c>
      <c r="J8" s="33">
        <f t="shared" si="5"/>
        <v>101.37720554124996</v>
      </c>
      <c r="K8" s="33">
        <f t="shared" si="3"/>
        <v>14.48245793446428</v>
      </c>
      <c r="L8" s="30">
        <v>39</v>
      </c>
      <c r="M8" s="34">
        <f t="shared" si="6"/>
        <v>0.17948717948717949</v>
      </c>
      <c r="N8" s="30">
        <v>43</v>
      </c>
      <c r="O8" s="35">
        <f t="shared" ref="O8:P8" si="16">D8/7</f>
        <v>1</v>
      </c>
      <c r="P8" s="35">
        <f t="shared" si="16"/>
        <v>0</v>
      </c>
      <c r="Q8" s="30">
        <f t="shared" si="8"/>
        <v>43</v>
      </c>
      <c r="R8" s="30"/>
      <c r="S8" s="36">
        <v>1.8271604938271599</v>
      </c>
      <c r="T8" s="29">
        <v>1720</v>
      </c>
      <c r="U8" s="37" t="s">
        <v>56</v>
      </c>
      <c r="V8" s="38" t="s">
        <v>56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58</v>
      </c>
      <c r="AB8" s="41">
        <f t="shared" si="11"/>
        <v>-0.69</v>
      </c>
      <c r="AC8" s="42">
        <v>0.21141764583333333</v>
      </c>
      <c r="AD8" s="40">
        <f t="shared" si="12"/>
        <v>-2.0422944587499998</v>
      </c>
      <c r="AE8" s="40">
        <v>-7.32</v>
      </c>
      <c r="AF8" s="40">
        <v>-7.13</v>
      </c>
      <c r="AG8" s="40">
        <v>0</v>
      </c>
    </row>
    <row r="9" spans="1:33" ht="15.75" customHeight="1" x14ac:dyDescent="0.2">
      <c r="A9" s="29" t="s">
        <v>37</v>
      </c>
      <c r="B9" s="29" t="s">
        <v>452</v>
      </c>
      <c r="C9" s="16">
        <f t="shared" si="4"/>
        <v>29.029999999999998</v>
      </c>
      <c r="D9" s="30">
        <v>8</v>
      </c>
      <c r="E9" s="30">
        <v>1</v>
      </c>
      <c r="F9" s="31">
        <v>232.23999999999998</v>
      </c>
      <c r="G9" s="31">
        <v>0</v>
      </c>
      <c r="H9" s="32">
        <f t="shared" si="1"/>
        <v>0</v>
      </c>
      <c r="I9" s="32">
        <f t="shared" si="2"/>
        <v>0.32993252100060066</v>
      </c>
      <c r="J9" s="33">
        <f t="shared" si="5"/>
        <v>76.623528677179493</v>
      </c>
      <c r="K9" s="33">
        <f t="shared" si="3"/>
        <v>9.5779410846474367</v>
      </c>
      <c r="L9" s="30">
        <v>55</v>
      </c>
      <c r="M9" s="34">
        <f t="shared" si="6"/>
        <v>0.14545454545454545</v>
      </c>
      <c r="N9" s="30">
        <v>33</v>
      </c>
      <c r="O9" s="35">
        <f t="shared" ref="O9:P9" si="17">D9/7</f>
        <v>1.1428571428571428</v>
      </c>
      <c r="P9" s="35">
        <f t="shared" si="17"/>
        <v>0.14285714285714285</v>
      </c>
      <c r="Q9" s="30">
        <f t="shared" si="8"/>
        <v>25</v>
      </c>
      <c r="R9" s="30"/>
      <c r="S9" s="36">
        <v>2.06417112299465</v>
      </c>
      <c r="T9" s="29">
        <v>1720</v>
      </c>
      <c r="U9" s="37" t="s">
        <v>56</v>
      </c>
      <c r="V9" s="38" t="s">
        <v>56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58</v>
      </c>
      <c r="AB9" s="41">
        <f t="shared" si="11"/>
        <v>-0.69</v>
      </c>
      <c r="AC9" s="42">
        <v>0.21141764583333333</v>
      </c>
      <c r="AD9" s="40">
        <f t="shared" si="12"/>
        <v>-2.3340508099999999</v>
      </c>
      <c r="AE9" s="40">
        <v>-7.32</v>
      </c>
      <c r="AF9" s="40">
        <v>-7.4858025641025598</v>
      </c>
      <c r="AG9" s="40">
        <v>0</v>
      </c>
    </row>
    <row r="10" spans="1:33" ht="15.75" customHeight="1" x14ac:dyDescent="0.2">
      <c r="A10" s="29" t="s">
        <v>38</v>
      </c>
      <c r="B10" s="29" t="s">
        <v>710</v>
      </c>
      <c r="C10" s="16">
        <f t="shared" si="4"/>
        <v>33.78125</v>
      </c>
      <c r="D10" s="30">
        <v>8</v>
      </c>
      <c r="E10" s="30">
        <v>0</v>
      </c>
      <c r="F10" s="31">
        <v>270.25</v>
      </c>
      <c r="G10" s="31">
        <v>0</v>
      </c>
      <c r="H10" s="32">
        <f t="shared" si="1"/>
        <v>0</v>
      </c>
      <c r="I10" s="32">
        <f t="shared" si="2"/>
        <v>0.40307873701084007</v>
      </c>
      <c r="J10" s="33">
        <f t="shared" si="5"/>
        <v>108.93202867717953</v>
      </c>
      <c r="K10" s="33">
        <f t="shared" si="3"/>
        <v>13.616503584647441</v>
      </c>
      <c r="L10" s="30">
        <v>50</v>
      </c>
      <c r="M10" s="34">
        <f t="shared" si="6"/>
        <v>0.16</v>
      </c>
      <c r="N10" s="30">
        <v>28</v>
      </c>
      <c r="O10" s="35">
        <f t="shared" ref="O10:P10" si="18">D10/7</f>
        <v>1.1428571428571428</v>
      </c>
      <c r="P10" s="35">
        <f t="shared" si="18"/>
        <v>0</v>
      </c>
      <c r="Q10" s="30">
        <f t="shared" si="8"/>
        <v>24</v>
      </c>
      <c r="R10" s="30"/>
      <c r="S10" s="36">
        <v>2.3234042553191401</v>
      </c>
      <c r="T10" s="29">
        <v>1800</v>
      </c>
      <c r="U10" s="37">
        <v>80</v>
      </c>
      <c r="V10" s="38" t="s">
        <v>176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58</v>
      </c>
      <c r="AB10" s="41">
        <f t="shared" si="11"/>
        <v>-0.69</v>
      </c>
      <c r="AC10" s="42">
        <v>0.21141764583333333</v>
      </c>
      <c r="AD10" s="40">
        <f t="shared" si="12"/>
        <v>-2.3340508099999999</v>
      </c>
      <c r="AE10" s="40">
        <v>-7.32</v>
      </c>
      <c r="AF10" s="40">
        <v>-7.4858025641025598</v>
      </c>
      <c r="AG10" s="40">
        <v>0</v>
      </c>
    </row>
    <row r="11" spans="1:33" ht="15.75" customHeight="1" x14ac:dyDescent="0.2">
      <c r="A11" s="29" t="s">
        <v>39</v>
      </c>
      <c r="B11" s="29" t="s">
        <v>452</v>
      </c>
      <c r="C11" s="16">
        <f t="shared" si="4"/>
        <v>39.453333333333333</v>
      </c>
      <c r="D11" s="30">
        <v>3</v>
      </c>
      <c r="E11" s="30">
        <v>1</v>
      </c>
      <c r="F11" s="31">
        <v>118.36</v>
      </c>
      <c r="G11" s="31">
        <v>0</v>
      </c>
      <c r="H11" s="32">
        <f t="shared" si="1"/>
        <v>0</v>
      </c>
      <c r="I11" s="32">
        <f t="shared" si="2"/>
        <v>0.4673312204625068</v>
      </c>
      <c r="J11" s="33">
        <f t="shared" si="5"/>
        <v>55.313323253942308</v>
      </c>
      <c r="K11" s="33">
        <f t="shared" si="3"/>
        <v>18.437774417980769</v>
      </c>
      <c r="L11" s="30">
        <v>39</v>
      </c>
      <c r="M11" s="34">
        <f t="shared" si="6"/>
        <v>7.6923076923076927E-2</v>
      </c>
      <c r="N11" s="30">
        <v>21</v>
      </c>
      <c r="O11" s="35">
        <f t="shared" ref="O11:P11" si="19">D11/7</f>
        <v>0.42857142857142855</v>
      </c>
      <c r="P11" s="35">
        <f t="shared" si="19"/>
        <v>0.14285714285714285</v>
      </c>
      <c r="Q11" s="30">
        <f t="shared" si="8"/>
        <v>36</v>
      </c>
      <c r="R11" s="30"/>
      <c r="S11" s="36">
        <v>2.5418227215979998</v>
      </c>
      <c r="T11" s="29">
        <v>2376</v>
      </c>
      <c r="U11" s="37">
        <v>656</v>
      </c>
      <c r="V11" s="38" t="s">
        <v>711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58</v>
      </c>
      <c r="AB11" s="41">
        <f t="shared" si="11"/>
        <v>-0.69</v>
      </c>
      <c r="AC11" s="42">
        <v>0.21141764583333333</v>
      </c>
      <c r="AD11" s="40">
        <f t="shared" si="12"/>
        <v>-0.87526905374999997</v>
      </c>
      <c r="AE11" s="40">
        <v>-7.32</v>
      </c>
      <c r="AF11" s="40">
        <v>-7.4858025641025598</v>
      </c>
      <c r="AG11" s="40">
        <v>0</v>
      </c>
    </row>
    <row r="12" spans="1:33" ht="15.75" customHeight="1" x14ac:dyDescent="0.2">
      <c r="A12" s="29" t="s">
        <v>40</v>
      </c>
      <c r="B12" s="29" t="s">
        <v>712</v>
      </c>
      <c r="C12" s="16">
        <f t="shared" si="4"/>
        <v>36.997999999999998</v>
      </c>
      <c r="D12" s="30">
        <v>5</v>
      </c>
      <c r="E12" s="30">
        <v>0</v>
      </c>
      <c r="F12" s="31">
        <v>184.98999999999998</v>
      </c>
      <c r="G12" s="31">
        <v>0</v>
      </c>
      <c r="H12" s="32">
        <f t="shared" si="1"/>
        <v>0</v>
      </c>
      <c r="I12" s="32">
        <f t="shared" si="2"/>
        <v>0.4419358096288295</v>
      </c>
      <c r="J12" s="33">
        <f t="shared" si="5"/>
        <v>81.753705423237164</v>
      </c>
      <c r="K12" s="33">
        <f t="shared" si="3"/>
        <v>16.350741084647431</v>
      </c>
      <c r="L12" s="30">
        <v>51</v>
      </c>
      <c r="M12" s="34">
        <f t="shared" si="6"/>
        <v>9.8039215686274508E-2</v>
      </c>
      <c r="N12" s="30">
        <v>16</v>
      </c>
      <c r="O12" s="35">
        <f t="shared" ref="O12:P12" si="20">D12/7</f>
        <v>0.7142857142857143</v>
      </c>
      <c r="P12" s="35">
        <f t="shared" si="20"/>
        <v>0</v>
      </c>
      <c r="Q12" s="30">
        <f t="shared" si="8"/>
        <v>22</v>
      </c>
      <c r="R12" s="30"/>
      <c r="S12" s="36">
        <v>2.4080604534005001</v>
      </c>
      <c r="T12" s="29">
        <v>920</v>
      </c>
      <c r="U12" s="37">
        <v>264</v>
      </c>
      <c r="V12" s="38" t="s">
        <v>713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58</v>
      </c>
      <c r="AB12" s="41">
        <f t="shared" si="11"/>
        <v>-0.69</v>
      </c>
      <c r="AC12" s="42">
        <v>0.21141764583333333</v>
      </c>
      <c r="AD12" s="40">
        <f t="shared" si="12"/>
        <v>-1.4587817562500001</v>
      </c>
      <c r="AE12" s="40">
        <v>-7.32</v>
      </c>
      <c r="AF12" s="40">
        <v>-7.4858025641025598</v>
      </c>
      <c r="AG12" s="40">
        <v>0</v>
      </c>
    </row>
    <row r="13" spans="1:33" ht="15.75" customHeight="1" x14ac:dyDescent="0.2">
      <c r="A13" s="29" t="s">
        <v>41</v>
      </c>
      <c r="B13" s="29" t="s">
        <v>714</v>
      </c>
      <c r="C13" s="16">
        <f t="shared" si="4"/>
        <v>36.061428571428571</v>
      </c>
      <c r="D13" s="30">
        <v>7</v>
      </c>
      <c r="E13" s="30">
        <v>0</v>
      </c>
      <c r="F13" s="33">
        <v>252.42999999999998</v>
      </c>
      <c r="G13" s="31">
        <v>0</v>
      </c>
      <c r="H13" s="32">
        <f t="shared" si="1"/>
        <v>0</v>
      </c>
      <c r="I13" s="32">
        <f t="shared" si="2"/>
        <v>0.42618272606762264</v>
      </c>
      <c r="J13" s="33">
        <f t="shared" si="5"/>
        <v>107.58130554124998</v>
      </c>
      <c r="K13" s="33">
        <f t="shared" si="3"/>
        <v>15.368757934464282</v>
      </c>
      <c r="L13" s="30">
        <v>23</v>
      </c>
      <c r="M13" s="34">
        <f t="shared" si="6"/>
        <v>0.30434782608695654</v>
      </c>
      <c r="N13" s="30">
        <v>18</v>
      </c>
      <c r="O13" s="35">
        <f t="shared" ref="O13:P13" si="21">D13/7</f>
        <v>1</v>
      </c>
      <c r="P13" s="35">
        <f t="shared" si="21"/>
        <v>0</v>
      </c>
      <c r="Q13" s="30">
        <f t="shared" si="8"/>
        <v>18</v>
      </c>
      <c r="R13" s="30"/>
      <c r="S13" s="36">
        <v>2.4221635883905002</v>
      </c>
      <c r="T13" s="29">
        <v>920</v>
      </c>
      <c r="U13" s="37">
        <v>264</v>
      </c>
      <c r="V13" s="38" t="s">
        <v>715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58</v>
      </c>
      <c r="AB13" s="41">
        <f t="shared" si="11"/>
        <v>-0.69</v>
      </c>
      <c r="AC13" s="42">
        <v>0.21141764583333333</v>
      </c>
      <c r="AD13" s="40">
        <f t="shared" si="12"/>
        <v>-2.0422944587499998</v>
      </c>
      <c r="AE13" s="40">
        <v>-7.32</v>
      </c>
      <c r="AF13" s="40">
        <v>-7.6717000000000004</v>
      </c>
      <c r="AG13" s="40">
        <v>0</v>
      </c>
    </row>
    <row r="14" spans="1:33" ht="15.75" customHeight="1" x14ac:dyDescent="0.2">
      <c r="A14" s="29" t="s">
        <v>42</v>
      </c>
      <c r="B14" s="29" t="s">
        <v>716</v>
      </c>
      <c r="C14" s="16">
        <f t="shared" si="4"/>
        <v>43.483999999999995</v>
      </c>
      <c r="D14" s="30">
        <v>5</v>
      </c>
      <c r="E14" s="30">
        <v>1</v>
      </c>
      <c r="F14" s="33">
        <v>217.42</v>
      </c>
      <c r="G14" s="31">
        <v>0</v>
      </c>
      <c r="H14" s="32">
        <f t="shared" si="1"/>
        <v>0</v>
      </c>
      <c r="I14" s="32">
        <f t="shared" si="2"/>
        <v>0.49852689837066511</v>
      </c>
      <c r="J14" s="33">
        <f t="shared" si="5"/>
        <v>108.38971824375</v>
      </c>
      <c r="K14" s="33">
        <f t="shared" si="3"/>
        <v>21.677943648749999</v>
      </c>
      <c r="L14" s="30">
        <v>52</v>
      </c>
      <c r="M14" s="34">
        <f t="shared" si="6"/>
        <v>9.6153846153846159E-2</v>
      </c>
      <c r="N14" s="30">
        <v>10</v>
      </c>
      <c r="O14" s="35">
        <f t="shared" ref="O14:P14" si="22">D14/7</f>
        <v>0.7142857142857143</v>
      </c>
      <c r="P14" s="35">
        <f t="shared" si="22"/>
        <v>0.14285714285714285</v>
      </c>
      <c r="Q14" s="30">
        <f t="shared" si="8"/>
        <v>11</v>
      </c>
      <c r="R14" s="30"/>
      <c r="S14" s="36">
        <v>2.8879999999999999</v>
      </c>
      <c r="T14" s="29">
        <v>920</v>
      </c>
      <c r="U14" s="37">
        <v>264</v>
      </c>
      <c r="V14" s="38" t="s">
        <v>715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58</v>
      </c>
      <c r="AB14" s="41">
        <f t="shared" si="11"/>
        <v>-0.69</v>
      </c>
      <c r="AC14" s="42">
        <v>0.21141764583333333</v>
      </c>
      <c r="AD14" s="40">
        <f t="shared" si="12"/>
        <v>-1.4587817562500001</v>
      </c>
      <c r="AE14" s="40">
        <v>-7.32</v>
      </c>
      <c r="AF14" s="40">
        <v>-7.6717000000000004</v>
      </c>
      <c r="AG14" s="40">
        <v>0</v>
      </c>
    </row>
    <row r="15" spans="1:33" ht="15.75" customHeight="1" x14ac:dyDescent="0.2">
      <c r="A15" s="29" t="s">
        <v>43</v>
      </c>
      <c r="B15" s="29" t="s">
        <v>452</v>
      </c>
      <c r="C15" s="16">
        <f t="shared" si="4"/>
        <v>44.18</v>
      </c>
      <c r="D15" s="30">
        <v>1</v>
      </c>
      <c r="E15" s="30">
        <v>1</v>
      </c>
      <c r="F15" s="33">
        <v>44.18</v>
      </c>
      <c r="G15" s="31">
        <v>0</v>
      </c>
      <c r="H15" s="32">
        <f t="shared" si="1"/>
        <v>0</v>
      </c>
      <c r="I15" s="32">
        <f t="shared" si="2"/>
        <v>0.50406391237550918</v>
      </c>
      <c r="J15" s="33">
        <f t="shared" si="5"/>
        <v>22.269543648749995</v>
      </c>
      <c r="K15" s="33">
        <f t="shared" si="3"/>
        <v>22.269543648749995</v>
      </c>
      <c r="L15" s="30">
        <v>42</v>
      </c>
      <c r="M15" s="34">
        <f t="shared" si="6"/>
        <v>2.3809523809523808E-2</v>
      </c>
      <c r="N15" s="30">
        <v>8</v>
      </c>
      <c r="O15" s="35">
        <f t="shared" ref="O15:P15" si="23">D15/7</f>
        <v>0.14285714285714285</v>
      </c>
      <c r="P15" s="35">
        <f t="shared" si="23"/>
        <v>0.14285714285714285</v>
      </c>
      <c r="Q15" s="30">
        <f t="shared" si="8"/>
        <v>28</v>
      </c>
      <c r="R15" s="30"/>
      <c r="S15" s="36">
        <v>2.8807785888077801</v>
      </c>
      <c r="T15" s="29">
        <v>920</v>
      </c>
      <c r="U15" s="37">
        <v>264</v>
      </c>
      <c r="V15" s="38" t="s">
        <v>715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58</v>
      </c>
      <c r="AB15" s="41">
        <f t="shared" si="11"/>
        <v>-0.69</v>
      </c>
      <c r="AC15" s="42">
        <v>0.21141764583333333</v>
      </c>
      <c r="AD15" s="40">
        <f t="shared" si="12"/>
        <v>-0.29175635124999999</v>
      </c>
      <c r="AE15" s="40">
        <v>-7.32</v>
      </c>
      <c r="AF15" s="40">
        <v>-7.6717000000000004</v>
      </c>
      <c r="AG15" s="40">
        <v>0</v>
      </c>
    </row>
    <row r="16" spans="1:33" ht="15.75" customHeight="1" x14ac:dyDescent="0.2">
      <c r="A16" s="29" t="s">
        <v>44</v>
      </c>
      <c r="B16" s="29" t="s">
        <v>717</v>
      </c>
      <c r="C16" s="16">
        <f t="shared" si="4"/>
        <v>51.699999999999996</v>
      </c>
      <c r="D16" s="30">
        <v>4</v>
      </c>
      <c r="E16" s="30">
        <v>0</v>
      </c>
      <c r="F16" s="33">
        <v>206.79999999999998</v>
      </c>
      <c r="G16" s="31">
        <v>0</v>
      </c>
      <c r="H16" s="32">
        <f t="shared" si="1"/>
        <v>0</v>
      </c>
      <c r="I16" s="32">
        <f t="shared" si="2"/>
        <v>0.52798420984042549</v>
      </c>
      <c r="J16" s="33">
        <f t="shared" si="5"/>
        <v>109.18713459499997</v>
      </c>
      <c r="K16" s="33">
        <f t="shared" si="3"/>
        <v>27.296783648749994</v>
      </c>
      <c r="L16" s="30">
        <v>54</v>
      </c>
      <c r="M16" s="34">
        <f t="shared" si="6"/>
        <v>7.407407407407407E-2</v>
      </c>
      <c r="N16" s="30">
        <v>4</v>
      </c>
      <c r="O16" s="35">
        <f t="shared" ref="O16:P16" si="24">D16/7</f>
        <v>0.5714285714285714</v>
      </c>
      <c r="P16" s="35">
        <f t="shared" si="24"/>
        <v>0</v>
      </c>
      <c r="Q16" s="30">
        <f t="shared" si="8"/>
        <v>7</v>
      </c>
      <c r="R16" s="30"/>
      <c r="S16" s="36">
        <v>2.6832298136645898</v>
      </c>
      <c r="T16" s="29">
        <v>920</v>
      </c>
      <c r="U16" s="37">
        <v>264</v>
      </c>
      <c r="V16" s="38" t="s">
        <v>715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58</v>
      </c>
      <c r="AB16" s="41">
        <f t="shared" si="11"/>
        <v>-0.69</v>
      </c>
      <c r="AC16" s="42">
        <v>0.21141764583333333</v>
      </c>
      <c r="AD16" s="40">
        <f t="shared" si="12"/>
        <v>-1.167025405</v>
      </c>
      <c r="AE16" s="40">
        <v>-7.32</v>
      </c>
      <c r="AF16" s="40">
        <v>-9.0364599999999999</v>
      </c>
      <c r="AG16" s="40">
        <v>0</v>
      </c>
    </row>
    <row r="17" spans="1:33" ht="15.75" customHeight="1" x14ac:dyDescent="0.2">
      <c r="A17" s="29" t="s">
        <v>45</v>
      </c>
      <c r="B17" s="29" t="s">
        <v>179</v>
      </c>
      <c r="C17" s="16">
        <f t="shared" si="4"/>
        <v>34.333333333333336</v>
      </c>
      <c r="D17" s="30">
        <v>3</v>
      </c>
      <c r="E17" s="30">
        <v>0</v>
      </c>
      <c r="F17" s="33">
        <v>103</v>
      </c>
      <c r="G17" s="31">
        <v>0</v>
      </c>
      <c r="H17" s="32">
        <f t="shared" si="1"/>
        <v>0</v>
      </c>
      <c r="I17" s="32">
        <f t="shared" si="2"/>
        <v>0.36510049462378635</v>
      </c>
      <c r="J17" s="33">
        <f t="shared" si="5"/>
        <v>37.605350946249992</v>
      </c>
      <c r="K17" s="33">
        <f t="shared" si="3"/>
        <v>12.535116982083331</v>
      </c>
      <c r="L17" s="30">
        <v>46</v>
      </c>
      <c r="M17" s="34">
        <f t="shared" si="6"/>
        <v>6.5217391304347824E-2</v>
      </c>
      <c r="N17" s="30">
        <v>3</v>
      </c>
      <c r="O17" s="35">
        <f t="shared" ref="O17:P17" si="25">D17/7</f>
        <v>0.42857142857142855</v>
      </c>
      <c r="P17" s="35">
        <f t="shared" si="25"/>
        <v>0</v>
      </c>
      <c r="Q17" s="30">
        <f t="shared" si="8"/>
        <v>7</v>
      </c>
      <c r="R17" s="30"/>
      <c r="S17" s="36">
        <v>2.7003610108303202</v>
      </c>
      <c r="T17" s="29">
        <v>920</v>
      </c>
      <c r="U17" s="37">
        <v>264</v>
      </c>
      <c r="V17" s="38" t="s">
        <v>715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58</v>
      </c>
      <c r="AB17" s="41">
        <f t="shared" si="11"/>
        <v>-0.69</v>
      </c>
      <c r="AC17" s="42">
        <v>0.21141764583333333</v>
      </c>
      <c r="AD17" s="40">
        <f t="shared" si="12"/>
        <v>-0.87526905374999997</v>
      </c>
      <c r="AE17" s="40">
        <v>-7.32</v>
      </c>
      <c r="AF17" s="40">
        <v>-9.0364599999999999</v>
      </c>
      <c r="AG17" s="40">
        <v>0</v>
      </c>
    </row>
    <row r="18" spans="1:33" ht="15.75" customHeight="1" x14ac:dyDescent="0.2">
      <c r="A18" s="29" t="s">
        <v>46</v>
      </c>
      <c r="B18" s="29" t="s">
        <v>179</v>
      </c>
      <c r="C18" s="16">
        <f t="shared" si="4"/>
        <v>51.5</v>
      </c>
      <c r="D18" s="30">
        <v>1</v>
      </c>
      <c r="E18" s="30">
        <v>0</v>
      </c>
      <c r="F18" s="33">
        <v>51.5</v>
      </c>
      <c r="G18" s="31">
        <v>0</v>
      </c>
      <c r="H18" s="32">
        <f t="shared" si="1"/>
        <v>0</v>
      </c>
      <c r="I18" s="32">
        <f t="shared" si="2"/>
        <v>0.52479191550970872</v>
      </c>
      <c r="J18" s="33">
        <f t="shared" si="5"/>
        <v>27.026783648749998</v>
      </c>
      <c r="K18" s="33">
        <f t="shared" si="3"/>
        <v>27.026783648749998</v>
      </c>
      <c r="L18" s="30">
        <v>11</v>
      </c>
      <c r="M18" s="34">
        <f t="shared" si="6"/>
        <v>9.0909090909090912E-2</v>
      </c>
      <c r="N18" s="30">
        <v>1</v>
      </c>
      <c r="O18" s="35">
        <f t="shared" ref="O18:P18" si="26">D18/7</f>
        <v>0.14285714285714285</v>
      </c>
      <c r="P18" s="35">
        <f t="shared" si="26"/>
        <v>0</v>
      </c>
      <c r="Q18" s="30">
        <f t="shared" si="8"/>
        <v>7</v>
      </c>
      <c r="R18" s="30"/>
      <c r="S18" s="36">
        <v>2.2569832402234602</v>
      </c>
      <c r="T18" s="29">
        <v>1464</v>
      </c>
      <c r="U18" s="37">
        <v>264</v>
      </c>
      <c r="V18" s="38" t="s">
        <v>718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58</v>
      </c>
      <c r="AB18" s="41">
        <f t="shared" si="11"/>
        <v>-0.69</v>
      </c>
      <c r="AC18" s="42">
        <v>0.21141764583333333</v>
      </c>
      <c r="AD18" s="40">
        <f t="shared" si="12"/>
        <v>-0.29175635124999999</v>
      </c>
      <c r="AE18" s="40">
        <v>-7.32</v>
      </c>
      <c r="AF18" s="40">
        <v>-9.1364599999999996</v>
      </c>
      <c r="AG18" s="40">
        <v>0</v>
      </c>
    </row>
    <row r="19" spans="1:33" ht="15.75" customHeight="1" x14ac:dyDescent="0.2">
      <c r="A19" s="29" t="s">
        <v>47</v>
      </c>
      <c r="B19" s="29" t="s">
        <v>179</v>
      </c>
      <c r="C19" s="16">
        <f t="shared" si="4"/>
        <v>51.5</v>
      </c>
      <c r="D19" s="30">
        <v>1</v>
      </c>
      <c r="E19" s="30">
        <v>0</v>
      </c>
      <c r="F19" s="33">
        <v>51.5</v>
      </c>
      <c r="G19" s="31">
        <v>0</v>
      </c>
      <c r="H19" s="32">
        <f t="shared" si="1"/>
        <v>0</v>
      </c>
      <c r="I19" s="32">
        <f t="shared" si="2"/>
        <v>0.52479191550970872</v>
      </c>
      <c r="J19" s="33">
        <f t="shared" si="5"/>
        <v>27.026783648749998</v>
      </c>
      <c r="K19" s="33">
        <f t="shared" si="3"/>
        <v>27.026783648749998</v>
      </c>
      <c r="L19" s="30">
        <v>2</v>
      </c>
      <c r="M19" s="34">
        <f t="shared" si="6"/>
        <v>0.5</v>
      </c>
      <c r="N19" s="30">
        <v>2</v>
      </c>
      <c r="O19" s="35">
        <f t="shared" ref="O19:P19" si="27">D19/7</f>
        <v>0.14285714285714285</v>
      </c>
      <c r="P19" s="35">
        <f t="shared" si="27"/>
        <v>0</v>
      </c>
      <c r="Q19" s="30">
        <f t="shared" si="8"/>
        <v>14</v>
      </c>
      <c r="R19" s="30"/>
      <c r="S19" s="36" t="e">
        <v>#N/A</v>
      </c>
      <c r="T19" s="29">
        <v>1464</v>
      </c>
      <c r="U19" s="37">
        <v>264</v>
      </c>
      <c r="V19" s="38" t="s">
        <v>719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58</v>
      </c>
      <c r="AB19" s="41">
        <f t="shared" si="11"/>
        <v>-0.69</v>
      </c>
      <c r="AC19" s="42">
        <v>0.21141764583333333</v>
      </c>
      <c r="AD19" s="40">
        <f t="shared" si="12"/>
        <v>-0.29175635124999999</v>
      </c>
      <c r="AE19" s="40">
        <v>-7.32</v>
      </c>
      <c r="AF19" s="40">
        <v>-9.1364599999999996</v>
      </c>
      <c r="AG19" s="40">
        <v>0</v>
      </c>
    </row>
    <row r="20" spans="1:33" ht="15.75" customHeight="1" x14ac:dyDescent="0.2">
      <c r="A20" s="29" t="s">
        <v>48</v>
      </c>
      <c r="B20" s="29" t="s">
        <v>179</v>
      </c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1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2464</v>
      </c>
      <c r="U20" s="37">
        <v>264</v>
      </c>
      <c r="V20" s="38" t="s">
        <v>720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-9.1364599999999996</v>
      </c>
      <c r="AG20" s="40">
        <v>0</v>
      </c>
    </row>
    <row r="21" spans="1:33" ht="15.75" customHeight="1" x14ac:dyDescent="0.2">
      <c r="A21" s="29" t="s">
        <v>49</v>
      </c>
      <c r="B21" s="29" t="s">
        <v>721</v>
      </c>
      <c r="C21" s="16">
        <f t="shared" si="4"/>
        <v>52.203999999999994</v>
      </c>
      <c r="D21" s="30">
        <v>5</v>
      </c>
      <c r="E21" s="30">
        <v>0</v>
      </c>
      <c r="F21" s="33">
        <v>261.02</v>
      </c>
      <c r="G21" s="31">
        <v>0</v>
      </c>
      <c r="H21" s="32">
        <f t="shared" si="1"/>
        <v>0</v>
      </c>
      <c r="I21" s="32">
        <f t="shared" si="2"/>
        <v>0.52917752756014869</v>
      </c>
      <c r="J21" s="33">
        <f t="shared" si="5"/>
        <v>138.12591824374999</v>
      </c>
      <c r="K21" s="33">
        <f t="shared" si="3"/>
        <v>27.625183648749999</v>
      </c>
      <c r="L21" s="30">
        <v>9</v>
      </c>
      <c r="M21" s="34">
        <f t="shared" si="6"/>
        <v>0.55555555555555558</v>
      </c>
      <c r="N21" s="30">
        <v>251</v>
      </c>
      <c r="O21" s="35">
        <f t="shared" ref="O21:P21" si="29">D21/7</f>
        <v>0.7142857142857143</v>
      </c>
      <c r="P21" s="35">
        <f t="shared" si="29"/>
        <v>0</v>
      </c>
      <c r="Q21" s="30">
        <f t="shared" si="8"/>
        <v>351</v>
      </c>
      <c r="R21" s="30"/>
      <c r="S21" s="36">
        <v>0.56818181818181801</v>
      </c>
      <c r="T21" s="29">
        <v>2200</v>
      </c>
      <c r="U21" s="37">
        <v>656</v>
      </c>
      <c r="V21" s="38" t="s">
        <v>722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58</v>
      </c>
      <c r="AB21" s="41">
        <f t="shared" si="11"/>
        <v>-0.69</v>
      </c>
      <c r="AC21" s="42">
        <v>0.21141764583333333</v>
      </c>
      <c r="AD21" s="40">
        <f t="shared" si="12"/>
        <v>-1.4587817562500001</v>
      </c>
      <c r="AE21" s="40">
        <v>-7.32</v>
      </c>
      <c r="AF21" s="40">
        <v>-9.1364599999999996</v>
      </c>
      <c r="AG21" s="40">
        <v>0</v>
      </c>
    </row>
    <row r="22" spans="1:33" ht="15.75" customHeight="1" x14ac:dyDescent="0.2">
      <c r="A22" s="29" t="s">
        <v>50</v>
      </c>
      <c r="B22" s="29" t="s">
        <v>462</v>
      </c>
      <c r="C22" s="16">
        <f t="shared" si="4"/>
        <v>37.495714285714278</v>
      </c>
      <c r="D22" s="30">
        <v>14</v>
      </c>
      <c r="E22" s="30">
        <v>0</v>
      </c>
      <c r="F22" s="31">
        <v>524.93999999999994</v>
      </c>
      <c r="G22" s="31">
        <v>0</v>
      </c>
      <c r="H22" s="32">
        <f t="shared" si="1"/>
        <v>0</v>
      </c>
      <c r="I22" s="32">
        <f t="shared" si="2"/>
        <v>0.4033298492827751</v>
      </c>
      <c r="J22" s="33">
        <f t="shared" si="5"/>
        <v>211.72397108249993</v>
      </c>
      <c r="K22" s="33">
        <f t="shared" si="3"/>
        <v>15.123140791607138</v>
      </c>
      <c r="L22" s="30">
        <v>61</v>
      </c>
      <c r="M22" s="34">
        <f t="shared" si="6"/>
        <v>0.22950819672131148</v>
      </c>
      <c r="N22" s="30">
        <v>780</v>
      </c>
      <c r="O22" s="35">
        <f t="shared" ref="O22:P22" si="30">D22/7</f>
        <v>2</v>
      </c>
      <c r="P22" s="35">
        <f t="shared" si="30"/>
        <v>0</v>
      </c>
      <c r="Q22" s="30">
        <f t="shared" si="8"/>
        <v>390</v>
      </c>
      <c r="R22" s="30"/>
      <c r="S22" s="36">
        <v>0.24886877828054299</v>
      </c>
      <c r="T22" s="29">
        <v>1544</v>
      </c>
      <c r="U22" s="37">
        <v>1000</v>
      </c>
      <c r="V22" s="38" t="s">
        <v>723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58</v>
      </c>
      <c r="AB22" s="41">
        <f t="shared" si="11"/>
        <v>-0.69</v>
      </c>
      <c r="AC22" s="42">
        <v>0.21141764583333333</v>
      </c>
      <c r="AD22" s="40">
        <f t="shared" si="12"/>
        <v>-4.0845889174999996</v>
      </c>
      <c r="AE22" s="40">
        <v>-7.32</v>
      </c>
      <c r="AF22" s="40">
        <v>-9.1364599999999996</v>
      </c>
      <c r="AG22" s="40">
        <v>0</v>
      </c>
    </row>
    <row r="23" spans="1:33" ht="15.75" customHeight="1" x14ac:dyDescent="0.2">
      <c r="A23" s="29" t="s">
        <v>51</v>
      </c>
      <c r="B23" s="29" t="s">
        <v>452</v>
      </c>
      <c r="C23" s="16">
        <f t="shared" si="4"/>
        <v>27.355217391304372</v>
      </c>
      <c r="D23" s="30">
        <v>46</v>
      </c>
      <c r="E23" s="30">
        <v>3</v>
      </c>
      <c r="F23" s="33">
        <v>1258.3400000000011</v>
      </c>
      <c r="G23" s="31">
        <v>-26.630000000000003</v>
      </c>
      <c r="H23" s="32">
        <f t="shared" si="1"/>
        <v>2.1162801786480587E-2</v>
      </c>
      <c r="I23" s="32">
        <f t="shared" si="2"/>
        <v>0.2165877647078695</v>
      </c>
      <c r="J23" s="33">
        <f t="shared" si="5"/>
        <v>272.54104784250075</v>
      </c>
      <c r="K23" s="33">
        <f t="shared" si="3"/>
        <v>5.9248053878804514</v>
      </c>
      <c r="L23" s="30">
        <v>87</v>
      </c>
      <c r="M23" s="34">
        <f t="shared" si="6"/>
        <v>0.52873563218390807</v>
      </c>
      <c r="N23" s="30">
        <v>622</v>
      </c>
      <c r="O23" s="35">
        <f t="shared" ref="O23:P23" si="31">D23/7</f>
        <v>6.5714285714285712</v>
      </c>
      <c r="P23" s="35">
        <f t="shared" si="31"/>
        <v>0.42857142857142855</v>
      </c>
      <c r="Q23" s="30">
        <f t="shared" si="8"/>
        <v>88</v>
      </c>
      <c r="R23" s="30"/>
      <c r="S23" s="36">
        <v>0.32291666666666602</v>
      </c>
      <c r="T23" s="29">
        <v>1544</v>
      </c>
      <c r="U23" s="37">
        <v>1000</v>
      </c>
      <c r="V23" s="38" t="s">
        <v>723</v>
      </c>
      <c r="W23" s="29">
        <v>1</v>
      </c>
      <c r="X23" s="39">
        <f t="shared" si="9"/>
        <v>2.1739130434782608E-2</v>
      </c>
      <c r="Y23" s="40">
        <f t="shared" si="10"/>
        <v>2.6630000000000003</v>
      </c>
      <c r="Z23" s="29">
        <v>9</v>
      </c>
      <c r="AA23" s="29" t="s">
        <v>58</v>
      </c>
      <c r="AB23" s="41">
        <f t="shared" si="11"/>
        <v>-0.69</v>
      </c>
      <c r="AC23" s="42">
        <v>0.21141764583333333</v>
      </c>
      <c r="AD23" s="40">
        <f t="shared" si="12"/>
        <v>-13.420792157499999</v>
      </c>
      <c r="AE23" s="40">
        <v>-7.32</v>
      </c>
      <c r="AF23" s="40">
        <v>-9.1364599999999996</v>
      </c>
      <c r="AG23" s="40">
        <v>0</v>
      </c>
    </row>
    <row r="24" spans="1:33" ht="15.75" customHeight="1" x14ac:dyDescent="0.2">
      <c r="A24" s="29" t="s">
        <v>52</v>
      </c>
      <c r="B24" s="29" t="s">
        <v>452</v>
      </c>
      <c r="C24" s="16">
        <f t="shared" si="4"/>
        <v>24.571969696969724</v>
      </c>
      <c r="D24" s="30">
        <v>66</v>
      </c>
      <c r="E24" s="30">
        <v>0</v>
      </c>
      <c r="F24" s="33">
        <v>1621.7500000000018</v>
      </c>
      <c r="G24" s="33">
        <v>-53.970000000000006</v>
      </c>
      <c r="H24" s="32">
        <f t="shared" si="1"/>
        <v>3.3278865423153968E-2</v>
      </c>
      <c r="I24" s="32">
        <f t="shared" si="2"/>
        <v>0.13512268895791663</v>
      </c>
      <c r="J24" s="33">
        <f t="shared" si="5"/>
        <v>219.13522081750153</v>
      </c>
      <c r="K24" s="33">
        <f t="shared" si="3"/>
        <v>3.3202306184469927</v>
      </c>
      <c r="L24" s="30">
        <v>123</v>
      </c>
      <c r="M24" s="34">
        <f t="shared" si="6"/>
        <v>0.53658536585365857</v>
      </c>
      <c r="N24" s="30">
        <v>548</v>
      </c>
      <c r="O24" s="35">
        <f t="shared" ref="O24:P24" si="32">D24/7</f>
        <v>9.4285714285714288</v>
      </c>
      <c r="P24" s="35">
        <f t="shared" si="32"/>
        <v>0</v>
      </c>
      <c r="Q24" s="30">
        <f t="shared" si="8"/>
        <v>58</v>
      </c>
      <c r="R24" s="30"/>
      <c r="S24" s="36">
        <v>0.72246696035242197</v>
      </c>
      <c r="T24" s="29">
        <v>1544</v>
      </c>
      <c r="U24" s="37">
        <v>1000</v>
      </c>
      <c r="V24" s="38" t="s">
        <v>724</v>
      </c>
      <c r="W24" s="29">
        <v>11</v>
      </c>
      <c r="X24" s="39">
        <f t="shared" si="9"/>
        <v>0.16666666666666666</v>
      </c>
      <c r="Y24" s="40">
        <f t="shared" si="10"/>
        <v>2.9983333333333335</v>
      </c>
      <c r="Z24" s="29">
        <v>7</v>
      </c>
      <c r="AA24" s="29" t="s">
        <v>58</v>
      </c>
      <c r="AB24" s="41">
        <f t="shared" si="11"/>
        <v>-0.69</v>
      </c>
      <c r="AC24" s="42">
        <v>0.21141764583333333</v>
      </c>
      <c r="AD24" s="40">
        <f t="shared" si="12"/>
        <v>-19.255919182499998</v>
      </c>
      <c r="AE24" s="40">
        <v>-7.32</v>
      </c>
      <c r="AF24" s="40">
        <v>-9.1364599999999996</v>
      </c>
      <c r="AG24" s="40">
        <v>0</v>
      </c>
    </row>
    <row r="25" spans="1:33" ht="15.75" customHeight="1" x14ac:dyDescent="0.2">
      <c r="A25" s="29" t="s">
        <v>53</v>
      </c>
      <c r="B25" s="15" t="s">
        <v>725</v>
      </c>
      <c r="C25" s="16">
        <f t="shared" si="4"/>
        <v>28.777428571428572</v>
      </c>
      <c r="D25" s="30">
        <v>70</v>
      </c>
      <c r="E25" s="30">
        <v>3</v>
      </c>
      <c r="F25" s="33">
        <v>2014.42</v>
      </c>
      <c r="G25" s="33">
        <v>-63.09999999999998</v>
      </c>
      <c r="H25" s="32">
        <f t="shared" si="1"/>
        <v>3.1324152857894569E-2</v>
      </c>
      <c r="I25" s="32">
        <f t="shared" si="2"/>
        <v>0.23656141986899459</v>
      </c>
      <c r="J25" s="33">
        <f t="shared" si="5"/>
        <v>476.53405541250009</v>
      </c>
      <c r="K25" s="33">
        <f t="shared" si="3"/>
        <v>6.8076293630357156</v>
      </c>
      <c r="L25" s="30">
        <v>182</v>
      </c>
      <c r="M25" s="34">
        <f t="shared" si="6"/>
        <v>0.38461538461538464</v>
      </c>
      <c r="N25" s="30">
        <v>1447</v>
      </c>
      <c r="O25" s="35">
        <f t="shared" ref="O25:P25" si="33">D25/7</f>
        <v>10</v>
      </c>
      <c r="P25" s="35">
        <f t="shared" si="33"/>
        <v>0.42857142857142855</v>
      </c>
      <c r="Q25" s="30">
        <f t="shared" si="8"/>
        <v>138</v>
      </c>
      <c r="R25" s="30"/>
      <c r="S25" s="36">
        <v>0.45821804095185392</v>
      </c>
      <c r="T25" s="15"/>
      <c r="U25" s="23"/>
      <c r="V25" s="1"/>
      <c r="W25" s="15">
        <v>9</v>
      </c>
      <c r="X25" s="39">
        <f t="shared" si="9"/>
        <v>0.12857142857142856</v>
      </c>
      <c r="Y25" s="40">
        <f t="shared" si="10"/>
        <v>2.7434782608695643</v>
      </c>
      <c r="Z25" s="15">
        <v>14</v>
      </c>
      <c r="AA25" s="29" t="s">
        <v>58</v>
      </c>
      <c r="AB25" s="41">
        <f t="shared" si="11"/>
        <v>-0.69</v>
      </c>
      <c r="AC25" s="42">
        <v>0.21141764583333333</v>
      </c>
      <c r="AD25" s="40">
        <f t="shared" si="12"/>
        <v>-20.422944587499998</v>
      </c>
      <c r="AE25" s="40">
        <v>-7.32</v>
      </c>
      <c r="AF25" s="40">
        <v>-9.14</v>
      </c>
      <c r="AG25" s="40">
        <v>0</v>
      </c>
    </row>
    <row r="26" spans="1:33" ht="15.75" customHeight="1" x14ac:dyDescent="0.2">
      <c r="A26" s="15" t="s">
        <v>54</v>
      </c>
      <c r="B26" s="51" t="s">
        <v>726</v>
      </c>
      <c r="C26" s="16">
        <f t="shared" si="4"/>
        <v>31.234920634920634</v>
      </c>
      <c r="D26" s="17">
        <v>63</v>
      </c>
      <c r="E26" s="17">
        <v>1</v>
      </c>
      <c r="F26" s="18">
        <v>1967.8</v>
      </c>
      <c r="G26" s="18">
        <v>-81.84</v>
      </c>
      <c r="H26" s="32">
        <f t="shared" si="1"/>
        <v>4.1589592438255926E-2</v>
      </c>
      <c r="I26" s="32">
        <f t="shared" si="2"/>
        <v>0.27669090856349737</v>
      </c>
      <c r="J26" s="33">
        <f t="shared" si="5"/>
        <v>544.47236987125007</v>
      </c>
      <c r="K26" s="33">
        <f t="shared" si="3"/>
        <v>8.6424185693849225</v>
      </c>
      <c r="L26" s="17">
        <v>138</v>
      </c>
      <c r="M26" s="34">
        <f t="shared" si="6"/>
        <v>0.45652173913043476</v>
      </c>
      <c r="N26" s="17">
        <v>1401</v>
      </c>
      <c r="O26" s="35">
        <f t="shared" ref="O26:P26" si="34">D26/7</f>
        <v>9</v>
      </c>
      <c r="P26" s="35">
        <f t="shared" si="34"/>
        <v>0.14285714285714285</v>
      </c>
      <c r="Q26" s="30">
        <f t="shared" si="8"/>
        <v>153</v>
      </c>
      <c r="R26" s="30"/>
      <c r="S26" s="22">
        <v>0.61501787842669842</v>
      </c>
      <c r="T26" s="15">
        <v>544</v>
      </c>
      <c r="U26" s="23" t="s">
        <v>56</v>
      </c>
      <c r="V26" s="1" t="s">
        <v>56</v>
      </c>
      <c r="W26" s="15">
        <v>8</v>
      </c>
      <c r="X26" s="39">
        <f t="shared" si="9"/>
        <v>0.12698412698412698</v>
      </c>
      <c r="Y26" s="40">
        <f t="shared" si="10"/>
        <v>3.0311111111111111</v>
      </c>
      <c r="Z26" s="15">
        <v>19</v>
      </c>
      <c r="AA26" s="29" t="s">
        <v>58</v>
      </c>
      <c r="AB26" s="41">
        <f t="shared" si="11"/>
        <v>-0.69</v>
      </c>
      <c r="AC26" s="42">
        <v>0.21141764583333333</v>
      </c>
      <c r="AD26" s="40">
        <f t="shared" si="12"/>
        <v>-18.380650128749998</v>
      </c>
      <c r="AE26" s="26">
        <v>-7.18</v>
      </c>
      <c r="AF26" s="26">
        <v>-9.1364599999999996</v>
      </c>
      <c r="AG26" s="26">
        <v>0</v>
      </c>
    </row>
    <row r="27" spans="1:33" ht="15.75" customHeight="1" x14ac:dyDescent="0.2">
      <c r="A27" s="15" t="s">
        <v>74</v>
      </c>
      <c r="B27" s="15" t="s">
        <v>535</v>
      </c>
      <c r="C27" s="16">
        <f t="shared" si="4"/>
        <v>26.728350515463919</v>
      </c>
      <c r="D27" s="17">
        <v>97</v>
      </c>
      <c r="E27" s="17">
        <v>1</v>
      </c>
      <c r="F27" s="18">
        <v>2592.65</v>
      </c>
      <c r="G27" s="18">
        <v>-275.17</v>
      </c>
      <c r="H27" s="32">
        <f t="shared" si="1"/>
        <v>0.1061346498756099</v>
      </c>
      <c r="I27" s="32">
        <f t="shared" si="2"/>
        <v>0.12249455727874961</v>
      </c>
      <c r="J27" s="33">
        <f t="shared" si="5"/>
        <v>317.58551392875017</v>
      </c>
      <c r="K27" s="33">
        <f t="shared" si="3"/>
        <v>3.2740774631829916</v>
      </c>
      <c r="L27" s="17">
        <v>199</v>
      </c>
      <c r="M27" s="34">
        <f t="shared" si="6"/>
        <v>0.48743718592964824</v>
      </c>
      <c r="N27" s="17">
        <v>1219</v>
      </c>
      <c r="O27" s="35">
        <f t="shared" ref="O27:P27" si="35">D27/7</f>
        <v>13.857142857142858</v>
      </c>
      <c r="P27" s="35">
        <f t="shared" si="35"/>
        <v>0.14285714285714285</v>
      </c>
      <c r="Q27" s="30">
        <f t="shared" si="8"/>
        <v>87</v>
      </c>
      <c r="R27" s="30"/>
      <c r="S27" s="22">
        <v>0.72440944881889768</v>
      </c>
      <c r="T27" s="15">
        <v>0</v>
      </c>
      <c r="U27" s="23" t="s">
        <v>56</v>
      </c>
      <c r="V27" s="1" t="s">
        <v>56</v>
      </c>
      <c r="W27" s="15">
        <v>19</v>
      </c>
      <c r="X27" s="39">
        <f t="shared" si="9"/>
        <v>0.19587628865979381</v>
      </c>
      <c r="Y27" s="40">
        <f t="shared" si="10"/>
        <v>3.8756338028169015</v>
      </c>
      <c r="Z27" s="15">
        <v>52</v>
      </c>
      <c r="AA27" s="29" t="s">
        <v>58</v>
      </c>
      <c r="AB27" s="41">
        <f t="shared" si="11"/>
        <v>-0.69</v>
      </c>
      <c r="AC27" s="42">
        <v>0.21141764583333333</v>
      </c>
      <c r="AD27" s="40">
        <f t="shared" si="12"/>
        <v>-28.30036607125</v>
      </c>
      <c r="AE27" s="26">
        <v>-7.18</v>
      </c>
      <c r="AF27" s="26">
        <v>-9.1364599999999996</v>
      </c>
      <c r="AG27" s="26">
        <v>0</v>
      </c>
    </row>
    <row r="28" spans="1:33" ht="15.75" customHeight="1" x14ac:dyDescent="0.2">
      <c r="A28" s="15" t="s">
        <v>75</v>
      </c>
      <c r="B28" s="15" t="s">
        <v>479</v>
      </c>
      <c r="C28" s="16">
        <f t="shared" si="4"/>
        <v>25.616474820143885</v>
      </c>
      <c r="D28" s="17">
        <v>139</v>
      </c>
      <c r="E28" s="17">
        <v>3</v>
      </c>
      <c r="F28" s="18">
        <v>3560.69</v>
      </c>
      <c r="G28" s="18">
        <v>-276.17</v>
      </c>
      <c r="H28" s="32">
        <f t="shared" si="1"/>
        <v>7.7560809843036038E-2</v>
      </c>
      <c r="I28" s="32">
        <f t="shared" si="2"/>
        <v>0.12409797740781978</v>
      </c>
      <c r="J28" s="33">
        <f t="shared" si="5"/>
        <v>441.87442717624981</v>
      </c>
      <c r="K28" s="33">
        <f t="shared" si="3"/>
        <v>3.1789527134981999</v>
      </c>
      <c r="L28" s="17">
        <v>259</v>
      </c>
      <c r="M28" s="34">
        <f t="shared" si="6"/>
        <v>0.53667953667953672</v>
      </c>
      <c r="N28" s="17">
        <v>1119</v>
      </c>
      <c r="O28" s="35">
        <f t="shared" ref="O28:P28" si="36">D28/7</f>
        <v>19.857142857142858</v>
      </c>
      <c r="P28" s="35">
        <f t="shared" si="36"/>
        <v>0.42857142857142855</v>
      </c>
      <c r="Q28" s="30">
        <f t="shared" si="8"/>
        <v>55</v>
      </c>
      <c r="R28" s="30"/>
      <c r="S28" s="22">
        <v>0.99567099567099571</v>
      </c>
      <c r="T28" s="15">
        <v>0</v>
      </c>
      <c r="U28" s="23" t="s">
        <v>56</v>
      </c>
      <c r="V28" s="1" t="s">
        <v>56</v>
      </c>
      <c r="W28" s="15">
        <v>23</v>
      </c>
      <c r="X28" s="39">
        <f t="shared" si="9"/>
        <v>0.16546762589928057</v>
      </c>
      <c r="Y28" s="40">
        <f t="shared" si="10"/>
        <v>4.5273770491803278</v>
      </c>
      <c r="Z28" s="15">
        <v>38</v>
      </c>
      <c r="AA28" s="29" t="s">
        <v>58</v>
      </c>
      <c r="AB28" s="41">
        <f t="shared" si="11"/>
        <v>-0.69</v>
      </c>
      <c r="AC28" s="42">
        <v>0.21141764583333333</v>
      </c>
      <c r="AD28" s="40">
        <f t="shared" si="12"/>
        <v>-40.554132823749995</v>
      </c>
      <c r="AE28" s="26">
        <v>-7.18</v>
      </c>
      <c r="AF28" s="26">
        <v>-9.1364599999999996</v>
      </c>
      <c r="AG28" s="26">
        <v>0</v>
      </c>
    </row>
    <row r="29" spans="1:33" ht="15.75" customHeight="1" x14ac:dyDescent="0.2">
      <c r="A29" s="15" t="s">
        <v>77</v>
      </c>
      <c r="B29" s="15" t="s">
        <v>479</v>
      </c>
      <c r="C29" s="16">
        <f t="shared" si="4"/>
        <v>25.841167883211678</v>
      </c>
      <c r="D29" s="17">
        <v>137</v>
      </c>
      <c r="E29" s="17">
        <v>5</v>
      </c>
      <c r="F29" s="18">
        <v>3540.24</v>
      </c>
      <c r="G29" s="18">
        <v>-265.12</v>
      </c>
      <c r="H29" s="32">
        <f t="shared" si="1"/>
        <v>7.4887578243282946E-2</v>
      </c>
      <c r="I29" s="32">
        <f t="shared" si="2"/>
        <v>0.13240863892808113</v>
      </c>
      <c r="J29" s="33">
        <f t="shared" si="5"/>
        <v>468.75835987874996</v>
      </c>
      <c r="K29" s="33">
        <f t="shared" si="3"/>
        <v>3.4215938677281019</v>
      </c>
      <c r="L29" s="17">
        <v>254</v>
      </c>
      <c r="M29" s="34">
        <f t="shared" si="6"/>
        <v>0.53937007874015752</v>
      </c>
      <c r="N29" s="17">
        <v>1009</v>
      </c>
      <c r="O29" s="35">
        <f t="shared" ref="O29:P29" si="37">D29/7</f>
        <v>19.571428571428573</v>
      </c>
      <c r="P29" s="35">
        <f t="shared" si="37"/>
        <v>0.7142857142857143</v>
      </c>
      <c r="Q29" s="30">
        <f t="shared" si="8"/>
        <v>49</v>
      </c>
      <c r="R29" s="30"/>
      <c r="S29" s="22">
        <v>0.93297587131367288</v>
      </c>
      <c r="T29" s="15">
        <v>0</v>
      </c>
      <c r="U29" s="23" t="s">
        <v>56</v>
      </c>
      <c r="V29" s="1" t="s">
        <v>56</v>
      </c>
      <c r="W29" s="15">
        <v>18</v>
      </c>
      <c r="X29" s="39">
        <f t="shared" si="9"/>
        <v>0.13138686131386862</v>
      </c>
      <c r="Y29" s="40">
        <f t="shared" si="10"/>
        <v>3.6822222222222223</v>
      </c>
      <c r="Z29" s="15">
        <v>54</v>
      </c>
      <c r="AA29" s="29" t="s">
        <v>58</v>
      </c>
      <c r="AB29" s="41">
        <f t="shared" si="11"/>
        <v>-0.69</v>
      </c>
      <c r="AC29" s="42">
        <v>0.21141764583333333</v>
      </c>
      <c r="AD29" s="40">
        <f t="shared" si="12"/>
        <v>-39.970620121250001</v>
      </c>
      <c r="AE29" s="26">
        <v>-7.18</v>
      </c>
      <c r="AF29" s="26">
        <v>-9.1364599999999996</v>
      </c>
      <c r="AG29" s="26">
        <v>0</v>
      </c>
    </row>
    <row r="30" spans="1:33" ht="15.75" customHeight="1" x14ac:dyDescent="0.2">
      <c r="A30" s="15" t="s">
        <v>78</v>
      </c>
      <c r="B30" s="15" t="s">
        <v>727</v>
      </c>
      <c r="C30" s="16">
        <f t="shared" si="4"/>
        <v>25.980000000000015</v>
      </c>
      <c r="D30" s="17">
        <v>128</v>
      </c>
      <c r="E30" s="17">
        <v>0</v>
      </c>
      <c r="F30" s="18">
        <v>3325.4400000000019</v>
      </c>
      <c r="G30" s="18">
        <v>-228.9</v>
      </c>
      <c r="H30" s="32">
        <f t="shared" si="1"/>
        <v>6.8832996535796734E-2</v>
      </c>
      <c r="I30" s="32">
        <f t="shared" si="2"/>
        <v>0.17048387779060892</v>
      </c>
      <c r="J30" s="33">
        <f t="shared" si="5"/>
        <v>566.93390656000281</v>
      </c>
      <c r="K30" s="33">
        <f t="shared" si="3"/>
        <v>4.429171145000022</v>
      </c>
      <c r="L30" s="17">
        <v>216</v>
      </c>
      <c r="M30" s="34">
        <f t="shared" si="6"/>
        <v>0.59259259259259256</v>
      </c>
      <c r="N30" s="17">
        <v>882</v>
      </c>
      <c r="O30" s="35">
        <f t="shared" ref="O30:P30" si="38">D30/7</f>
        <v>18.285714285714285</v>
      </c>
      <c r="P30" s="35">
        <f t="shared" si="38"/>
        <v>0</v>
      </c>
      <c r="Q30" s="30">
        <f t="shared" si="8"/>
        <v>48</v>
      </c>
      <c r="R30" s="30"/>
      <c r="S30" s="22">
        <v>1.007633587786259</v>
      </c>
      <c r="T30" s="29">
        <v>0</v>
      </c>
      <c r="U30" s="37" t="s">
        <v>56</v>
      </c>
      <c r="V30" s="38" t="s">
        <v>56</v>
      </c>
      <c r="W30" s="15">
        <v>19</v>
      </c>
      <c r="X30" s="39">
        <f t="shared" si="9"/>
        <v>0.1484375</v>
      </c>
      <c r="Y30" s="40">
        <f t="shared" si="10"/>
        <v>3.8149999999999999</v>
      </c>
      <c r="Z30" s="15">
        <v>41</v>
      </c>
      <c r="AA30" s="29" t="s">
        <v>58</v>
      </c>
      <c r="AB30" s="41">
        <f t="shared" si="11"/>
        <v>-0.69</v>
      </c>
      <c r="AC30" s="42">
        <v>0.21141764583333333</v>
      </c>
      <c r="AD30" s="40">
        <f t="shared" si="12"/>
        <v>-37.344812959999999</v>
      </c>
      <c r="AE30" s="26">
        <v>-7.18</v>
      </c>
      <c r="AF30" s="26">
        <v>-8.3937912537499901</v>
      </c>
      <c r="AG30" s="26">
        <v>0</v>
      </c>
    </row>
    <row r="31" spans="1:33" ht="15.75" customHeight="1" x14ac:dyDescent="0.2">
      <c r="A31" s="15" t="s">
        <v>55</v>
      </c>
      <c r="B31" s="15" t="s">
        <v>728</v>
      </c>
      <c r="C31" s="16">
        <f t="shared" si="4"/>
        <v>26.378727272727254</v>
      </c>
      <c r="D31" s="17">
        <v>110</v>
      </c>
      <c r="E31" s="17">
        <v>7</v>
      </c>
      <c r="F31" s="18">
        <v>2901.659999999998</v>
      </c>
      <c r="G31" s="43">
        <v>-253.29</v>
      </c>
      <c r="H31" s="32">
        <f t="shared" si="1"/>
        <v>8.7291412501809371E-2</v>
      </c>
      <c r="I31" s="32">
        <f t="shared" si="2"/>
        <v>0.16125623382822202</v>
      </c>
      <c r="J31" s="33">
        <f t="shared" si="5"/>
        <v>467.9107634499984</v>
      </c>
      <c r="K31" s="33">
        <f t="shared" si="3"/>
        <v>4.2537342131818034</v>
      </c>
      <c r="L31" s="17">
        <v>261</v>
      </c>
      <c r="M31" s="34">
        <f t="shared" si="6"/>
        <v>0.42145593869731801</v>
      </c>
      <c r="N31" s="17">
        <v>753</v>
      </c>
      <c r="O31" s="35">
        <f t="shared" ref="O31:P31" si="39">D31/7</f>
        <v>15.714285714285714</v>
      </c>
      <c r="P31" s="35">
        <f t="shared" si="39"/>
        <v>1</v>
      </c>
      <c r="Q31" s="30">
        <f t="shared" si="8"/>
        <v>45</v>
      </c>
      <c r="R31" s="30"/>
      <c r="S31" s="22">
        <v>1.07899049491969</v>
      </c>
      <c r="T31" s="15" t="s">
        <v>56</v>
      </c>
      <c r="U31" s="23" t="s">
        <v>56</v>
      </c>
      <c r="V31" s="1" t="s">
        <v>57</v>
      </c>
      <c r="W31" s="15">
        <v>13</v>
      </c>
      <c r="X31" s="39">
        <f t="shared" si="9"/>
        <v>0.11818181818181818</v>
      </c>
      <c r="Y31" s="40">
        <f t="shared" si="10"/>
        <v>4.6052727272727267</v>
      </c>
      <c r="Z31" s="15">
        <v>42</v>
      </c>
      <c r="AA31" s="15" t="s">
        <v>58</v>
      </c>
      <c r="AB31" s="41">
        <f t="shared" si="11"/>
        <v>-0.69</v>
      </c>
      <c r="AC31" s="28">
        <v>0.21141764583333333</v>
      </c>
      <c r="AD31" s="40">
        <f t="shared" si="12"/>
        <v>-32.093198637500002</v>
      </c>
      <c r="AE31" s="44">
        <v>-7.18</v>
      </c>
      <c r="AF31" s="44">
        <v>-8.393791253749999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26.295454545454547</v>
      </c>
      <c r="D32" s="17">
        <v>99</v>
      </c>
      <c r="E32" s="17">
        <v>3</v>
      </c>
      <c r="F32" s="18">
        <v>2603.25</v>
      </c>
      <c r="G32" s="18">
        <v>-101.44</v>
      </c>
      <c r="H32" s="32">
        <f t="shared" si="1"/>
        <v>3.8966676270047053E-2</v>
      </c>
      <c r="I32" s="32">
        <f t="shared" si="2"/>
        <v>0.20767628430039406</v>
      </c>
      <c r="J32" s="33">
        <f t="shared" si="5"/>
        <v>540.63328710500082</v>
      </c>
      <c r="K32" s="33">
        <f t="shared" si="3"/>
        <v>5.4609422939899073</v>
      </c>
      <c r="L32" s="17">
        <v>179</v>
      </c>
      <c r="M32" s="34">
        <f t="shared" si="6"/>
        <v>0.55307262569832405</v>
      </c>
      <c r="N32" s="17">
        <v>637</v>
      </c>
      <c r="O32" s="35">
        <f t="shared" ref="O32:P32" si="40">D32/7</f>
        <v>14.142857142857142</v>
      </c>
      <c r="P32" s="35">
        <f t="shared" si="40"/>
        <v>0.42857142857142855</v>
      </c>
      <c r="Q32" s="30">
        <f t="shared" si="8"/>
        <v>43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1.53479125248509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9</v>
      </c>
      <c r="X32" s="39">
        <f t="shared" si="9"/>
        <v>9.0909090909090912E-2</v>
      </c>
      <c r="Y32" s="40">
        <f t="shared" si="10"/>
        <v>4.2266666666666666</v>
      </c>
      <c r="Z32" s="15">
        <v>15</v>
      </c>
      <c r="AA32" s="15" t="s">
        <v>58</v>
      </c>
      <c r="AB32" s="41">
        <f t="shared" si="11"/>
        <v>-0.69</v>
      </c>
      <c r="AC32" s="28">
        <v>0.21141764583333333</v>
      </c>
      <c r="AD32" s="40">
        <f t="shared" si="12"/>
        <v>-28.883878773749998</v>
      </c>
      <c r="AE32" s="26">
        <v>-7.18</v>
      </c>
      <c r="AF32" s="26">
        <v>-8.3937912537499901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97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Info!B1:BJ7000""),3,FALSE),"""")"),"Professional Cornhole Bags - Set of 8 Regulation All Weather Two Sided Bean Bags for Pro Corn Hole Game - 4 Orange &amp; 4 Gray")</f>
        <v>Professional Cornhole Bags - Set of 8 Regulation All Weather Two Sided Bean Bags for Pro Corn Hole Game - 4 Orange &amp; 4 Gray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Info!B1:BJ7000""),2,FALSE),"""")"),"B07ZTN53MP")</f>
        <v>B07ZTN53MP</v>
      </c>
      <c r="B2" s="47" t="s">
        <v>729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18.32210735735293</v>
      </c>
      <c r="D3" s="5">
        <f>SUM(D4:D99765)</f>
        <v>866</v>
      </c>
      <c r="E3" s="5"/>
      <c r="F3" s="6">
        <f t="shared" ref="F3:G3" si="0">SUM(F4:F99765)</f>
        <v>26161.250000000007</v>
      </c>
      <c r="G3" s="6">
        <f t="shared" si="0"/>
        <v>-2747.1600000000003</v>
      </c>
      <c r="H3" s="7">
        <f t="shared" ref="H3:H32" si="1">G3/F3*-1</f>
        <v>0.10500874384824882</v>
      </c>
      <c r="I3" s="8">
        <f t="shared" ref="I3:I32" si="2">J3/F3</f>
        <v>0.20569727705049667</v>
      </c>
      <c r="J3" s="6">
        <f>SUM(J4:J99765)</f>
        <v>5381.2978892373076</v>
      </c>
      <c r="K3" s="6">
        <f t="shared" ref="K3:K32" si="3">J3/D3</f>
        <v>6.2139698490038198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Sheet!a1:g5000""),2,FALSE),"""")"),"6.5 - March
8 - April
5.5 - May
10 - June
9.5 - July
5.5 - Aug
5 - Sept
3 - Oct
2.5 - Nov
4 - Dec
1 - Jan
2 - Feb")</f>
        <v>6.5 - March
8 - April
5.5 - May
10 - June
9.5 - July
5.5 - Aug
5 - Sept
3 - Oct
2.5 - Nov
4 - Dec
1 -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QTY-320")</f>
        <v>US QTY-320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183</v>
      </c>
      <c r="X3" s="7">
        <f>W3/D3</f>
        <v>0.2113163972286374</v>
      </c>
      <c r="Y3" s="6"/>
      <c r="Z3" s="5"/>
      <c r="AA3" s="5"/>
      <c r="AB3" s="5"/>
      <c r="AC3" s="5"/>
      <c r="AD3" s="6">
        <f>SUM(AD4:AD99765)</f>
        <v>-242.94788833782698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395</v>
      </c>
      <c r="C4" s="16">
        <f t="shared" ref="C4:C32" si="4">IFERROR(F4/D4," - ")</f>
        <v>21.257000000000005</v>
      </c>
      <c r="D4" s="17">
        <v>30</v>
      </c>
      <c r="E4" s="17">
        <v>3</v>
      </c>
      <c r="F4" s="18">
        <v>637.71000000000015</v>
      </c>
      <c r="G4" s="18">
        <v>-113.57</v>
      </c>
      <c r="H4" s="19">
        <f t="shared" si="1"/>
        <v>0.17809035454987371</v>
      </c>
      <c r="I4" s="19">
        <f t="shared" si="2"/>
        <v>-1.625387152507617E-2</v>
      </c>
      <c r="J4" s="18">
        <f t="shared" ref="J4:J32" si="5">F4*0.85+G4+AF4*D4+D4*AE4+AG4+AD4</f>
        <v>-10.365256410256327</v>
      </c>
      <c r="K4" s="18">
        <f t="shared" si="3"/>
        <v>-0.34550854700854422</v>
      </c>
      <c r="L4" s="17">
        <v>78</v>
      </c>
      <c r="M4" s="20">
        <f t="shared" ref="M4:M32" si="6">IFERROR(D4/L4,"-")</f>
        <v>0.38461538461538464</v>
      </c>
      <c r="N4" s="17">
        <v>98</v>
      </c>
      <c r="O4" s="21">
        <f t="shared" ref="O4:P4" si="7">D4/7</f>
        <v>4.2857142857142856</v>
      </c>
      <c r="P4" s="21">
        <f t="shared" si="7"/>
        <v>0.42857142857142855</v>
      </c>
      <c r="Q4" s="17">
        <f t="shared" ref="Q4:Q32" si="8">ROUNDDOWN(N4/(O4+P4),0)</f>
        <v>20</v>
      </c>
      <c r="R4" s="17"/>
      <c r="S4" s="22">
        <v>1.35619641465315</v>
      </c>
      <c r="T4" s="15">
        <v>1400</v>
      </c>
      <c r="U4" s="23">
        <v>368</v>
      </c>
      <c r="V4" s="24" t="s">
        <v>730</v>
      </c>
      <c r="W4" s="15">
        <v>8</v>
      </c>
      <c r="X4" s="25">
        <f t="shared" ref="X4:X32" si="9">IFERROR(W4/D4,0)</f>
        <v>0.26666666666666666</v>
      </c>
      <c r="Y4" s="26">
        <f t="shared" ref="Y4:Y32" si="10">IFERROR(G4/(W4+Z4)*-1,0)</f>
        <v>3.2448571428571427</v>
      </c>
      <c r="Z4" s="15">
        <v>27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0.12731481481481483</v>
      </c>
      <c r="AD4" s="26">
        <f t="shared" ref="AD4:AD32" si="12">IFERROR(AB4*AC4*D4*2,0)</f>
        <v>-5.2708333333333339</v>
      </c>
      <c r="AE4" s="26">
        <v>-7.32</v>
      </c>
      <c r="AF4" s="26">
        <v>-7.132597435897436</v>
      </c>
      <c r="AG4" s="26">
        <v>0</v>
      </c>
    </row>
    <row r="5" spans="1:33" ht="15.75" customHeight="1" x14ac:dyDescent="0.2">
      <c r="A5" s="29" t="s">
        <v>33</v>
      </c>
      <c r="B5" s="29" t="s">
        <v>731</v>
      </c>
      <c r="C5" s="16">
        <f t="shared" si="4"/>
        <v>20.890500000000003</v>
      </c>
      <c r="D5" s="30">
        <v>20</v>
      </c>
      <c r="E5" s="30">
        <v>3</v>
      </c>
      <c r="F5" s="31">
        <v>417.81000000000006</v>
      </c>
      <c r="G5" s="31">
        <v>-16.439999999999998</v>
      </c>
      <c r="H5" s="32">
        <f t="shared" si="1"/>
        <v>3.9348029008400939E-2</v>
      </c>
      <c r="I5" s="32">
        <f t="shared" si="2"/>
        <v>0.11040566448745133</v>
      </c>
      <c r="J5" s="33">
        <f t="shared" si="5"/>
        <v>46.128590679502047</v>
      </c>
      <c r="K5" s="33">
        <f t="shared" si="3"/>
        <v>2.3064295339751024</v>
      </c>
      <c r="L5" s="30">
        <v>60</v>
      </c>
      <c r="M5" s="34">
        <f t="shared" si="6"/>
        <v>0.33333333333333331</v>
      </c>
      <c r="N5" s="30">
        <v>75</v>
      </c>
      <c r="O5" s="35">
        <f t="shared" ref="O5:P5" si="13">D5/7</f>
        <v>2.8571428571428572</v>
      </c>
      <c r="P5" s="35">
        <f t="shared" si="13"/>
        <v>0.42857142857142855</v>
      </c>
      <c r="Q5" s="30">
        <f t="shared" si="8"/>
        <v>22</v>
      </c>
      <c r="R5" s="30"/>
      <c r="S5" s="36">
        <v>1.49907918968692</v>
      </c>
      <c r="T5" s="29">
        <v>1400</v>
      </c>
      <c r="U5" s="37">
        <v>368</v>
      </c>
      <c r="V5" s="38" t="s">
        <v>732</v>
      </c>
      <c r="W5" s="29">
        <v>0</v>
      </c>
      <c r="X5" s="39">
        <f t="shared" si="9"/>
        <v>0</v>
      </c>
      <c r="Y5" s="40">
        <f t="shared" si="10"/>
        <v>1.8266666666666664</v>
      </c>
      <c r="Z5" s="29">
        <v>9</v>
      </c>
      <c r="AA5" s="29" t="s">
        <v>58</v>
      </c>
      <c r="AB5" s="41">
        <f t="shared" si="11"/>
        <v>-0.69</v>
      </c>
      <c r="AC5" s="42">
        <v>0.12746234067207415</v>
      </c>
      <c r="AD5" s="40">
        <f t="shared" si="12"/>
        <v>-3.5179606025492465</v>
      </c>
      <c r="AE5" s="40">
        <v>-7.32</v>
      </c>
      <c r="AF5" s="40">
        <v>-7.132597435897436</v>
      </c>
      <c r="AG5" s="40">
        <v>0</v>
      </c>
    </row>
    <row r="6" spans="1:33" ht="15.75" customHeight="1" x14ac:dyDescent="0.2">
      <c r="A6" s="29" t="s">
        <v>34</v>
      </c>
      <c r="B6" s="29" t="s">
        <v>452</v>
      </c>
      <c r="C6" s="16">
        <f t="shared" si="4"/>
        <v>24.593000000000004</v>
      </c>
      <c r="D6" s="30">
        <v>10</v>
      </c>
      <c r="E6" s="30">
        <v>6</v>
      </c>
      <c r="F6" s="31">
        <v>245.93000000000004</v>
      </c>
      <c r="G6" s="31">
        <v>0</v>
      </c>
      <c r="H6" s="32">
        <f t="shared" si="1"/>
        <v>0</v>
      </c>
      <c r="I6" s="32">
        <f t="shared" si="2"/>
        <v>0.24702387344602611</v>
      </c>
      <c r="J6" s="33">
        <f t="shared" si="5"/>
        <v>60.750581196581209</v>
      </c>
      <c r="K6" s="33">
        <f t="shared" si="3"/>
        <v>6.075058119658121</v>
      </c>
      <c r="L6" s="30">
        <v>54</v>
      </c>
      <c r="M6" s="34">
        <f t="shared" si="6"/>
        <v>0.18518518518518517</v>
      </c>
      <c r="N6" s="30">
        <v>57</v>
      </c>
      <c r="O6" s="35">
        <f t="shared" ref="O6:P6" si="14">D6/7</f>
        <v>1.4285714285714286</v>
      </c>
      <c r="P6" s="35">
        <f t="shared" si="14"/>
        <v>0.8571428571428571</v>
      </c>
      <c r="Q6" s="30">
        <f t="shared" si="8"/>
        <v>24</v>
      </c>
      <c r="R6" s="30"/>
      <c r="S6" s="36">
        <v>1.6748140276301799</v>
      </c>
      <c r="T6" s="29">
        <v>1400</v>
      </c>
      <c r="U6" s="37">
        <v>368</v>
      </c>
      <c r="V6" s="38" t="s">
        <v>733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58</v>
      </c>
      <c r="AB6" s="41">
        <f t="shared" si="11"/>
        <v>-0.69</v>
      </c>
      <c r="AC6" s="42">
        <v>0.12731481481481483</v>
      </c>
      <c r="AD6" s="40">
        <f t="shared" si="12"/>
        <v>-1.7569444444444446</v>
      </c>
      <c r="AE6" s="40">
        <v>-7.32</v>
      </c>
      <c r="AF6" s="40">
        <v>-7.3332974358974363</v>
      </c>
      <c r="AG6" s="40">
        <v>0</v>
      </c>
    </row>
    <row r="7" spans="1:33" ht="15.75" customHeight="1" x14ac:dyDescent="0.2">
      <c r="A7" s="29" t="s">
        <v>35</v>
      </c>
      <c r="B7" s="29" t="s">
        <v>734</v>
      </c>
      <c r="C7" s="16">
        <f t="shared" si="4"/>
        <v>30.207142857142856</v>
      </c>
      <c r="D7" s="30">
        <v>7</v>
      </c>
      <c r="E7" s="30">
        <v>11</v>
      </c>
      <c r="F7" s="31">
        <v>211.45</v>
      </c>
      <c r="G7" s="31">
        <v>0</v>
      </c>
      <c r="H7" s="32">
        <f t="shared" si="1"/>
        <v>0</v>
      </c>
      <c r="I7" s="32">
        <f t="shared" si="2"/>
        <v>0.35908988809461728</v>
      </c>
      <c r="J7" s="33">
        <f t="shared" si="5"/>
        <v>75.929556837606825</v>
      </c>
      <c r="K7" s="33">
        <f t="shared" si="3"/>
        <v>10.847079548229546</v>
      </c>
      <c r="L7" s="30">
        <v>48</v>
      </c>
      <c r="M7" s="34">
        <f t="shared" si="6"/>
        <v>0.14583333333333334</v>
      </c>
      <c r="N7" s="30">
        <v>38</v>
      </c>
      <c r="O7" s="35">
        <f t="shared" ref="O7:P7" si="15">D7/7</f>
        <v>1</v>
      </c>
      <c r="P7" s="35">
        <f t="shared" si="15"/>
        <v>1.5714285714285714</v>
      </c>
      <c r="Q7" s="30">
        <f t="shared" si="8"/>
        <v>14</v>
      </c>
      <c r="R7" s="30"/>
      <c r="S7" s="36">
        <v>1.8190476190476099</v>
      </c>
      <c r="T7" s="29">
        <v>1400</v>
      </c>
      <c r="U7" s="37">
        <v>368</v>
      </c>
      <c r="V7" s="38" t="s">
        <v>733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58</v>
      </c>
      <c r="AB7" s="41">
        <f t="shared" si="11"/>
        <v>-0.69</v>
      </c>
      <c r="AC7" s="42">
        <v>0.12731481481481483</v>
      </c>
      <c r="AD7" s="40">
        <f t="shared" si="12"/>
        <v>-1.2298611111111113</v>
      </c>
      <c r="AE7" s="40">
        <v>-7.32</v>
      </c>
      <c r="AF7" s="40">
        <v>-7.3332974358974363</v>
      </c>
      <c r="AG7" s="40">
        <v>0</v>
      </c>
    </row>
    <row r="8" spans="1:33" ht="15.75" customHeight="1" x14ac:dyDescent="0.2">
      <c r="A8" s="29" t="s">
        <v>36</v>
      </c>
      <c r="B8" s="29" t="s">
        <v>452</v>
      </c>
      <c r="C8" s="16">
        <f t="shared" si="4"/>
        <v>32.664999999999999</v>
      </c>
      <c r="D8" s="30">
        <v>10</v>
      </c>
      <c r="E8" s="30">
        <v>4</v>
      </c>
      <c r="F8" s="31">
        <v>326.64999999999998</v>
      </c>
      <c r="G8" s="31">
        <v>0</v>
      </c>
      <c r="H8" s="32">
        <f t="shared" si="1"/>
        <v>0</v>
      </c>
      <c r="I8" s="32">
        <f t="shared" si="2"/>
        <v>0.39612905420344569</v>
      </c>
      <c r="J8" s="33">
        <f t="shared" si="5"/>
        <v>129.39555555555552</v>
      </c>
      <c r="K8" s="33">
        <f t="shared" si="3"/>
        <v>12.939555555555552</v>
      </c>
      <c r="L8" s="30">
        <v>34</v>
      </c>
      <c r="M8" s="34">
        <f t="shared" si="6"/>
        <v>0.29411764705882354</v>
      </c>
      <c r="N8" s="30">
        <v>23</v>
      </c>
      <c r="O8" s="35">
        <f t="shared" ref="O8:P8" si="16">D8/7</f>
        <v>1.4285714285714286</v>
      </c>
      <c r="P8" s="35">
        <f t="shared" si="16"/>
        <v>0.5714285714285714</v>
      </c>
      <c r="Q8" s="30">
        <f t="shared" si="8"/>
        <v>11</v>
      </c>
      <c r="R8" s="30"/>
      <c r="S8" s="36">
        <v>1.8381070983810699</v>
      </c>
      <c r="T8" s="29">
        <v>1400</v>
      </c>
      <c r="U8" s="37">
        <v>368</v>
      </c>
      <c r="V8" s="38" t="s">
        <v>735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58</v>
      </c>
      <c r="AB8" s="41">
        <f t="shared" si="11"/>
        <v>-0.69</v>
      </c>
      <c r="AC8" s="42">
        <v>0.12731481481481483</v>
      </c>
      <c r="AD8" s="40">
        <f t="shared" si="12"/>
        <v>-1.7569444444444446</v>
      </c>
      <c r="AE8" s="40">
        <v>-7.32</v>
      </c>
      <c r="AF8" s="40">
        <v>-7.33</v>
      </c>
      <c r="AG8" s="40">
        <v>0</v>
      </c>
    </row>
    <row r="9" spans="1:33" ht="15.75" customHeight="1" x14ac:dyDescent="0.2">
      <c r="A9" s="29" t="s">
        <v>37</v>
      </c>
      <c r="B9" s="29" t="s">
        <v>736</v>
      </c>
      <c r="C9" s="16">
        <f t="shared" si="4"/>
        <v>34.21</v>
      </c>
      <c r="D9" s="30">
        <v>8</v>
      </c>
      <c r="E9" s="30">
        <v>1</v>
      </c>
      <c r="F9" s="31">
        <v>273.68</v>
      </c>
      <c r="G9" s="31">
        <v>0</v>
      </c>
      <c r="H9" s="32">
        <f t="shared" si="1"/>
        <v>0</v>
      </c>
      <c r="I9" s="32">
        <f t="shared" si="2"/>
        <v>0.40620587522516788</v>
      </c>
      <c r="J9" s="33">
        <f t="shared" si="5"/>
        <v>111.17042393162394</v>
      </c>
      <c r="K9" s="33">
        <f t="shared" si="3"/>
        <v>13.896302991452993</v>
      </c>
      <c r="L9" s="30">
        <v>29</v>
      </c>
      <c r="M9" s="34">
        <f t="shared" si="6"/>
        <v>0.27586206896551724</v>
      </c>
      <c r="N9" s="30">
        <v>18</v>
      </c>
      <c r="O9" s="35">
        <f t="shared" ref="O9:P9" si="17">D9/7</f>
        <v>1.1428571428571428</v>
      </c>
      <c r="P9" s="35">
        <f t="shared" si="17"/>
        <v>0.14285714285714285</v>
      </c>
      <c r="Q9" s="30">
        <f t="shared" si="8"/>
        <v>14</v>
      </c>
      <c r="R9" s="30"/>
      <c r="S9" s="36">
        <v>2.0556368960468498</v>
      </c>
      <c r="T9" s="29">
        <v>1400</v>
      </c>
      <c r="U9" s="37">
        <v>368</v>
      </c>
      <c r="V9" s="38" t="s">
        <v>737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58</v>
      </c>
      <c r="AB9" s="41">
        <f t="shared" si="11"/>
        <v>-0.69</v>
      </c>
      <c r="AC9" s="42">
        <v>0.12731481481481483</v>
      </c>
      <c r="AD9" s="40">
        <f t="shared" si="12"/>
        <v>-1.4055555555555557</v>
      </c>
      <c r="AE9" s="40">
        <v>-7.32</v>
      </c>
      <c r="AF9" s="40">
        <v>-7.6865025641025602</v>
      </c>
      <c r="AG9" s="40">
        <v>0</v>
      </c>
    </row>
    <row r="10" spans="1:33" ht="15.75" customHeight="1" x14ac:dyDescent="0.2">
      <c r="A10" s="29" t="s">
        <v>38</v>
      </c>
      <c r="B10" s="29" t="s">
        <v>738</v>
      </c>
      <c r="C10" s="16">
        <f t="shared" si="4"/>
        <v>30.95</v>
      </c>
      <c r="D10" s="30">
        <v>1</v>
      </c>
      <c r="E10" s="30">
        <v>0</v>
      </c>
      <c r="F10" s="31">
        <v>30.95</v>
      </c>
      <c r="G10" s="31">
        <v>0</v>
      </c>
      <c r="H10" s="32">
        <f t="shared" si="1"/>
        <v>0</v>
      </c>
      <c r="I10" s="32">
        <f t="shared" si="2"/>
        <v>0.35946051668668794</v>
      </c>
      <c r="J10" s="33">
        <f t="shared" si="5"/>
        <v>11.125302991452992</v>
      </c>
      <c r="K10" s="33">
        <f t="shared" si="3"/>
        <v>11.125302991452992</v>
      </c>
      <c r="L10" s="30">
        <v>0</v>
      </c>
      <c r="M10" s="34" t="str">
        <f t="shared" si="6"/>
        <v>-</v>
      </c>
      <c r="N10" s="30">
        <v>14</v>
      </c>
      <c r="O10" s="35">
        <f t="shared" ref="O10:P10" si="18">D10/7</f>
        <v>0.14285714285714285</v>
      </c>
      <c r="P10" s="35">
        <f t="shared" si="18"/>
        <v>0</v>
      </c>
      <c r="Q10" s="30">
        <f t="shared" si="8"/>
        <v>98</v>
      </c>
      <c r="R10" s="30"/>
      <c r="S10" s="36">
        <v>2.2916666666666599</v>
      </c>
      <c r="T10" s="29">
        <v>1400</v>
      </c>
      <c r="U10" s="37">
        <v>368</v>
      </c>
      <c r="V10" s="38" t="s">
        <v>739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58</v>
      </c>
      <c r="AB10" s="41">
        <f t="shared" si="11"/>
        <v>-0.69</v>
      </c>
      <c r="AC10" s="42">
        <v>0.12731481481481483</v>
      </c>
      <c r="AD10" s="40">
        <f t="shared" si="12"/>
        <v>-0.17569444444444446</v>
      </c>
      <c r="AE10" s="40">
        <v>-7.32</v>
      </c>
      <c r="AF10" s="40">
        <v>-7.6865025641025602</v>
      </c>
      <c r="AG10" s="40">
        <v>0</v>
      </c>
    </row>
    <row r="11" spans="1:33" ht="15.75" customHeight="1" x14ac:dyDescent="0.2">
      <c r="A11" s="29" t="s">
        <v>39</v>
      </c>
      <c r="B11" s="29" t="s">
        <v>179</v>
      </c>
      <c r="C11" s="16">
        <f t="shared" si="4"/>
        <v>29.95</v>
      </c>
      <c r="D11" s="30">
        <v>2</v>
      </c>
      <c r="E11" s="30">
        <v>1</v>
      </c>
      <c r="F11" s="31">
        <v>59.9</v>
      </c>
      <c r="G11" s="31">
        <v>0</v>
      </c>
      <c r="H11" s="32">
        <f t="shared" si="1"/>
        <v>0</v>
      </c>
      <c r="I11" s="32">
        <f t="shared" si="2"/>
        <v>0.34308190288657747</v>
      </c>
      <c r="J11" s="33">
        <f t="shared" si="5"/>
        <v>20.550605982905989</v>
      </c>
      <c r="K11" s="33">
        <f t="shared" si="3"/>
        <v>10.275302991452994</v>
      </c>
      <c r="L11" s="30">
        <v>28</v>
      </c>
      <c r="M11" s="34">
        <f t="shared" si="6"/>
        <v>7.1428571428571425E-2</v>
      </c>
      <c r="N11" s="30">
        <v>8</v>
      </c>
      <c r="O11" s="35">
        <f t="shared" ref="O11:P11" si="19">D11/7</f>
        <v>0.2857142857142857</v>
      </c>
      <c r="P11" s="35">
        <f t="shared" si="19"/>
        <v>0.14285714285714285</v>
      </c>
      <c r="Q11" s="30">
        <f t="shared" si="8"/>
        <v>18</v>
      </c>
      <c r="R11" s="30"/>
      <c r="S11" s="36">
        <v>2.5319587628865898</v>
      </c>
      <c r="T11" s="29">
        <v>1388</v>
      </c>
      <c r="U11" s="37">
        <v>368</v>
      </c>
      <c r="V11" s="38" t="s">
        <v>740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58</v>
      </c>
      <c r="AB11" s="41">
        <f t="shared" si="11"/>
        <v>-0.69</v>
      </c>
      <c r="AC11" s="42">
        <v>0.12731481481481483</v>
      </c>
      <c r="AD11" s="40">
        <f t="shared" si="12"/>
        <v>-0.35138888888888892</v>
      </c>
      <c r="AE11" s="40">
        <v>-7.32</v>
      </c>
      <c r="AF11" s="40">
        <v>-7.6865025641025602</v>
      </c>
      <c r="AG11" s="40">
        <v>0</v>
      </c>
    </row>
    <row r="12" spans="1:33" ht="15.75" customHeight="1" x14ac:dyDescent="0.2">
      <c r="A12" s="29" t="s">
        <v>40</v>
      </c>
      <c r="B12" s="29" t="s">
        <v>179</v>
      </c>
      <c r="C12" s="16">
        <f t="shared" si="4"/>
        <v>29.95</v>
      </c>
      <c r="D12" s="30">
        <v>6</v>
      </c>
      <c r="E12" s="30">
        <v>0</v>
      </c>
      <c r="F12" s="31">
        <v>179.7</v>
      </c>
      <c r="G12" s="31">
        <v>0</v>
      </c>
      <c r="H12" s="32">
        <f t="shared" si="1"/>
        <v>0</v>
      </c>
      <c r="I12" s="32">
        <f t="shared" si="2"/>
        <v>0.34308190288657742</v>
      </c>
      <c r="J12" s="33">
        <f t="shared" si="5"/>
        <v>61.651817948717955</v>
      </c>
      <c r="K12" s="33">
        <f t="shared" si="3"/>
        <v>10.275302991452993</v>
      </c>
      <c r="L12" s="30">
        <v>22</v>
      </c>
      <c r="M12" s="34">
        <f t="shared" si="6"/>
        <v>0.27272727272727271</v>
      </c>
      <c r="N12" s="30">
        <v>2</v>
      </c>
      <c r="O12" s="35">
        <f t="shared" ref="O12:P12" si="20">D12/7</f>
        <v>0.8571428571428571</v>
      </c>
      <c r="P12" s="35">
        <f t="shared" si="20"/>
        <v>0</v>
      </c>
      <c r="Q12" s="30">
        <f t="shared" si="8"/>
        <v>2</v>
      </c>
      <c r="R12" s="30"/>
      <c r="S12" s="36">
        <v>2.3799582463465501</v>
      </c>
      <c r="T12" s="29">
        <v>788</v>
      </c>
      <c r="U12" s="37">
        <v>368</v>
      </c>
      <c r="V12" s="38" t="s">
        <v>741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58</v>
      </c>
      <c r="AB12" s="41">
        <f t="shared" si="11"/>
        <v>-0.69</v>
      </c>
      <c r="AC12" s="42">
        <v>0.12731481481481483</v>
      </c>
      <c r="AD12" s="40">
        <f t="shared" si="12"/>
        <v>-1.0541666666666667</v>
      </c>
      <c r="AE12" s="40">
        <v>-7.32</v>
      </c>
      <c r="AF12" s="40">
        <v>-7.6865025641025602</v>
      </c>
      <c r="AG12" s="40">
        <v>0</v>
      </c>
    </row>
    <row r="13" spans="1:33" ht="15.75" customHeight="1" x14ac:dyDescent="0.2">
      <c r="A13" s="29" t="s">
        <v>41</v>
      </c>
      <c r="B13" s="29" t="s">
        <v>179</v>
      </c>
      <c r="C13" s="16">
        <f t="shared" si="4"/>
        <v>29.95</v>
      </c>
      <c r="D13" s="30">
        <v>3</v>
      </c>
      <c r="E13" s="30">
        <v>0</v>
      </c>
      <c r="F13" s="33">
        <v>89.85</v>
      </c>
      <c r="G13" s="31">
        <v>0</v>
      </c>
      <c r="H13" s="32">
        <f t="shared" si="1"/>
        <v>0</v>
      </c>
      <c r="I13" s="32">
        <f t="shared" si="2"/>
        <v>0.33687497681320711</v>
      </c>
      <c r="J13" s="33">
        <f t="shared" si="5"/>
        <v>30.268216666666657</v>
      </c>
      <c r="K13" s="33">
        <f t="shared" si="3"/>
        <v>10.089405555555553</v>
      </c>
      <c r="L13" s="30">
        <v>11</v>
      </c>
      <c r="M13" s="34">
        <f t="shared" si="6"/>
        <v>0.27272727272727271</v>
      </c>
      <c r="N13" s="30">
        <v>2</v>
      </c>
      <c r="O13" s="35">
        <f t="shared" ref="O13:P13" si="21">D13/7</f>
        <v>0.42857142857142855</v>
      </c>
      <c r="P13" s="35">
        <f t="shared" si="21"/>
        <v>0</v>
      </c>
      <c r="Q13" s="30">
        <f t="shared" si="8"/>
        <v>4</v>
      </c>
      <c r="R13" s="30"/>
      <c r="S13" s="36">
        <v>2.3736263736263701</v>
      </c>
      <c r="T13" s="29">
        <v>420</v>
      </c>
      <c r="U13" s="37">
        <v>420</v>
      </c>
      <c r="V13" s="38" t="s">
        <v>742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58</v>
      </c>
      <c r="AB13" s="41">
        <f t="shared" si="11"/>
        <v>-0.69</v>
      </c>
      <c r="AC13" s="42">
        <v>0.12731481481481483</v>
      </c>
      <c r="AD13" s="40">
        <f t="shared" si="12"/>
        <v>-0.52708333333333335</v>
      </c>
      <c r="AE13" s="40">
        <v>-7.32</v>
      </c>
      <c r="AF13" s="40">
        <v>-7.8723999999999998</v>
      </c>
      <c r="AG13" s="40">
        <v>0</v>
      </c>
    </row>
    <row r="14" spans="1:33" ht="15.75" customHeight="1" x14ac:dyDescent="0.2">
      <c r="A14" s="29" t="s">
        <v>42</v>
      </c>
      <c r="B14" s="29" t="s">
        <v>743</v>
      </c>
      <c r="C14" s="16" t="str">
        <f t="shared" si="4"/>
        <v xml:space="preserve"> - </v>
      </c>
      <c r="D14" s="30">
        <v>0</v>
      </c>
      <c r="E14" s="30">
        <v>2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1</v>
      </c>
      <c r="O14" s="35">
        <f t="shared" ref="O14:P14" si="22">D14/7</f>
        <v>0</v>
      </c>
      <c r="P14" s="35">
        <f t="shared" si="22"/>
        <v>0.2857142857142857</v>
      </c>
      <c r="Q14" s="30">
        <f t="shared" si="8"/>
        <v>3</v>
      </c>
      <c r="R14" s="30"/>
      <c r="S14" s="36" t="e">
        <v>#N/A</v>
      </c>
      <c r="T14" s="29">
        <v>420</v>
      </c>
      <c r="U14" s="37">
        <v>420</v>
      </c>
      <c r="V14" s="38" t="s">
        <v>742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-7.8723999999999998</v>
      </c>
      <c r="AG14" s="40">
        <v>0</v>
      </c>
    </row>
    <row r="15" spans="1:33" ht="15.75" customHeight="1" x14ac:dyDescent="0.2">
      <c r="A15" s="29" t="s">
        <v>43</v>
      </c>
      <c r="B15" s="29" t="s">
        <v>462</v>
      </c>
      <c r="C15" s="16">
        <f t="shared" si="4"/>
        <v>29.95</v>
      </c>
      <c r="D15" s="30">
        <v>11</v>
      </c>
      <c r="E15" s="30">
        <v>2</v>
      </c>
      <c r="F15" s="33">
        <v>329.45</v>
      </c>
      <c r="G15" s="31">
        <v>0</v>
      </c>
      <c r="H15" s="32">
        <f t="shared" si="1"/>
        <v>0</v>
      </c>
      <c r="I15" s="32">
        <f t="shared" si="2"/>
        <v>0.33687497681320705</v>
      </c>
      <c r="J15" s="33">
        <f t="shared" si="5"/>
        <v>110.98346111111105</v>
      </c>
      <c r="K15" s="33">
        <f t="shared" si="3"/>
        <v>10.089405555555551</v>
      </c>
      <c r="L15" s="30">
        <v>22</v>
      </c>
      <c r="M15" s="34">
        <f t="shared" si="6"/>
        <v>0.5</v>
      </c>
      <c r="N15" s="30">
        <v>338</v>
      </c>
      <c r="O15" s="35">
        <f t="shared" ref="O15:P15" si="23">D15/7</f>
        <v>1.5714285714285714</v>
      </c>
      <c r="P15" s="35">
        <f t="shared" si="23"/>
        <v>0.2857142857142857</v>
      </c>
      <c r="Q15" s="30">
        <f t="shared" si="8"/>
        <v>182</v>
      </c>
      <c r="R15" s="30"/>
      <c r="S15" s="36">
        <v>1.12390924956369</v>
      </c>
      <c r="T15" s="29">
        <v>420</v>
      </c>
      <c r="U15" s="37">
        <v>420</v>
      </c>
      <c r="V15" s="38" t="s">
        <v>742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58</v>
      </c>
      <c r="AB15" s="41">
        <f t="shared" si="11"/>
        <v>-0.69</v>
      </c>
      <c r="AC15" s="42">
        <v>0.12731481481481483</v>
      </c>
      <c r="AD15" s="40">
        <f t="shared" si="12"/>
        <v>-1.932638888888889</v>
      </c>
      <c r="AE15" s="40">
        <v>-7.32</v>
      </c>
      <c r="AF15" s="40">
        <v>-7.8723999999999998</v>
      </c>
      <c r="AG15" s="40">
        <v>0</v>
      </c>
    </row>
    <row r="16" spans="1:33" ht="15.75" customHeight="1" x14ac:dyDescent="0.2">
      <c r="A16" s="29" t="s">
        <v>44</v>
      </c>
      <c r="B16" s="29" t="s">
        <v>744</v>
      </c>
      <c r="C16" s="16">
        <f t="shared" si="4"/>
        <v>29.950000000000003</v>
      </c>
      <c r="D16" s="30">
        <v>22</v>
      </c>
      <c r="E16" s="30">
        <v>0</v>
      </c>
      <c r="F16" s="33">
        <v>658.90000000000009</v>
      </c>
      <c r="G16" s="31">
        <v>-36.480000000000004</v>
      </c>
      <c r="H16" s="32">
        <f t="shared" si="1"/>
        <v>5.5365002276521476E-2</v>
      </c>
      <c r="I16" s="32">
        <f t="shared" si="2"/>
        <v>0.2426431965734136</v>
      </c>
      <c r="J16" s="33">
        <f t="shared" si="5"/>
        <v>159.87760222222224</v>
      </c>
      <c r="K16" s="33">
        <f t="shared" si="3"/>
        <v>7.2671637373737381</v>
      </c>
      <c r="L16" s="30">
        <v>58</v>
      </c>
      <c r="M16" s="34">
        <f t="shared" si="6"/>
        <v>0.37931034482758619</v>
      </c>
      <c r="N16" s="30">
        <v>314</v>
      </c>
      <c r="O16" s="35">
        <f t="shared" ref="O16:P16" si="24">D16/7</f>
        <v>3.1428571428571428</v>
      </c>
      <c r="P16" s="35">
        <f t="shared" si="24"/>
        <v>0</v>
      </c>
      <c r="Q16" s="30">
        <f t="shared" si="8"/>
        <v>99</v>
      </c>
      <c r="R16" s="30"/>
      <c r="S16" s="36">
        <v>1.3012048192771</v>
      </c>
      <c r="T16" s="29">
        <v>420</v>
      </c>
      <c r="U16" s="37">
        <v>420</v>
      </c>
      <c r="V16" s="38" t="s">
        <v>742</v>
      </c>
      <c r="W16" s="29">
        <v>5</v>
      </c>
      <c r="X16" s="39">
        <f t="shared" si="9"/>
        <v>0.22727272727272727</v>
      </c>
      <c r="Y16" s="40">
        <f t="shared" si="10"/>
        <v>2.1458823529411766</v>
      </c>
      <c r="Z16" s="29">
        <v>12</v>
      </c>
      <c r="AA16" s="29" t="s">
        <v>58</v>
      </c>
      <c r="AB16" s="41">
        <f t="shared" si="11"/>
        <v>-0.69</v>
      </c>
      <c r="AC16" s="42">
        <v>0.12731481481481483</v>
      </c>
      <c r="AD16" s="40">
        <f t="shared" si="12"/>
        <v>-3.865277777777778</v>
      </c>
      <c r="AE16" s="40">
        <v>-7.32</v>
      </c>
      <c r="AF16" s="40">
        <v>-9.0364599999999999</v>
      </c>
      <c r="AG16" s="40">
        <v>0</v>
      </c>
    </row>
    <row r="17" spans="1:33" ht="15.75" customHeight="1" x14ac:dyDescent="0.2">
      <c r="A17" s="29" t="s">
        <v>45</v>
      </c>
      <c r="B17" s="29" t="s">
        <v>506</v>
      </c>
      <c r="C17" s="16">
        <f t="shared" si="4"/>
        <v>32.172222222222246</v>
      </c>
      <c r="D17" s="30">
        <v>36</v>
      </c>
      <c r="E17" s="30">
        <v>2</v>
      </c>
      <c r="F17" s="33">
        <v>1158.2000000000007</v>
      </c>
      <c r="G17" s="31">
        <v>-104.38</v>
      </c>
      <c r="H17" s="32">
        <f t="shared" si="1"/>
        <v>9.0122604040752827E-2</v>
      </c>
      <c r="I17" s="32">
        <f t="shared" si="2"/>
        <v>0.24016705113538281</v>
      </c>
      <c r="J17" s="33">
        <f t="shared" si="5"/>
        <v>278.16147862500054</v>
      </c>
      <c r="K17" s="33">
        <f t="shared" si="3"/>
        <v>7.7267077395833486</v>
      </c>
      <c r="L17" s="30">
        <v>97</v>
      </c>
      <c r="M17" s="34">
        <f t="shared" si="6"/>
        <v>0.37113402061855671</v>
      </c>
      <c r="N17" s="30">
        <v>281</v>
      </c>
      <c r="O17" s="35">
        <f t="shared" ref="O17:P17" si="25">D17/7</f>
        <v>5.1428571428571432</v>
      </c>
      <c r="P17" s="35">
        <f t="shared" si="25"/>
        <v>0.2857142857142857</v>
      </c>
      <c r="Q17" s="30">
        <f t="shared" si="8"/>
        <v>51</v>
      </c>
      <c r="R17" s="30"/>
      <c r="S17" s="36">
        <v>1.51351351351351</v>
      </c>
      <c r="T17" s="29">
        <v>420</v>
      </c>
      <c r="U17" s="37">
        <v>420</v>
      </c>
      <c r="V17" s="38" t="s">
        <v>742</v>
      </c>
      <c r="W17" s="29">
        <v>13</v>
      </c>
      <c r="X17" s="39">
        <f t="shared" si="9"/>
        <v>0.3611111111111111</v>
      </c>
      <c r="Y17" s="40">
        <f t="shared" si="10"/>
        <v>2.6764102564102563</v>
      </c>
      <c r="Z17" s="29">
        <v>26</v>
      </c>
      <c r="AA17" s="29" t="s">
        <v>58</v>
      </c>
      <c r="AB17" s="41">
        <f t="shared" si="11"/>
        <v>-0.69</v>
      </c>
      <c r="AC17" s="42">
        <v>0.26360630787037037</v>
      </c>
      <c r="AD17" s="40">
        <f t="shared" si="12"/>
        <v>-13.095961374999998</v>
      </c>
      <c r="AE17" s="40">
        <v>-7.32</v>
      </c>
      <c r="AF17" s="40">
        <v>-9.0364599999999999</v>
      </c>
      <c r="AG17" s="40">
        <v>0</v>
      </c>
    </row>
    <row r="18" spans="1:33" ht="15.75" customHeight="1" x14ac:dyDescent="0.2">
      <c r="A18" s="29" t="s">
        <v>46</v>
      </c>
      <c r="B18" s="29" t="s">
        <v>452</v>
      </c>
      <c r="C18" s="16">
        <f t="shared" si="4"/>
        <v>35.025925925925939</v>
      </c>
      <c r="D18" s="30">
        <v>54</v>
      </c>
      <c r="E18" s="30">
        <v>2</v>
      </c>
      <c r="F18" s="33">
        <v>1891.4000000000008</v>
      </c>
      <c r="G18" s="31">
        <v>-234.85999999999999</v>
      </c>
      <c r="H18" s="32">
        <f t="shared" si="1"/>
        <v>0.12417257058263714</v>
      </c>
      <c r="I18" s="32">
        <f t="shared" si="2"/>
        <v>0.24560495819895337</v>
      </c>
      <c r="J18" s="33">
        <f t="shared" si="5"/>
        <v>464.5372179375006</v>
      </c>
      <c r="K18" s="33">
        <f t="shared" si="3"/>
        <v>8.6025410729166776</v>
      </c>
      <c r="L18" s="30">
        <v>158</v>
      </c>
      <c r="M18" s="34">
        <f t="shared" si="6"/>
        <v>0.34177215189873417</v>
      </c>
      <c r="N18" s="30">
        <v>222</v>
      </c>
      <c r="O18" s="35">
        <f t="shared" ref="O18:P18" si="26">D18/7</f>
        <v>7.7142857142857144</v>
      </c>
      <c r="P18" s="35">
        <f t="shared" si="26"/>
        <v>0.2857142857142857</v>
      </c>
      <c r="Q18" s="30">
        <f t="shared" si="8"/>
        <v>27</v>
      </c>
      <c r="R18" s="30"/>
      <c r="S18" s="36">
        <v>2.2155688622754401</v>
      </c>
      <c r="T18" s="29">
        <v>772</v>
      </c>
      <c r="U18" s="37">
        <v>420</v>
      </c>
      <c r="V18" s="38" t="s">
        <v>745</v>
      </c>
      <c r="W18" s="29">
        <v>23</v>
      </c>
      <c r="X18" s="39">
        <f t="shared" si="9"/>
        <v>0.42592592592592593</v>
      </c>
      <c r="Y18" s="40">
        <f t="shared" si="10"/>
        <v>3.0110256410256406</v>
      </c>
      <c r="Z18" s="29">
        <v>55</v>
      </c>
      <c r="AA18" s="29" t="s">
        <v>58</v>
      </c>
      <c r="AB18" s="41">
        <f t="shared" si="11"/>
        <v>-0.69</v>
      </c>
      <c r="AC18" s="42">
        <v>0.26360630787037037</v>
      </c>
      <c r="AD18" s="40">
        <f t="shared" si="12"/>
        <v>-19.643942062499999</v>
      </c>
      <c r="AE18" s="40">
        <v>-7.32</v>
      </c>
      <c r="AF18" s="40">
        <v>-9.1364599999999996</v>
      </c>
      <c r="AG18" s="40">
        <v>0</v>
      </c>
    </row>
    <row r="19" spans="1:33" ht="15.75" customHeight="1" x14ac:dyDescent="0.2">
      <c r="A19" s="29" t="s">
        <v>47</v>
      </c>
      <c r="B19" s="29" t="s">
        <v>746</v>
      </c>
      <c r="C19" s="16">
        <f t="shared" si="4"/>
        <v>33.646000000000015</v>
      </c>
      <c r="D19" s="30">
        <v>25</v>
      </c>
      <c r="E19" s="30">
        <v>3</v>
      </c>
      <c r="F19" s="33">
        <v>841.15000000000032</v>
      </c>
      <c r="G19" s="31">
        <v>-215.61</v>
      </c>
      <c r="H19" s="32">
        <f t="shared" si="1"/>
        <v>0.25632764667419594</v>
      </c>
      <c r="I19" s="32">
        <f t="shared" si="2"/>
        <v>9.3754481814744689E-2</v>
      </c>
      <c r="J19" s="33">
        <f t="shared" si="5"/>
        <v>78.861582378472519</v>
      </c>
      <c r="K19" s="33">
        <f t="shared" si="3"/>
        <v>3.1544632951389007</v>
      </c>
      <c r="L19" s="30">
        <v>118</v>
      </c>
      <c r="M19" s="34">
        <f t="shared" si="6"/>
        <v>0.21186440677966101</v>
      </c>
      <c r="N19" s="30">
        <v>190</v>
      </c>
      <c r="O19" s="35">
        <f t="shared" ref="O19:P19" si="27">D19/7</f>
        <v>3.5714285714285716</v>
      </c>
      <c r="P19" s="35">
        <f t="shared" si="27"/>
        <v>0.42857142857142855</v>
      </c>
      <c r="Q19" s="30">
        <f t="shared" si="8"/>
        <v>47</v>
      </c>
      <c r="R19" s="30"/>
      <c r="S19" s="36">
        <v>1.25878594249201</v>
      </c>
      <c r="T19" s="29">
        <v>772</v>
      </c>
      <c r="U19" s="37">
        <v>420</v>
      </c>
      <c r="V19" s="38" t="s">
        <v>747</v>
      </c>
      <c r="W19" s="29">
        <v>11</v>
      </c>
      <c r="X19" s="39">
        <f t="shared" si="9"/>
        <v>0.44</v>
      </c>
      <c r="Y19" s="40">
        <f t="shared" si="10"/>
        <v>3.2668181818181821</v>
      </c>
      <c r="Z19" s="29">
        <v>55</v>
      </c>
      <c r="AA19" s="29" t="s">
        <v>58</v>
      </c>
      <c r="AB19" s="41">
        <f t="shared" si="11"/>
        <v>-0.69</v>
      </c>
      <c r="AC19" s="42">
        <v>0.26360630787037037</v>
      </c>
      <c r="AD19" s="40">
        <f t="shared" si="12"/>
        <v>-9.0944176215277768</v>
      </c>
      <c r="AE19" s="40">
        <v>-7.32</v>
      </c>
      <c r="AF19" s="40">
        <v>-9.1364599999999996</v>
      </c>
      <c r="AG19" s="40">
        <v>0</v>
      </c>
    </row>
    <row r="20" spans="1:33" ht="15.75" customHeight="1" x14ac:dyDescent="0.2">
      <c r="A20" s="29" t="s">
        <v>48</v>
      </c>
      <c r="B20" s="29" t="s">
        <v>506</v>
      </c>
      <c r="C20" s="16">
        <f t="shared" si="4"/>
        <v>33.857812500000016</v>
      </c>
      <c r="D20" s="30">
        <v>32</v>
      </c>
      <c r="E20" s="30">
        <v>5</v>
      </c>
      <c r="F20" s="33">
        <v>1083.4500000000005</v>
      </c>
      <c r="G20" s="31">
        <v>-123.26</v>
      </c>
      <c r="H20" s="32">
        <f t="shared" si="1"/>
        <v>0.11376620979279149</v>
      </c>
      <c r="I20" s="32">
        <f t="shared" si="2"/>
        <v>0.23944337573902319</v>
      </c>
      <c r="J20" s="33">
        <f t="shared" si="5"/>
        <v>259.4249254444448</v>
      </c>
      <c r="K20" s="33">
        <f t="shared" si="3"/>
        <v>8.1070289201388999</v>
      </c>
      <c r="L20" s="30">
        <v>100</v>
      </c>
      <c r="M20" s="34">
        <f t="shared" si="6"/>
        <v>0.32</v>
      </c>
      <c r="N20" s="30">
        <v>149</v>
      </c>
      <c r="O20" s="35">
        <f t="shared" ref="O20:P20" si="28">D20/7</f>
        <v>4.5714285714285712</v>
      </c>
      <c r="P20" s="35">
        <f t="shared" si="28"/>
        <v>0.7142857142857143</v>
      </c>
      <c r="Q20" s="30">
        <f t="shared" si="8"/>
        <v>28</v>
      </c>
      <c r="R20" s="30"/>
      <c r="S20" s="36">
        <v>1.5636363636363599</v>
      </c>
      <c r="T20" s="29">
        <v>1272</v>
      </c>
      <c r="U20" s="37">
        <v>420</v>
      </c>
      <c r="V20" s="38" t="s">
        <v>748</v>
      </c>
      <c r="W20" s="29">
        <v>11</v>
      </c>
      <c r="X20" s="39">
        <f t="shared" si="9"/>
        <v>0.34375</v>
      </c>
      <c r="Y20" s="40">
        <f t="shared" si="10"/>
        <v>3.9761290322580645</v>
      </c>
      <c r="Z20" s="29">
        <v>20</v>
      </c>
      <c r="AA20" s="29" t="s">
        <v>58</v>
      </c>
      <c r="AB20" s="41">
        <f t="shared" si="11"/>
        <v>-0.69</v>
      </c>
      <c r="AC20" s="42">
        <v>0.26360630787037037</v>
      </c>
      <c r="AD20" s="40">
        <f t="shared" si="12"/>
        <v>-11.640854555555554</v>
      </c>
      <c r="AE20" s="40">
        <v>-7.32</v>
      </c>
      <c r="AF20" s="40">
        <v>-9.1364599999999996</v>
      </c>
      <c r="AG20" s="40">
        <v>0</v>
      </c>
    </row>
    <row r="21" spans="1:33" ht="15.75" customHeight="1" x14ac:dyDescent="0.2">
      <c r="A21" s="29" t="s">
        <v>49</v>
      </c>
      <c r="B21" s="29" t="s">
        <v>452</v>
      </c>
      <c r="C21" s="16">
        <f t="shared" si="4"/>
        <v>34.965555555555582</v>
      </c>
      <c r="D21" s="30">
        <v>45</v>
      </c>
      <c r="E21" s="30">
        <v>3</v>
      </c>
      <c r="F21" s="33">
        <v>1573.4500000000012</v>
      </c>
      <c r="G21" s="31">
        <v>-341.93</v>
      </c>
      <c r="H21" s="32">
        <f t="shared" si="1"/>
        <v>0.21731227557278576</v>
      </c>
      <c r="I21" s="32">
        <f t="shared" si="2"/>
        <v>0.15163611699211976</v>
      </c>
      <c r="J21" s="33">
        <f t="shared" si="5"/>
        <v>238.591848281251</v>
      </c>
      <c r="K21" s="33">
        <f t="shared" si="3"/>
        <v>5.3020410729166887</v>
      </c>
      <c r="L21" s="30">
        <v>73</v>
      </c>
      <c r="M21" s="34">
        <f t="shared" si="6"/>
        <v>0.61643835616438358</v>
      </c>
      <c r="N21" s="30">
        <v>99</v>
      </c>
      <c r="O21" s="35">
        <f t="shared" ref="O21:P21" si="29">D21/7</f>
        <v>6.4285714285714288</v>
      </c>
      <c r="P21" s="35">
        <f t="shared" si="29"/>
        <v>0.42857142857142855</v>
      </c>
      <c r="Q21" s="30">
        <f t="shared" si="8"/>
        <v>14</v>
      </c>
      <c r="R21" s="30"/>
      <c r="S21" s="36">
        <v>2.1640798226164</v>
      </c>
      <c r="T21" s="29">
        <v>852</v>
      </c>
      <c r="U21" s="37">
        <v>500</v>
      </c>
      <c r="V21" s="38" t="s">
        <v>749</v>
      </c>
      <c r="W21" s="29">
        <v>17</v>
      </c>
      <c r="X21" s="39">
        <f t="shared" si="9"/>
        <v>0.37777777777777777</v>
      </c>
      <c r="Y21" s="40">
        <f t="shared" si="10"/>
        <v>3.885568181818182</v>
      </c>
      <c r="Z21" s="29">
        <v>71</v>
      </c>
      <c r="AA21" s="29" t="s">
        <v>58</v>
      </c>
      <c r="AB21" s="41">
        <f t="shared" si="11"/>
        <v>-0.69</v>
      </c>
      <c r="AC21" s="42">
        <v>0.26360630787037037</v>
      </c>
      <c r="AD21" s="40">
        <f t="shared" si="12"/>
        <v>-16.369951718749999</v>
      </c>
      <c r="AE21" s="40">
        <v>-7.32</v>
      </c>
      <c r="AF21" s="40">
        <v>-9.1364599999999996</v>
      </c>
      <c r="AG21" s="40">
        <v>0</v>
      </c>
    </row>
    <row r="22" spans="1:33" ht="15.75" customHeight="1" x14ac:dyDescent="0.2">
      <c r="A22" s="29" t="s">
        <v>50</v>
      </c>
      <c r="B22" s="29" t="s">
        <v>750</v>
      </c>
      <c r="C22" s="16">
        <f t="shared" si="4"/>
        <v>34.704500000000003</v>
      </c>
      <c r="D22" s="30">
        <v>40</v>
      </c>
      <c r="E22" s="30">
        <v>7</v>
      </c>
      <c r="F22" s="31">
        <v>1388.18</v>
      </c>
      <c r="G22" s="31">
        <v>-313.70999999999998</v>
      </c>
      <c r="H22" s="32">
        <f t="shared" si="1"/>
        <v>0.22598654353181863</v>
      </c>
      <c r="I22" s="32">
        <f t="shared" si="2"/>
        <v>0.13934326370179334</v>
      </c>
      <c r="J22" s="33">
        <f t="shared" si="5"/>
        <v>193.4335318055555</v>
      </c>
      <c r="K22" s="33">
        <f t="shared" si="3"/>
        <v>4.8358382951388874</v>
      </c>
      <c r="L22" s="30">
        <v>185</v>
      </c>
      <c r="M22" s="34">
        <f t="shared" si="6"/>
        <v>0.21621621621621623</v>
      </c>
      <c r="N22" s="30">
        <v>51</v>
      </c>
      <c r="O22" s="35">
        <f t="shared" ref="O22:P22" si="30">D22/7</f>
        <v>5.7142857142857144</v>
      </c>
      <c r="P22" s="35">
        <f t="shared" si="30"/>
        <v>1</v>
      </c>
      <c r="Q22" s="30">
        <f t="shared" si="8"/>
        <v>7</v>
      </c>
      <c r="R22" s="30"/>
      <c r="S22" s="36">
        <v>3.37391304347826</v>
      </c>
      <c r="T22" s="29">
        <v>852</v>
      </c>
      <c r="U22" s="37">
        <v>500</v>
      </c>
      <c r="V22" s="38" t="s">
        <v>751</v>
      </c>
      <c r="W22" s="29">
        <v>15</v>
      </c>
      <c r="X22" s="39">
        <f t="shared" si="9"/>
        <v>0.375</v>
      </c>
      <c r="Y22" s="40">
        <f t="shared" si="10"/>
        <v>5.4087931034482759</v>
      </c>
      <c r="Z22" s="29">
        <v>43</v>
      </c>
      <c r="AA22" s="29" t="s">
        <v>58</v>
      </c>
      <c r="AB22" s="41">
        <f t="shared" si="11"/>
        <v>-0.69</v>
      </c>
      <c r="AC22" s="42">
        <v>0.26360630787037037</v>
      </c>
      <c r="AD22" s="40">
        <f t="shared" si="12"/>
        <v>-14.551068194444444</v>
      </c>
      <c r="AE22" s="40">
        <v>-7.32</v>
      </c>
      <c r="AF22" s="40">
        <v>-9.1364599999999996</v>
      </c>
      <c r="AG22" s="40">
        <v>0</v>
      </c>
    </row>
    <row r="23" spans="1:33" ht="15.75" customHeight="1" x14ac:dyDescent="0.2">
      <c r="A23" s="29" t="s">
        <v>51</v>
      </c>
      <c r="B23" s="29" t="s">
        <v>752</v>
      </c>
      <c r="C23" s="16">
        <f t="shared" si="4"/>
        <v>25.343250000000019</v>
      </c>
      <c r="D23" s="30">
        <v>40</v>
      </c>
      <c r="E23" s="30">
        <v>1</v>
      </c>
      <c r="F23" s="33">
        <v>1013.7300000000007</v>
      </c>
      <c r="G23" s="31">
        <v>-189.38000000000002</v>
      </c>
      <c r="H23" s="32">
        <f t="shared" si="1"/>
        <v>0.18681502964300148</v>
      </c>
      <c r="I23" s="32">
        <f t="shared" si="2"/>
        <v>-5.1193926829017978E-4</v>
      </c>
      <c r="J23" s="33">
        <f t="shared" si="5"/>
        <v>-0.51896819444380426</v>
      </c>
      <c r="K23" s="33">
        <f t="shared" si="3"/>
        <v>-1.2974204861095106E-2</v>
      </c>
      <c r="L23" s="30">
        <v>167</v>
      </c>
      <c r="M23" s="34">
        <f t="shared" si="6"/>
        <v>0.23952095808383234</v>
      </c>
      <c r="N23" s="30">
        <v>13</v>
      </c>
      <c r="O23" s="35">
        <f t="shared" ref="O23:P23" si="31">D23/7</f>
        <v>5.7142857142857144</v>
      </c>
      <c r="P23" s="35">
        <f t="shared" si="31"/>
        <v>0.14285714285714285</v>
      </c>
      <c r="Q23" s="30">
        <f t="shared" si="8"/>
        <v>2</v>
      </c>
      <c r="R23" s="30"/>
      <c r="S23" s="36">
        <v>4.6370370370370297</v>
      </c>
      <c r="T23" s="29">
        <v>852</v>
      </c>
      <c r="U23" s="37">
        <v>500</v>
      </c>
      <c r="V23" s="38" t="s">
        <v>751</v>
      </c>
      <c r="W23" s="29">
        <v>15</v>
      </c>
      <c r="X23" s="39">
        <f t="shared" si="9"/>
        <v>0.375</v>
      </c>
      <c r="Y23" s="40">
        <f t="shared" si="10"/>
        <v>3.945416666666667</v>
      </c>
      <c r="Z23" s="29">
        <v>33</v>
      </c>
      <c r="AA23" s="29" t="s">
        <v>58</v>
      </c>
      <c r="AB23" s="41">
        <f t="shared" si="11"/>
        <v>-0.69</v>
      </c>
      <c r="AC23" s="42">
        <v>0.26360630787037037</v>
      </c>
      <c r="AD23" s="40">
        <f t="shared" si="12"/>
        <v>-14.551068194444444</v>
      </c>
      <c r="AE23" s="40">
        <v>-7.32</v>
      </c>
      <c r="AF23" s="40">
        <v>-9.1364599999999996</v>
      </c>
      <c r="AG23" s="40">
        <v>0</v>
      </c>
    </row>
    <row r="24" spans="1:33" ht="15.75" customHeight="1" x14ac:dyDescent="0.2">
      <c r="A24" s="29" t="s">
        <v>52</v>
      </c>
      <c r="B24" s="29" t="s">
        <v>179</v>
      </c>
      <c r="C24" s="16" t="str">
        <f t="shared" si="4"/>
        <v xml:space="preserve"> - </v>
      </c>
      <c r="D24" s="30">
        <v>0</v>
      </c>
      <c r="E24" s="30">
        <v>1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1</v>
      </c>
      <c r="O24" s="35">
        <f t="shared" ref="O24:P24" si="32">D24/7</f>
        <v>0</v>
      </c>
      <c r="P24" s="35">
        <f t="shared" si="32"/>
        <v>0.14285714285714285</v>
      </c>
      <c r="Q24" s="30">
        <f t="shared" si="8"/>
        <v>7</v>
      </c>
      <c r="R24" s="30"/>
      <c r="S24" s="36">
        <v>2.4480874316939798</v>
      </c>
      <c r="T24" s="29">
        <v>852</v>
      </c>
      <c r="U24" s="37">
        <v>500</v>
      </c>
      <c r="V24" s="38" t="s">
        <v>753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42">
        <v>0.26360630787037037</v>
      </c>
      <c r="AD24" s="40">
        <f t="shared" si="12"/>
        <v>0</v>
      </c>
      <c r="AE24" s="40">
        <v>-7.32</v>
      </c>
      <c r="AF24" s="40">
        <v>-9.1364599999999996</v>
      </c>
      <c r="AG24" s="40">
        <v>0</v>
      </c>
    </row>
    <row r="25" spans="1:33" ht="15.75" customHeight="1" x14ac:dyDescent="0.2">
      <c r="A25" s="29" t="s">
        <v>53</v>
      </c>
      <c r="B25" s="15" t="s">
        <v>754</v>
      </c>
      <c r="C25" s="16">
        <f t="shared" si="4"/>
        <v>31.2</v>
      </c>
      <c r="D25" s="30">
        <v>8</v>
      </c>
      <c r="E25" s="30">
        <v>3</v>
      </c>
      <c r="F25" s="33">
        <v>249.6</v>
      </c>
      <c r="G25" s="33">
        <v>0</v>
      </c>
      <c r="H25" s="32">
        <f t="shared" si="1"/>
        <v>0</v>
      </c>
      <c r="I25" s="32">
        <f t="shared" si="2"/>
        <v>0.31077638766470794</v>
      </c>
      <c r="J25" s="33">
        <f t="shared" si="5"/>
        <v>77.569786361111099</v>
      </c>
      <c r="K25" s="33">
        <f t="shared" si="3"/>
        <v>9.6962232951388874</v>
      </c>
      <c r="L25" s="30">
        <v>41</v>
      </c>
      <c r="M25" s="34">
        <f t="shared" si="6"/>
        <v>0.1951219512195122</v>
      </c>
      <c r="N25" s="30">
        <v>677</v>
      </c>
      <c r="O25" s="35">
        <f t="shared" ref="O25:P25" si="33">D25/7</f>
        <v>1.1428571428571428</v>
      </c>
      <c r="P25" s="35">
        <f t="shared" si="33"/>
        <v>0.42857142857142855</v>
      </c>
      <c r="Q25" s="30">
        <f t="shared" si="8"/>
        <v>430</v>
      </c>
      <c r="R25" s="30"/>
      <c r="S25" s="36">
        <v>1.155709342560554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0.26360630787037037</v>
      </c>
      <c r="AD25" s="40">
        <f t="shared" si="12"/>
        <v>-2.9102136388888886</v>
      </c>
      <c r="AE25" s="40">
        <v>-7.32</v>
      </c>
      <c r="AF25" s="40">
        <v>-9.14</v>
      </c>
      <c r="AG25" s="40">
        <v>0</v>
      </c>
    </row>
    <row r="26" spans="1:33" ht="15.75" customHeight="1" x14ac:dyDescent="0.2">
      <c r="A26" s="15" t="s">
        <v>54</v>
      </c>
      <c r="B26" s="51" t="s">
        <v>755</v>
      </c>
      <c r="C26" s="16">
        <f t="shared" si="4"/>
        <v>31.540000000000003</v>
      </c>
      <c r="D26" s="17">
        <v>54</v>
      </c>
      <c r="E26" s="17">
        <v>4</v>
      </c>
      <c r="F26" s="18">
        <v>1703.16</v>
      </c>
      <c r="G26" s="18">
        <v>-167.34</v>
      </c>
      <c r="H26" s="32">
        <f t="shared" si="1"/>
        <v>9.8252659761854433E-2</v>
      </c>
      <c r="I26" s="32">
        <f t="shared" si="2"/>
        <v>0.22288758421845278</v>
      </c>
      <c r="J26" s="33">
        <f t="shared" si="5"/>
        <v>379.61321793750005</v>
      </c>
      <c r="K26" s="33">
        <f t="shared" si="3"/>
        <v>7.0298744062500012</v>
      </c>
      <c r="L26" s="17">
        <v>144</v>
      </c>
      <c r="M26" s="34">
        <f t="shared" si="6"/>
        <v>0.375</v>
      </c>
      <c r="N26" s="17">
        <v>621</v>
      </c>
      <c r="O26" s="35">
        <f t="shared" ref="O26:P26" si="34">D26/7</f>
        <v>7.7142857142857144</v>
      </c>
      <c r="P26" s="35">
        <f t="shared" si="34"/>
        <v>0.5714285714285714</v>
      </c>
      <c r="Q26" s="30">
        <f t="shared" si="8"/>
        <v>74</v>
      </c>
      <c r="R26" s="30"/>
      <c r="S26" s="22">
        <v>1.4370078740157479</v>
      </c>
      <c r="T26" s="15">
        <v>352</v>
      </c>
      <c r="U26" s="23" t="s">
        <v>56</v>
      </c>
      <c r="V26" s="1" t="s">
        <v>56</v>
      </c>
      <c r="W26" s="15">
        <v>10</v>
      </c>
      <c r="X26" s="39">
        <f t="shared" si="9"/>
        <v>0.18518518518518517</v>
      </c>
      <c r="Y26" s="40">
        <f t="shared" si="10"/>
        <v>3.8916279069767441</v>
      </c>
      <c r="Z26" s="15">
        <v>33</v>
      </c>
      <c r="AA26" s="29" t="s">
        <v>58</v>
      </c>
      <c r="AB26" s="41">
        <f t="shared" si="11"/>
        <v>-0.69</v>
      </c>
      <c r="AC26" s="42">
        <v>0.26360630787037037</v>
      </c>
      <c r="AD26" s="40">
        <f t="shared" si="12"/>
        <v>-19.643942062499999</v>
      </c>
      <c r="AE26" s="26">
        <v>-7.18</v>
      </c>
      <c r="AF26" s="26">
        <v>-9.1364599999999996</v>
      </c>
      <c r="AG26" s="26">
        <v>0</v>
      </c>
    </row>
    <row r="27" spans="1:33" ht="15.75" customHeight="1" x14ac:dyDescent="0.2">
      <c r="A27" s="15" t="s">
        <v>74</v>
      </c>
      <c r="B27" s="52" t="s">
        <v>756</v>
      </c>
      <c r="C27" s="16">
        <f t="shared" si="4"/>
        <v>26.355188679245284</v>
      </c>
      <c r="D27" s="17">
        <v>106</v>
      </c>
      <c r="E27" s="17">
        <v>10</v>
      </c>
      <c r="F27" s="18">
        <v>2793.65</v>
      </c>
      <c r="G27" s="18">
        <v>-616.61</v>
      </c>
      <c r="H27" s="32">
        <f t="shared" si="1"/>
        <v>0.22071841497682243</v>
      </c>
      <c r="I27" s="32">
        <f t="shared" si="2"/>
        <v>3.1698939758219823E-4</v>
      </c>
      <c r="J27" s="33">
        <f t="shared" si="5"/>
        <v>0.88555743055550806</v>
      </c>
      <c r="K27" s="33">
        <f t="shared" si="3"/>
        <v>8.3543153825991322E-3</v>
      </c>
      <c r="L27" s="17">
        <v>319</v>
      </c>
      <c r="M27" s="34">
        <f t="shared" si="6"/>
        <v>0.33228840125391851</v>
      </c>
      <c r="N27" s="17">
        <v>435</v>
      </c>
      <c r="O27" s="35">
        <f t="shared" ref="O27:P27" si="35">D27/7</f>
        <v>15.142857142857142</v>
      </c>
      <c r="P27" s="35">
        <f t="shared" si="35"/>
        <v>1.4285714285714286</v>
      </c>
      <c r="Q27" s="30">
        <f t="shared" si="8"/>
        <v>26</v>
      </c>
      <c r="R27" s="30"/>
      <c r="S27" s="22">
        <v>2.5982905982905979</v>
      </c>
      <c r="T27" s="15">
        <v>20</v>
      </c>
      <c r="U27" s="23" t="s">
        <v>56</v>
      </c>
      <c r="V27" s="1" t="s">
        <v>56</v>
      </c>
      <c r="W27" s="15">
        <v>38</v>
      </c>
      <c r="X27" s="39">
        <f t="shared" si="9"/>
        <v>0.35849056603773582</v>
      </c>
      <c r="Y27" s="40">
        <f t="shared" si="10"/>
        <v>3.9274522292993632</v>
      </c>
      <c r="Z27" s="15">
        <v>119</v>
      </c>
      <c r="AA27" s="29" t="s">
        <v>58</v>
      </c>
      <c r="AB27" s="41">
        <f t="shared" si="11"/>
        <v>-0.69</v>
      </c>
      <c r="AC27" s="42">
        <v>0.1884207175925926</v>
      </c>
      <c r="AD27" s="40">
        <f t="shared" si="12"/>
        <v>-27.562182569444445</v>
      </c>
      <c r="AE27" s="26">
        <v>-7.18</v>
      </c>
      <c r="AF27" s="26">
        <v>-9.1364599999999996</v>
      </c>
      <c r="AG27" s="26">
        <v>0</v>
      </c>
    </row>
    <row r="28" spans="1:33" ht="15.75" customHeight="1" x14ac:dyDescent="0.2">
      <c r="A28" s="15" t="s">
        <v>75</v>
      </c>
      <c r="B28" s="15" t="s">
        <v>757</v>
      </c>
      <c r="C28" s="16">
        <f t="shared" si="4"/>
        <v>29.66851351351351</v>
      </c>
      <c r="D28" s="17">
        <v>74</v>
      </c>
      <c r="E28" s="17">
        <v>6</v>
      </c>
      <c r="F28" s="18">
        <v>2195.4699999999998</v>
      </c>
      <c r="G28" s="18">
        <v>-268.62000000000012</v>
      </c>
      <c r="H28" s="32">
        <f t="shared" si="1"/>
        <v>0.12235193375450365</v>
      </c>
      <c r="I28" s="32">
        <f t="shared" si="2"/>
        <v>0.1695998924087628</v>
      </c>
      <c r="J28" s="33">
        <f t="shared" si="5"/>
        <v>372.35147578666641</v>
      </c>
      <c r="K28" s="33">
        <f t="shared" si="3"/>
        <v>5.0317766998198161</v>
      </c>
      <c r="L28" s="17">
        <v>241</v>
      </c>
      <c r="M28" s="34">
        <f t="shared" si="6"/>
        <v>0.30705394190871371</v>
      </c>
      <c r="N28" s="17">
        <v>352</v>
      </c>
      <c r="O28" s="35">
        <f t="shared" ref="O28:P28" si="36">D28/7</f>
        <v>10.571428571428571</v>
      </c>
      <c r="P28" s="35">
        <f t="shared" si="36"/>
        <v>0.8571428571428571</v>
      </c>
      <c r="Q28" s="30">
        <f t="shared" si="8"/>
        <v>30</v>
      </c>
      <c r="R28" s="30"/>
      <c r="S28" s="22">
        <v>2.3124335812964931</v>
      </c>
      <c r="T28" s="15">
        <v>20</v>
      </c>
      <c r="U28" s="23" t="s">
        <v>56</v>
      </c>
      <c r="V28" s="1" t="s">
        <v>56</v>
      </c>
      <c r="W28" s="15">
        <v>17</v>
      </c>
      <c r="X28" s="39">
        <f t="shared" si="9"/>
        <v>0.22972972972972974</v>
      </c>
      <c r="Y28" s="40">
        <f t="shared" si="10"/>
        <v>3.837428571428573</v>
      </c>
      <c r="Z28" s="15">
        <v>53</v>
      </c>
      <c r="AA28" s="29" t="s">
        <v>58</v>
      </c>
      <c r="AB28" s="41">
        <f t="shared" si="11"/>
        <v>-0.69</v>
      </c>
      <c r="AC28" s="42">
        <v>0.17391288888888889</v>
      </c>
      <c r="AD28" s="40">
        <f t="shared" si="12"/>
        <v>-17.759984213333333</v>
      </c>
      <c r="AE28" s="26">
        <v>-7.18</v>
      </c>
      <c r="AF28" s="26">
        <v>-9.1364599999999996</v>
      </c>
      <c r="AG28" s="26">
        <v>0</v>
      </c>
    </row>
    <row r="29" spans="1:33" ht="15.75" customHeight="1" x14ac:dyDescent="0.2">
      <c r="A29" s="15" t="s">
        <v>77</v>
      </c>
      <c r="B29" s="15" t="s">
        <v>452</v>
      </c>
      <c r="C29" s="16">
        <f t="shared" si="4"/>
        <v>30.231111111111112</v>
      </c>
      <c r="D29" s="17">
        <v>54</v>
      </c>
      <c r="E29" s="17">
        <v>6</v>
      </c>
      <c r="F29" s="18">
        <v>1632.48</v>
      </c>
      <c r="G29" s="18">
        <v>0</v>
      </c>
      <c r="H29" s="32">
        <f t="shared" si="1"/>
        <v>0</v>
      </c>
      <c r="I29" s="32">
        <f t="shared" si="2"/>
        <v>0.30233704028226993</v>
      </c>
      <c r="J29" s="33">
        <f t="shared" si="5"/>
        <v>493.55917152000001</v>
      </c>
      <c r="K29" s="33">
        <f t="shared" si="3"/>
        <v>9.1399846577777772</v>
      </c>
      <c r="L29" s="17">
        <v>129</v>
      </c>
      <c r="M29" s="34">
        <f t="shared" si="6"/>
        <v>0.41860465116279072</v>
      </c>
      <c r="N29" s="17">
        <v>309</v>
      </c>
      <c r="O29" s="35">
        <f t="shared" ref="O29:P29" si="37">D29/7</f>
        <v>7.7142857142857144</v>
      </c>
      <c r="P29" s="35">
        <f t="shared" si="37"/>
        <v>0.8571428571428571</v>
      </c>
      <c r="Q29" s="30">
        <f t="shared" si="8"/>
        <v>36</v>
      </c>
      <c r="R29" s="30"/>
      <c r="S29" s="22">
        <v>1.601067378252168</v>
      </c>
      <c r="T29" s="15">
        <v>20</v>
      </c>
      <c r="U29" s="23" t="s">
        <v>56</v>
      </c>
      <c r="V29" s="1" t="s">
        <v>56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0.17391288888888889</v>
      </c>
      <c r="AD29" s="40">
        <f t="shared" si="12"/>
        <v>-12.95998848</v>
      </c>
      <c r="AE29" s="26">
        <v>-7.18</v>
      </c>
      <c r="AF29" s="26">
        <v>-9.1364599999999996</v>
      </c>
      <c r="AG29" s="26">
        <v>0</v>
      </c>
    </row>
    <row r="30" spans="1:33" ht="15.75" customHeight="1" x14ac:dyDescent="0.2">
      <c r="A30" s="15" t="s">
        <v>78</v>
      </c>
      <c r="B30" s="15" t="s">
        <v>709</v>
      </c>
      <c r="C30" s="16">
        <f t="shared" si="4"/>
        <v>29.950000000000024</v>
      </c>
      <c r="D30" s="17">
        <v>66</v>
      </c>
      <c r="E30" s="17">
        <v>6</v>
      </c>
      <c r="F30" s="18">
        <v>1976.7000000000016</v>
      </c>
      <c r="G30" s="18">
        <v>0</v>
      </c>
      <c r="H30" s="32">
        <f t="shared" si="1"/>
        <v>0</v>
      </c>
      <c r="I30" s="32">
        <f t="shared" si="2"/>
        <v>0.32199362135503695</v>
      </c>
      <c r="J30" s="33">
        <f t="shared" si="5"/>
        <v>636.48479133250203</v>
      </c>
      <c r="K30" s="33">
        <f t="shared" si="3"/>
        <v>9.643708959583364</v>
      </c>
      <c r="L30" s="17">
        <v>89</v>
      </c>
      <c r="M30" s="34">
        <f t="shared" si="6"/>
        <v>0.7415730337078652</v>
      </c>
      <c r="N30" s="17">
        <v>241</v>
      </c>
      <c r="O30" s="35">
        <f t="shared" ref="O30:P30" si="38">D30/7</f>
        <v>9.4285714285714288</v>
      </c>
      <c r="P30" s="35">
        <f t="shared" si="38"/>
        <v>0.8571428571428571</v>
      </c>
      <c r="Q30" s="30">
        <f t="shared" si="8"/>
        <v>23</v>
      </c>
      <c r="R30" s="30"/>
      <c r="S30" s="22">
        <v>1.79379956741168</v>
      </c>
      <c r="T30" s="29">
        <v>20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0.17391288888888889</v>
      </c>
      <c r="AD30" s="40">
        <f t="shared" si="12"/>
        <v>-15.83998592</v>
      </c>
      <c r="AE30" s="26">
        <v>-7.18</v>
      </c>
      <c r="AF30" s="26">
        <v>-8.3937912537499901</v>
      </c>
      <c r="AG30" s="26">
        <v>0</v>
      </c>
    </row>
    <row r="31" spans="1:33" ht="15.75" customHeight="1" x14ac:dyDescent="0.2">
      <c r="A31" s="15" t="s">
        <v>55</v>
      </c>
      <c r="B31" s="15" t="s">
        <v>758</v>
      </c>
      <c r="C31" s="16">
        <f t="shared" si="4"/>
        <v>30.391111111111144</v>
      </c>
      <c r="D31" s="17">
        <v>54</v>
      </c>
      <c r="E31" s="17">
        <v>3</v>
      </c>
      <c r="F31" s="18">
        <v>1641.1200000000017</v>
      </c>
      <c r="G31" s="43">
        <v>-4.97</v>
      </c>
      <c r="H31" s="32">
        <f t="shared" si="1"/>
        <v>3.0284196158720839E-3</v>
      </c>
      <c r="I31" s="32">
        <f t="shared" si="2"/>
        <v>0.32662893866231651</v>
      </c>
      <c r="J31" s="33">
        <f t="shared" si="5"/>
        <v>536.03728381750147</v>
      </c>
      <c r="K31" s="33">
        <f t="shared" si="3"/>
        <v>9.9266163669907677</v>
      </c>
      <c r="L31" s="17">
        <v>157</v>
      </c>
      <c r="M31" s="34">
        <f t="shared" si="6"/>
        <v>0.34394904458598724</v>
      </c>
      <c r="N31" s="17">
        <v>174</v>
      </c>
      <c r="O31" s="35">
        <f t="shared" ref="O31:P31" si="39">D31/7</f>
        <v>7.7142857142857144</v>
      </c>
      <c r="P31" s="35">
        <f t="shared" si="39"/>
        <v>0.42857142857142855</v>
      </c>
      <c r="Q31" s="30">
        <f t="shared" si="8"/>
        <v>21</v>
      </c>
      <c r="R31" s="30"/>
      <c r="S31" s="22">
        <v>2.3201438848920799</v>
      </c>
      <c r="T31" s="15">
        <v>20</v>
      </c>
      <c r="U31" s="23" t="s">
        <v>56</v>
      </c>
      <c r="V31" s="1" t="s">
        <v>759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0.17391288888888889</v>
      </c>
      <c r="AD31" s="40">
        <f t="shared" si="12"/>
        <v>-12.95998848</v>
      </c>
      <c r="AE31" s="44">
        <v>-7.18</v>
      </c>
      <c r="AF31" s="44">
        <v>-8.393791253749999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32.448541666666664</v>
      </c>
      <c r="D32" s="17">
        <v>48</v>
      </c>
      <c r="E32" s="17">
        <v>6</v>
      </c>
      <c r="F32" s="18">
        <v>1557.53</v>
      </c>
      <c r="G32" s="18">
        <v>0</v>
      </c>
      <c r="H32" s="32">
        <f t="shared" si="1"/>
        <v>0</v>
      </c>
      <c r="I32" s="32">
        <f t="shared" si="2"/>
        <v>0.36265017692115104</v>
      </c>
      <c r="J32" s="33">
        <f t="shared" si="5"/>
        <v>564.83853006000038</v>
      </c>
      <c r="K32" s="33">
        <f t="shared" si="3"/>
        <v>11.767469376250007</v>
      </c>
      <c r="L32" s="17">
        <v>111</v>
      </c>
      <c r="M32" s="34">
        <f t="shared" si="6"/>
        <v>0.43243243243243246</v>
      </c>
      <c r="N32" s="17">
        <v>115</v>
      </c>
      <c r="O32" s="35">
        <f t="shared" ref="O32:P32" si="40">D32/7</f>
        <v>6.8571428571428568</v>
      </c>
      <c r="P32" s="35">
        <f t="shared" si="40"/>
        <v>0.8571428571428571</v>
      </c>
      <c r="Q32" s="30">
        <f t="shared" si="8"/>
        <v>14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3.483530961791832</v>
      </c>
      <c r="T32" s="15">
        <f ca="1">IFERROR(__xludf.DUMMYFUNCTION("IFERROR(VLOOKUP($B$2,IMPORTRANGE(""https://docs.google.com/spreadsheets/d/1KiWZV1ko8G7lnRucBRBd29jj3Be6ltMfljMDqzOkQmI/edit#gid=1381463014"",""Lookup!A:D""),4,FALSE),"""")"),20)</f>
        <v>20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20 At Factory 50-75 days from Earliest Arrival")</f>
        <v>No Transit, But 20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0.17391288888888889</v>
      </c>
      <c r="AD32" s="40">
        <f t="shared" si="12"/>
        <v>-11.51998976</v>
      </c>
      <c r="AE32" s="26">
        <v>-7.18</v>
      </c>
      <c r="AF32" s="26">
        <v>-8.3937912537499901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78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Info!B1:BJ7000""),3,FALSE),"""")"),"Professional Cornhole Bags - Set of 8 Regulation All Weather Two Sided Bean Bags for Pro Corn Hole Game - 4 Red &amp; 4 Black")</f>
        <v>Professional Cornhole Bags - Set of 8 Regulation All Weather Two Sided Bean Bags for Pro Corn Hole Game - 4 Red &amp; 4 Black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Info!B1:BJ7000""),2,FALSE),"""")"),"B07YGR9ZDJ")</f>
        <v>B07YGR9ZDJ</v>
      </c>
      <c r="B2" s="47" t="s">
        <v>760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18.32210735735293</v>
      </c>
      <c r="D3" s="5">
        <f>SUM(D4:D99765)</f>
        <v>1807</v>
      </c>
      <c r="E3" s="5"/>
      <c r="F3" s="6">
        <f t="shared" ref="F3:G3" si="0">SUM(F4:F99765)</f>
        <v>54318.979999999989</v>
      </c>
      <c r="G3" s="6">
        <f t="shared" si="0"/>
        <v>-2450.0600000000004</v>
      </c>
      <c r="H3" s="7">
        <f t="shared" ref="H3:H32" si="1">G3/F3*-1</f>
        <v>4.5105044314160556E-2</v>
      </c>
      <c r="I3" s="8">
        <f t="shared" ref="I3:I32" si="2">J3/F3</f>
        <v>0.25820231938107852</v>
      </c>
      <c r="J3" s="6">
        <f>SUM(J4:J99765)</f>
        <v>14025.286622414413</v>
      </c>
      <c r="K3" s="6">
        <f t="shared" ref="K3:K32" si="3">J3/D3</f>
        <v>7.7616417390229175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13 - April
9.5 - May
20.5 - June
20 - July
18 - Aug
9.5 - Sept
4.5 - Oct
4 - Nov
6.5 - Dec
4 - Jan
2.5 - Feb")</f>
        <v>3 - March
13 - April
9.5 - May
20.5 - June
20 - July
18 - Aug
9.5 - Sept
4.5 - Oct
4 - Nov
6.5 - Dec
4 -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QTY-114")</f>
        <v>Del QTY-114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QTY-192")</f>
        <v>US QTY-192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184</v>
      </c>
      <c r="X3" s="7">
        <f>W3/D3</f>
        <v>0.1018262313226342</v>
      </c>
      <c r="Y3" s="6"/>
      <c r="Z3" s="5"/>
      <c r="AA3" s="5"/>
      <c r="AB3" s="5"/>
      <c r="AC3" s="5"/>
      <c r="AD3" s="6">
        <f>SUM(AD4:AD99765)</f>
        <v>-536.01947868930279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761</v>
      </c>
      <c r="C4" s="16">
        <f t="shared" ref="C4:C32" si="4">IFERROR(F4/D4," - ")</f>
        <v>30.006000000000004</v>
      </c>
      <c r="D4" s="17">
        <v>25</v>
      </c>
      <c r="E4" s="17">
        <v>0</v>
      </c>
      <c r="F4" s="18">
        <v>750.15000000000009</v>
      </c>
      <c r="G4" s="18">
        <v>0</v>
      </c>
      <c r="H4" s="19">
        <f t="shared" si="1"/>
        <v>0</v>
      </c>
      <c r="I4" s="19">
        <f t="shared" si="2"/>
        <v>0.35845736620054902</v>
      </c>
      <c r="J4" s="18">
        <f t="shared" ref="J4:J32" si="5">F4*0.85+G4+AF4*D4+D4*AE4+AG4+AD4</f>
        <v>268.89679325534189</v>
      </c>
      <c r="K4" s="18">
        <f t="shared" si="3"/>
        <v>10.755871730213675</v>
      </c>
      <c r="L4" s="17">
        <v>43</v>
      </c>
      <c r="M4" s="20">
        <f t="shared" ref="M4:M32" si="6">IFERROR(D4/L4,"-")</f>
        <v>0.58139534883720934</v>
      </c>
      <c r="N4" s="17">
        <v>25</v>
      </c>
      <c r="O4" s="21">
        <f t="shared" ref="O4:P4" si="7">D4/7</f>
        <v>3.5714285714285716</v>
      </c>
      <c r="P4" s="21">
        <f t="shared" si="7"/>
        <v>0</v>
      </c>
      <c r="Q4" s="17">
        <f t="shared" ref="Q4:Q32" si="8">ROUNDDOWN(N4/(O4+P4),0)</f>
        <v>7</v>
      </c>
      <c r="R4" s="17"/>
      <c r="S4" s="22">
        <v>2.3367441860465101</v>
      </c>
      <c r="T4" s="15">
        <v>2094</v>
      </c>
      <c r="U4" s="23">
        <v>52</v>
      </c>
      <c r="V4" s="24" t="s">
        <v>762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0.21494987962962961</v>
      </c>
      <c r="AD4" s="26">
        <f t="shared" ref="AD4:AD32" si="12">IFERROR(AB4*AC4*D4*2,0)</f>
        <v>-7.4157708472222206</v>
      </c>
      <c r="AE4" s="26">
        <v>-7.32</v>
      </c>
      <c r="AF4" s="26">
        <v>-7.132597435897436</v>
      </c>
      <c r="AG4" s="26">
        <v>0</v>
      </c>
    </row>
    <row r="5" spans="1:33" ht="15.75" customHeight="1" x14ac:dyDescent="0.2">
      <c r="A5" s="29" t="s">
        <v>33</v>
      </c>
      <c r="B5" s="29" t="s">
        <v>487</v>
      </c>
      <c r="C5" s="16">
        <f t="shared" si="4"/>
        <v>32.911052631578954</v>
      </c>
      <c r="D5" s="30">
        <v>19</v>
      </c>
      <c r="E5" s="30">
        <v>0</v>
      </c>
      <c r="F5" s="31">
        <v>625.31000000000017</v>
      </c>
      <c r="G5" s="31">
        <v>0</v>
      </c>
      <c r="H5" s="32">
        <f t="shared" si="1"/>
        <v>0</v>
      </c>
      <c r="I5" s="32">
        <f t="shared" si="2"/>
        <v>0.40183530118441513</v>
      </c>
      <c r="J5" s="33">
        <f t="shared" si="5"/>
        <v>251.27163218362668</v>
      </c>
      <c r="K5" s="33">
        <f t="shared" si="3"/>
        <v>13.224822746506668</v>
      </c>
      <c r="L5" s="30">
        <v>67</v>
      </c>
      <c r="M5" s="34">
        <f t="shared" si="6"/>
        <v>0.28358208955223879</v>
      </c>
      <c r="N5" s="30">
        <v>8</v>
      </c>
      <c r="O5" s="35">
        <f t="shared" ref="O5:P5" si="13">D5/7</f>
        <v>2.7142857142857144</v>
      </c>
      <c r="P5" s="35">
        <f t="shared" si="13"/>
        <v>0</v>
      </c>
      <c r="Q5" s="30">
        <f t="shared" si="8"/>
        <v>2</v>
      </c>
      <c r="R5" s="30"/>
      <c r="S5" s="36">
        <v>2.4460732984293099</v>
      </c>
      <c r="T5" s="29">
        <v>2278</v>
      </c>
      <c r="U5" s="37">
        <v>52</v>
      </c>
      <c r="V5" s="38" t="s">
        <v>763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58</v>
      </c>
      <c r="AB5" s="41">
        <f t="shared" si="11"/>
        <v>-0.69</v>
      </c>
      <c r="AC5" s="42">
        <v>0.21519895249130938</v>
      </c>
      <c r="AD5" s="40">
        <f t="shared" si="12"/>
        <v>-5.6425165343221311</v>
      </c>
      <c r="AE5" s="40">
        <v>-7.32</v>
      </c>
      <c r="AF5" s="40">
        <v>-7.132597435897436</v>
      </c>
      <c r="AG5" s="40">
        <v>0</v>
      </c>
    </row>
    <row r="6" spans="1:33" ht="15.75" customHeight="1" x14ac:dyDescent="0.2">
      <c r="A6" s="29" t="s">
        <v>34</v>
      </c>
      <c r="B6" s="29" t="s">
        <v>487</v>
      </c>
      <c r="C6" s="16">
        <f t="shared" si="4"/>
        <v>35.44</v>
      </c>
      <c r="D6" s="30">
        <v>2</v>
      </c>
      <c r="E6" s="30">
        <v>0</v>
      </c>
      <c r="F6" s="31">
        <v>70.88</v>
      </c>
      <c r="G6" s="31">
        <v>0</v>
      </c>
      <c r="H6" s="32">
        <f t="shared" si="1"/>
        <v>0</v>
      </c>
      <c r="I6" s="32">
        <f t="shared" si="2"/>
        <v>0.43381568876028664</v>
      </c>
      <c r="J6" s="33">
        <f t="shared" si="5"/>
        <v>30.748856019329114</v>
      </c>
      <c r="K6" s="33">
        <f t="shared" si="3"/>
        <v>15.374428009664557</v>
      </c>
      <c r="L6" s="30">
        <v>3</v>
      </c>
      <c r="M6" s="34">
        <f t="shared" si="6"/>
        <v>0.66666666666666663</v>
      </c>
      <c r="N6" s="30">
        <v>0</v>
      </c>
      <c r="O6" s="35">
        <f t="shared" ref="O6:P6" si="14">D6/7</f>
        <v>0.2857142857142857</v>
      </c>
      <c r="P6" s="35">
        <f t="shared" si="14"/>
        <v>0</v>
      </c>
      <c r="Q6" s="30">
        <f t="shared" si="8"/>
        <v>0</v>
      </c>
      <c r="R6" s="30"/>
      <c r="S6" s="36" t="e">
        <v>#N/A</v>
      </c>
      <c r="T6" s="29">
        <v>2278</v>
      </c>
      <c r="U6" s="37">
        <v>52</v>
      </c>
      <c r="V6" s="38" t="s">
        <v>764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58</v>
      </c>
      <c r="AB6" s="41">
        <f t="shared" si="11"/>
        <v>-0.69</v>
      </c>
      <c r="AC6" s="42">
        <v>0.21519895249130938</v>
      </c>
      <c r="AD6" s="40">
        <f t="shared" si="12"/>
        <v>-0.59394910887601382</v>
      </c>
      <c r="AE6" s="40">
        <v>-7.32</v>
      </c>
      <c r="AF6" s="40">
        <v>-7.132597435897436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2278</v>
      </c>
      <c r="U7" s="37">
        <v>52</v>
      </c>
      <c r="V7" s="38" t="s">
        <v>765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-7.3332974358974363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2278</v>
      </c>
      <c r="U8" s="37">
        <v>52</v>
      </c>
      <c r="V8" s="38" t="s">
        <v>766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-7.33</v>
      </c>
      <c r="AG8" s="40">
        <v>0</v>
      </c>
    </row>
    <row r="9" spans="1:33" ht="15.75" customHeight="1" x14ac:dyDescent="0.2">
      <c r="A9" s="29" t="s">
        <v>37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2278</v>
      </c>
      <c r="U9" s="37">
        <v>736</v>
      </c>
      <c r="V9" s="38" t="s">
        <v>767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-7.6865025641025602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2438</v>
      </c>
      <c r="U10" s="37">
        <v>52</v>
      </c>
      <c r="V10" s="38" t="s">
        <v>768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-7.6865025641025602</v>
      </c>
      <c r="AG10" s="40">
        <v>0</v>
      </c>
    </row>
    <row r="11" spans="1:33" ht="15.75" customHeight="1" x14ac:dyDescent="0.2">
      <c r="A11" s="29" t="s">
        <v>39</v>
      </c>
      <c r="B11" s="29" t="s">
        <v>769</v>
      </c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1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>
        <v>5.0222222222222204</v>
      </c>
      <c r="T11" s="29">
        <v>3578</v>
      </c>
      <c r="U11" s="37">
        <v>52</v>
      </c>
      <c r="V11" s="38" t="s">
        <v>770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-7.6865025641025602</v>
      </c>
      <c r="AG11" s="40">
        <v>0</v>
      </c>
    </row>
    <row r="12" spans="1:33" ht="15.75" customHeight="1" x14ac:dyDescent="0.2">
      <c r="A12" s="29" t="s">
        <v>40</v>
      </c>
      <c r="B12" s="29" t="s">
        <v>769</v>
      </c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1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>
        <v>3.9601328903654398</v>
      </c>
      <c r="T12" s="29">
        <v>2220</v>
      </c>
      <c r="U12" s="37">
        <v>736</v>
      </c>
      <c r="V12" s="38" t="s">
        <v>771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-7.7736820512820497</v>
      </c>
      <c r="AG12" s="40">
        <v>0</v>
      </c>
    </row>
    <row r="13" spans="1:33" ht="15.75" customHeight="1" x14ac:dyDescent="0.2">
      <c r="A13" s="29" t="s">
        <v>41</v>
      </c>
      <c r="B13" s="29" t="s">
        <v>769</v>
      </c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1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>
        <v>4.1343283582089496</v>
      </c>
      <c r="T13" s="29">
        <v>1484</v>
      </c>
      <c r="U13" s="37">
        <v>184</v>
      </c>
      <c r="V13" s="38" t="s">
        <v>772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-7.9724000000000004</v>
      </c>
      <c r="AG13" s="40">
        <v>0</v>
      </c>
    </row>
    <row r="14" spans="1:33" ht="15.75" customHeight="1" x14ac:dyDescent="0.2">
      <c r="A14" s="29" t="s">
        <v>42</v>
      </c>
      <c r="B14" s="29" t="s">
        <v>773</v>
      </c>
      <c r="C14" s="16">
        <f t="shared" si="4"/>
        <v>32.979999999999997</v>
      </c>
      <c r="D14" s="30">
        <v>1</v>
      </c>
      <c r="E14" s="30">
        <v>0</v>
      </c>
      <c r="F14" s="33">
        <v>32.979999999999997</v>
      </c>
      <c r="G14" s="31">
        <v>0</v>
      </c>
      <c r="H14" s="32">
        <f t="shared" si="1"/>
        <v>0</v>
      </c>
      <c r="I14" s="32">
        <f t="shared" si="2"/>
        <v>0.37730823061133995</v>
      </c>
      <c r="J14" s="33">
        <f t="shared" si="5"/>
        <v>12.44362544556199</v>
      </c>
      <c r="K14" s="33">
        <f t="shared" si="3"/>
        <v>12.44362544556199</v>
      </c>
      <c r="L14" s="30">
        <v>1</v>
      </c>
      <c r="M14" s="34">
        <f t="shared" si="6"/>
        <v>1</v>
      </c>
      <c r="N14" s="30">
        <v>2</v>
      </c>
      <c r="O14" s="35">
        <f t="shared" ref="O14:P14" si="22">D14/7</f>
        <v>0.14285714285714285</v>
      </c>
      <c r="P14" s="35">
        <f t="shared" si="22"/>
        <v>0</v>
      </c>
      <c r="Q14" s="30">
        <f t="shared" si="8"/>
        <v>14</v>
      </c>
      <c r="R14" s="30"/>
      <c r="S14" s="36">
        <v>3.3584905660377302</v>
      </c>
      <c r="T14" s="29">
        <v>1484</v>
      </c>
      <c r="U14" s="37">
        <v>184</v>
      </c>
      <c r="V14" s="38" t="s">
        <v>772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58</v>
      </c>
      <c r="AB14" s="41">
        <f t="shared" si="11"/>
        <v>-0.69</v>
      </c>
      <c r="AC14" s="42">
        <v>0.21519895249130938</v>
      </c>
      <c r="AD14" s="40">
        <f t="shared" si="12"/>
        <v>-0.29697455443800691</v>
      </c>
      <c r="AE14" s="40">
        <v>-7.32</v>
      </c>
      <c r="AF14" s="40">
        <v>-7.9724000000000004</v>
      </c>
      <c r="AG14" s="40">
        <v>0</v>
      </c>
    </row>
    <row r="15" spans="1:33" ht="15.75" customHeight="1" x14ac:dyDescent="0.2">
      <c r="A15" s="29" t="s">
        <v>43</v>
      </c>
      <c r="B15" s="29" t="s">
        <v>452</v>
      </c>
      <c r="C15" s="16">
        <f t="shared" si="4"/>
        <v>28.766666666666669</v>
      </c>
      <c r="D15" s="30">
        <v>18</v>
      </c>
      <c r="E15" s="30">
        <v>1</v>
      </c>
      <c r="F15" s="33">
        <v>517.80000000000007</v>
      </c>
      <c r="G15" s="31">
        <v>0</v>
      </c>
      <c r="H15" s="32">
        <f t="shared" si="1"/>
        <v>0</v>
      </c>
      <c r="I15" s="32">
        <f t="shared" si="2"/>
        <v>0.30808699302819631</v>
      </c>
      <c r="J15" s="33">
        <f t="shared" si="5"/>
        <v>159.52744499000008</v>
      </c>
      <c r="K15" s="33">
        <f t="shared" si="3"/>
        <v>8.8626358327777819</v>
      </c>
      <c r="L15" s="30">
        <v>16</v>
      </c>
      <c r="M15" s="34">
        <f t="shared" si="6"/>
        <v>1.125</v>
      </c>
      <c r="N15" s="30">
        <v>257</v>
      </c>
      <c r="O15" s="35">
        <f t="shared" ref="O15:P15" si="23">D15/7</f>
        <v>2.5714285714285716</v>
      </c>
      <c r="P15" s="35">
        <f t="shared" si="23"/>
        <v>0.14285714285714285</v>
      </c>
      <c r="Q15" s="30">
        <f t="shared" si="8"/>
        <v>94</v>
      </c>
      <c r="R15" s="30"/>
      <c r="S15" s="36">
        <v>1.1605633802816899</v>
      </c>
      <c r="T15" s="29">
        <v>1484</v>
      </c>
      <c r="U15" s="37">
        <v>184</v>
      </c>
      <c r="V15" s="38" t="s">
        <v>772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58</v>
      </c>
      <c r="AB15" s="41">
        <f t="shared" si="11"/>
        <v>-0.69</v>
      </c>
      <c r="AC15" s="42">
        <v>0.21494987962962961</v>
      </c>
      <c r="AD15" s="40">
        <f t="shared" si="12"/>
        <v>-5.3393550099999993</v>
      </c>
      <c r="AE15" s="40">
        <v>-7.32</v>
      </c>
      <c r="AF15" s="40">
        <v>-7.9724000000000004</v>
      </c>
      <c r="AG15" s="40">
        <v>0</v>
      </c>
    </row>
    <row r="16" spans="1:33" ht="15.75" customHeight="1" x14ac:dyDescent="0.2">
      <c r="A16" s="29" t="s">
        <v>44</v>
      </c>
      <c r="B16" s="29" t="s">
        <v>774</v>
      </c>
      <c r="C16" s="16">
        <f t="shared" si="4"/>
        <v>30.76945945945948</v>
      </c>
      <c r="D16" s="30">
        <v>37</v>
      </c>
      <c r="E16" s="30">
        <v>1</v>
      </c>
      <c r="F16" s="33">
        <v>1138.4700000000007</v>
      </c>
      <c r="G16" s="31">
        <v>0</v>
      </c>
      <c r="H16" s="32">
        <f t="shared" si="1"/>
        <v>0</v>
      </c>
      <c r="I16" s="32">
        <f t="shared" si="2"/>
        <v>0.30552859464554322</v>
      </c>
      <c r="J16" s="33">
        <f t="shared" si="5"/>
        <v>347.83513914611177</v>
      </c>
      <c r="K16" s="33">
        <f t="shared" si="3"/>
        <v>9.4009497066516694</v>
      </c>
      <c r="L16" s="30">
        <v>60</v>
      </c>
      <c r="M16" s="34">
        <f t="shared" si="6"/>
        <v>0.6166666666666667</v>
      </c>
      <c r="N16" s="30">
        <v>222</v>
      </c>
      <c r="O16" s="35">
        <f t="shared" ref="O16:P16" si="24">D16/7</f>
        <v>5.2857142857142856</v>
      </c>
      <c r="P16" s="35">
        <f t="shared" si="24"/>
        <v>0.14285714285714285</v>
      </c>
      <c r="Q16" s="30">
        <f t="shared" si="8"/>
        <v>40</v>
      </c>
      <c r="R16" s="30"/>
      <c r="S16" s="36">
        <v>1.30744336569579</v>
      </c>
      <c r="T16" s="29">
        <v>1484</v>
      </c>
      <c r="U16" s="37">
        <v>184</v>
      </c>
      <c r="V16" s="38" t="s">
        <v>775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58</v>
      </c>
      <c r="AB16" s="41">
        <f t="shared" si="11"/>
        <v>-0.69</v>
      </c>
      <c r="AC16" s="42">
        <v>0.21494987962962961</v>
      </c>
      <c r="AD16" s="40">
        <f t="shared" si="12"/>
        <v>-10.975340853888888</v>
      </c>
      <c r="AE16" s="40">
        <v>-7.32</v>
      </c>
      <c r="AF16" s="40">
        <v>-9.1364599999999996</v>
      </c>
      <c r="AG16" s="40">
        <v>0</v>
      </c>
    </row>
    <row r="17" spans="1:33" ht="15.75" customHeight="1" x14ac:dyDescent="0.2">
      <c r="A17" s="29" t="s">
        <v>45</v>
      </c>
      <c r="B17" s="29" t="s">
        <v>506</v>
      </c>
      <c r="C17" s="16">
        <f t="shared" si="4"/>
        <v>32.543214285714313</v>
      </c>
      <c r="D17" s="30">
        <v>56</v>
      </c>
      <c r="E17" s="30">
        <v>2</v>
      </c>
      <c r="F17" s="33">
        <v>1822.4200000000017</v>
      </c>
      <c r="G17" s="31">
        <v>-53.93</v>
      </c>
      <c r="H17" s="32">
        <f t="shared" si="1"/>
        <v>2.9592519836261648E-2</v>
      </c>
      <c r="I17" s="32">
        <f t="shared" si="2"/>
        <v>0.30561227011458553</v>
      </c>
      <c r="J17" s="33">
        <f t="shared" si="5"/>
        <v>556.95391330222344</v>
      </c>
      <c r="K17" s="33">
        <f t="shared" si="3"/>
        <v>9.9456055946825614</v>
      </c>
      <c r="L17" s="30">
        <v>91</v>
      </c>
      <c r="M17" s="34">
        <f t="shared" si="6"/>
        <v>0.61538461538461542</v>
      </c>
      <c r="N17" s="30">
        <v>158</v>
      </c>
      <c r="O17" s="35">
        <f t="shared" ref="O17:P17" si="25">D17/7</f>
        <v>8</v>
      </c>
      <c r="P17" s="35">
        <f t="shared" si="25"/>
        <v>0.2857142857142857</v>
      </c>
      <c r="Q17" s="30">
        <f t="shared" si="8"/>
        <v>19</v>
      </c>
      <c r="R17" s="30"/>
      <c r="S17" s="36">
        <v>2.1310043668122201</v>
      </c>
      <c r="T17" s="29">
        <v>1484</v>
      </c>
      <c r="U17" s="37">
        <v>184</v>
      </c>
      <c r="V17" s="38" t="s">
        <v>776</v>
      </c>
      <c r="W17" s="29">
        <v>4</v>
      </c>
      <c r="X17" s="39">
        <f t="shared" si="9"/>
        <v>7.1428571428571425E-2</v>
      </c>
      <c r="Y17" s="40">
        <f t="shared" si="10"/>
        <v>4.1484615384615386</v>
      </c>
      <c r="Z17" s="29">
        <v>9</v>
      </c>
      <c r="AA17" s="29" t="s">
        <v>58</v>
      </c>
      <c r="AB17" s="41">
        <f t="shared" si="11"/>
        <v>-0.69</v>
      </c>
      <c r="AC17" s="42">
        <v>0.21494987962962961</v>
      </c>
      <c r="AD17" s="40">
        <f t="shared" si="12"/>
        <v>-16.611326697777773</v>
      </c>
      <c r="AE17" s="40">
        <v>-7.32</v>
      </c>
      <c r="AF17" s="40">
        <v>-9.1364599999999996</v>
      </c>
      <c r="AG17" s="40">
        <v>0</v>
      </c>
    </row>
    <row r="18" spans="1:33" ht="15.75" customHeight="1" x14ac:dyDescent="0.2">
      <c r="A18" s="29" t="s">
        <v>46</v>
      </c>
      <c r="B18" s="29" t="s">
        <v>452</v>
      </c>
      <c r="C18" s="16">
        <f t="shared" si="4"/>
        <v>35.42226666666663</v>
      </c>
      <c r="D18" s="30">
        <v>75</v>
      </c>
      <c r="E18" s="30">
        <v>0</v>
      </c>
      <c r="F18" s="33">
        <v>2656.6699999999973</v>
      </c>
      <c r="G18" s="31">
        <v>-98.22</v>
      </c>
      <c r="H18" s="32">
        <f t="shared" si="1"/>
        <v>3.6971095393857761E-2</v>
      </c>
      <c r="I18" s="32">
        <f t="shared" si="2"/>
        <v>0.34007523985227073</v>
      </c>
      <c r="J18" s="33">
        <f t="shared" si="5"/>
        <v>903.46768745833117</v>
      </c>
      <c r="K18" s="33">
        <f t="shared" si="3"/>
        <v>12.046235832777748</v>
      </c>
      <c r="L18" s="30">
        <v>137</v>
      </c>
      <c r="M18" s="34">
        <f t="shared" si="6"/>
        <v>0.54744525547445255</v>
      </c>
      <c r="N18" s="30">
        <v>114</v>
      </c>
      <c r="O18" s="35">
        <f t="shared" ref="O18:P18" si="26">D18/7</f>
        <v>10.714285714285714</v>
      </c>
      <c r="P18" s="35">
        <f t="shared" si="26"/>
        <v>0</v>
      </c>
      <c r="Q18" s="30">
        <f t="shared" si="8"/>
        <v>10</v>
      </c>
      <c r="R18" s="30"/>
      <c r="S18" s="36">
        <v>4.04819277108433</v>
      </c>
      <c r="T18" s="29">
        <v>2332</v>
      </c>
      <c r="U18" s="37">
        <v>1300</v>
      </c>
      <c r="V18" s="38" t="s">
        <v>777</v>
      </c>
      <c r="W18" s="29">
        <v>11</v>
      </c>
      <c r="X18" s="39">
        <f t="shared" si="9"/>
        <v>0.14666666666666667</v>
      </c>
      <c r="Y18" s="40">
        <f t="shared" si="10"/>
        <v>4.0925000000000002</v>
      </c>
      <c r="Z18" s="29">
        <v>13</v>
      </c>
      <c r="AA18" s="29" t="s">
        <v>58</v>
      </c>
      <c r="AB18" s="41">
        <f t="shared" si="11"/>
        <v>-0.69</v>
      </c>
      <c r="AC18" s="42">
        <v>0.21494987962962961</v>
      </c>
      <c r="AD18" s="40">
        <f t="shared" si="12"/>
        <v>-22.247312541666663</v>
      </c>
      <c r="AE18" s="40">
        <v>-7.32</v>
      </c>
      <c r="AF18" s="40">
        <v>-9.1364599999999996</v>
      </c>
      <c r="AG18" s="40">
        <v>0</v>
      </c>
    </row>
    <row r="19" spans="1:33" ht="15.75" customHeight="1" x14ac:dyDescent="0.2">
      <c r="A19" s="29" t="s">
        <v>47</v>
      </c>
      <c r="B19" s="29" t="s">
        <v>778</v>
      </c>
      <c r="C19" s="16">
        <f t="shared" si="4"/>
        <v>34.627605633802816</v>
      </c>
      <c r="D19" s="30">
        <v>71</v>
      </c>
      <c r="E19" s="30">
        <v>1</v>
      </c>
      <c r="F19" s="33">
        <v>2458.56</v>
      </c>
      <c r="G19" s="31">
        <v>-85.59</v>
      </c>
      <c r="H19" s="32">
        <f t="shared" si="1"/>
        <v>3.4813061304178057E-2</v>
      </c>
      <c r="I19" s="32">
        <f t="shared" si="2"/>
        <v>0.33137956803734253</v>
      </c>
      <c r="J19" s="33">
        <f t="shared" si="5"/>
        <v>814.71655079388881</v>
      </c>
      <c r="K19" s="33">
        <f t="shared" si="3"/>
        <v>11.474880997097026</v>
      </c>
      <c r="L19" s="30">
        <v>136</v>
      </c>
      <c r="M19" s="34">
        <f t="shared" si="6"/>
        <v>0.5220588235294118</v>
      </c>
      <c r="N19" s="30">
        <v>500</v>
      </c>
      <c r="O19" s="35">
        <f t="shared" ref="O19:P19" si="27">D19/7</f>
        <v>10.142857142857142</v>
      </c>
      <c r="P19" s="35">
        <f t="shared" si="27"/>
        <v>0.14285714285714285</v>
      </c>
      <c r="Q19" s="30">
        <f t="shared" si="8"/>
        <v>48</v>
      </c>
      <c r="R19" s="30"/>
      <c r="S19" s="36">
        <v>1.2916666666666601</v>
      </c>
      <c r="T19" s="29">
        <v>2154</v>
      </c>
      <c r="U19" s="37">
        <v>1306</v>
      </c>
      <c r="V19" s="38" t="s">
        <v>779</v>
      </c>
      <c r="W19" s="29">
        <v>8</v>
      </c>
      <c r="X19" s="39">
        <f t="shared" si="9"/>
        <v>0.11267605633802817</v>
      </c>
      <c r="Y19" s="40">
        <f t="shared" si="10"/>
        <v>3.8904545454545456</v>
      </c>
      <c r="Z19" s="29">
        <v>14</v>
      </c>
      <c r="AA19" s="29" t="s">
        <v>58</v>
      </c>
      <c r="AB19" s="41">
        <f t="shared" si="11"/>
        <v>-0.69</v>
      </c>
      <c r="AC19" s="42">
        <v>0.21494987962962961</v>
      </c>
      <c r="AD19" s="40">
        <f t="shared" si="12"/>
        <v>-21.060789206111107</v>
      </c>
      <c r="AE19" s="40">
        <v>-7.32</v>
      </c>
      <c r="AF19" s="40">
        <v>-9.1364599999999996</v>
      </c>
      <c r="AG19" s="40">
        <v>0</v>
      </c>
    </row>
    <row r="20" spans="1:33" ht="15.75" customHeight="1" x14ac:dyDescent="0.2">
      <c r="A20" s="29" t="s">
        <v>48</v>
      </c>
      <c r="B20" s="29" t="s">
        <v>506</v>
      </c>
      <c r="C20" s="16">
        <f t="shared" si="4"/>
        <v>34.251000000000026</v>
      </c>
      <c r="D20" s="30">
        <v>50</v>
      </c>
      <c r="E20" s="30">
        <v>1</v>
      </c>
      <c r="F20" s="33">
        <v>1712.5500000000013</v>
      </c>
      <c r="G20" s="31">
        <v>-72.210000000000008</v>
      </c>
      <c r="H20" s="32">
        <f t="shared" si="1"/>
        <v>4.2165192257160346E-2</v>
      </c>
      <c r="I20" s="32">
        <f t="shared" si="2"/>
        <v>0.31870775060906614</v>
      </c>
      <c r="J20" s="33">
        <f t="shared" si="5"/>
        <v>545.80295830555667</v>
      </c>
      <c r="K20" s="33">
        <f t="shared" si="3"/>
        <v>10.916059166111133</v>
      </c>
      <c r="L20" s="30">
        <v>145</v>
      </c>
      <c r="M20" s="34">
        <f t="shared" si="6"/>
        <v>0.34482758620689657</v>
      </c>
      <c r="N20" s="30">
        <v>428</v>
      </c>
      <c r="O20" s="35">
        <f t="shared" ref="O20:P20" si="28">D20/7</f>
        <v>7.1428571428571432</v>
      </c>
      <c r="P20" s="35">
        <f t="shared" si="28"/>
        <v>0.14285714285714285</v>
      </c>
      <c r="Q20" s="30">
        <f t="shared" si="8"/>
        <v>58</v>
      </c>
      <c r="R20" s="30"/>
      <c r="S20" s="36">
        <v>1.6302521008403299</v>
      </c>
      <c r="T20" s="29">
        <v>2154</v>
      </c>
      <c r="U20" s="37">
        <v>1306</v>
      </c>
      <c r="V20" s="38" t="s">
        <v>780</v>
      </c>
      <c r="W20" s="29">
        <v>5</v>
      </c>
      <c r="X20" s="39">
        <f t="shared" si="9"/>
        <v>0.1</v>
      </c>
      <c r="Y20" s="40">
        <f t="shared" si="10"/>
        <v>5.554615384615385</v>
      </c>
      <c r="Z20" s="29">
        <v>8</v>
      </c>
      <c r="AA20" s="29" t="s">
        <v>58</v>
      </c>
      <c r="AB20" s="41">
        <f t="shared" si="11"/>
        <v>-0.69</v>
      </c>
      <c r="AC20" s="42">
        <v>0.21494987962962961</v>
      </c>
      <c r="AD20" s="40">
        <f t="shared" si="12"/>
        <v>-14.831541694444441</v>
      </c>
      <c r="AE20" s="40">
        <v>-7.32</v>
      </c>
      <c r="AF20" s="40">
        <v>-9.1364599999999996</v>
      </c>
      <c r="AG20" s="40">
        <v>0</v>
      </c>
    </row>
    <row r="21" spans="1:33" ht="15.75" customHeight="1" x14ac:dyDescent="0.2">
      <c r="A21" s="29" t="s">
        <v>49</v>
      </c>
      <c r="B21" s="29" t="s">
        <v>535</v>
      </c>
      <c r="C21" s="16">
        <f t="shared" si="4"/>
        <v>34.545416666666661</v>
      </c>
      <c r="D21" s="30">
        <v>72</v>
      </c>
      <c r="E21" s="30">
        <v>0</v>
      </c>
      <c r="F21" s="33">
        <v>2487.2699999999995</v>
      </c>
      <c r="G21" s="31">
        <v>-54.55</v>
      </c>
      <c r="H21" s="32">
        <f t="shared" si="1"/>
        <v>2.1931676094674082E-2</v>
      </c>
      <c r="I21" s="32">
        <f t="shared" si="2"/>
        <v>0.34310989959272609</v>
      </c>
      <c r="J21" s="33">
        <f t="shared" si="5"/>
        <v>853.40695995999965</v>
      </c>
      <c r="K21" s="33">
        <f t="shared" si="3"/>
        <v>11.852874443888885</v>
      </c>
      <c r="L21" s="30">
        <v>91</v>
      </c>
      <c r="M21" s="34">
        <f t="shared" si="6"/>
        <v>0.79120879120879117</v>
      </c>
      <c r="N21" s="30">
        <v>305</v>
      </c>
      <c r="O21" s="35">
        <f t="shared" ref="O21:P21" si="29">D21/7</f>
        <v>10.285714285714286</v>
      </c>
      <c r="P21" s="35">
        <f t="shared" si="29"/>
        <v>0</v>
      </c>
      <c r="Q21" s="30">
        <f t="shared" si="8"/>
        <v>29</v>
      </c>
      <c r="R21" s="30"/>
      <c r="S21" s="36">
        <v>2.9409368635437798</v>
      </c>
      <c r="T21" s="29">
        <v>4054</v>
      </c>
      <c r="U21" s="37">
        <v>1306</v>
      </c>
      <c r="V21" s="38" t="s">
        <v>781</v>
      </c>
      <c r="W21" s="29">
        <v>6</v>
      </c>
      <c r="X21" s="39">
        <f t="shared" si="9"/>
        <v>8.3333333333333329E-2</v>
      </c>
      <c r="Y21" s="40">
        <f t="shared" si="10"/>
        <v>4.1961538461538463</v>
      </c>
      <c r="Z21" s="29">
        <v>7</v>
      </c>
      <c r="AA21" s="29" t="s">
        <v>58</v>
      </c>
      <c r="AB21" s="41">
        <f t="shared" si="11"/>
        <v>-0.69</v>
      </c>
      <c r="AC21" s="42">
        <v>0.21494987962962961</v>
      </c>
      <c r="AD21" s="40">
        <f t="shared" si="12"/>
        <v>-21.357420039999997</v>
      </c>
      <c r="AE21" s="40">
        <v>-7.32</v>
      </c>
      <c r="AF21" s="40">
        <v>-9.1364599999999996</v>
      </c>
      <c r="AG21" s="40">
        <v>0</v>
      </c>
    </row>
    <row r="22" spans="1:33" ht="15.75" customHeight="1" x14ac:dyDescent="0.2">
      <c r="A22" s="29" t="s">
        <v>50</v>
      </c>
      <c r="B22" s="29" t="s">
        <v>782</v>
      </c>
      <c r="C22" s="16">
        <f t="shared" si="4"/>
        <v>35.076034482758644</v>
      </c>
      <c r="D22" s="30">
        <v>58</v>
      </c>
      <c r="E22" s="30">
        <v>2</v>
      </c>
      <c r="F22" s="31">
        <v>2034.4100000000014</v>
      </c>
      <c r="G22" s="31">
        <v>-120.33000000000001</v>
      </c>
      <c r="H22" s="32">
        <f t="shared" si="1"/>
        <v>5.9147369507621339E-2</v>
      </c>
      <c r="I22" s="32">
        <f t="shared" si="2"/>
        <v>0.31323048531733788</v>
      </c>
      <c r="J22" s="33">
        <f t="shared" si="5"/>
        <v>637.23923163444579</v>
      </c>
      <c r="K22" s="33">
        <f t="shared" si="3"/>
        <v>10.986883304042168</v>
      </c>
      <c r="L22" s="30">
        <v>212</v>
      </c>
      <c r="M22" s="34">
        <f t="shared" si="6"/>
        <v>0.27358490566037735</v>
      </c>
      <c r="N22" s="30">
        <v>280</v>
      </c>
      <c r="O22" s="35">
        <f t="shared" ref="O22:P22" si="30">D22/7</f>
        <v>8.2857142857142865</v>
      </c>
      <c r="P22" s="35">
        <f t="shared" si="30"/>
        <v>0.2857142857142857</v>
      </c>
      <c r="Q22" s="30">
        <f t="shared" si="8"/>
        <v>32</v>
      </c>
      <c r="R22" s="30"/>
      <c r="S22" s="36">
        <v>3.5897435897435899</v>
      </c>
      <c r="T22" s="29">
        <v>4054</v>
      </c>
      <c r="U22" s="37">
        <v>1306</v>
      </c>
      <c r="V22" s="38" t="s">
        <v>781</v>
      </c>
      <c r="W22" s="29">
        <v>7</v>
      </c>
      <c r="X22" s="39">
        <f t="shared" si="9"/>
        <v>0.1206896551724138</v>
      </c>
      <c r="Y22" s="40">
        <f t="shared" si="10"/>
        <v>5.2317391304347831</v>
      </c>
      <c r="Z22" s="29">
        <v>16</v>
      </c>
      <c r="AA22" s="29" t="s">
        <v>58</v>
      </c>
      <c r="AB22" s="41">
        <f t="shared" si="11"/>
        <v>-0.69</v>
      </c>
      <c r="AC22" s="42">
        <v>0.21494987962962961</v>
      </c>
      <c r="AD22" s="40">
        <f t="shared" si="12"/>
        <v>-17.204588365555551</v>
      </c>
      <c r="AE22" s="40">
        <v>-7.32</v>
      </c>
      <c r="AF22" s="40">
        <v>-9.1364599999999996</v>
      </c>
      <c r="AG22" s="40">
        <v>0</v>
      </c>
    </row>
    <row r="23" spans="1:33" ht="15.75" customHeight="1" x14ac:dyDescent="0.2">
      <c r="A23" s="29" t="s">
        <v>51</v>
      </c>
      <c r="B23" s="29" t="s">
        <v>783</v>
      </c>
      <c r="C23" s="16">
        <f t="shared" si="4"/>
        <v>27.225238095238097</v>
      </c>
      <c r="D23" s="30">
        <v>84</v>
      </c>
      <c r="E23" s="30">
        <v>3</v>
      </c>
      <c r="F23" s="33">
        <v>2286.92</v>
      </c>
      <c r="G23" s="31">
        <v>-65.550000000000011</v>
      </c>
      <c r="H23" s="32">
        <f t="shared" si="1"/>
        <v>2.8663005264722864E-2</v>
      </c>
      <c r="I23" s="32">
        <f t="shared" si="2"/>
        <v>0.20598550450095912</v>
      </c>
      <c r="J23" s="33">
        <f t="shared" si="5"/>
        <v>471.07236995333346</v>
      </c>
      <c r="K23" s="33">
        <f t="shared" si="3"/>
        <v>5.6080044042063504</v>
      </c>
      <c r="L23" s="30">
        <v>187</v>
      </c>
      <c r="M23" s="34">
        <f t="shared" si="6"/>
        <v>0.44919786096256686</v>
      </c>
      <c r="N23" s="30">
        <v>228</v>
      </c>
      <c r="O23" s="35">
        <f t="shared" ref="O23:P23" si="31">D23/7</f>
        <v>12</v>
      </c>
      <c r="P23" s="35">
        <f t="shared" si="31"/>
        <v>0.42857142857142855</v>
      </c>
      <c r="Q23" s="30">
        <f t="shared" si="8"/>
        <v>18</v>
      </c>
      <c r="R23" s="30"/>
      <c r="S23" s="36">
        <v>4.7244897959183598</v>
      </c>
      <c r="T23" s="29">
        <v>4054</v>
      </c>
      <c r="U23" s="37">
        <v>1306</v>
      </c>
      <c r="V23" s="38" t="s">
        <v>784</v>
      </c>
      <c r="W23" s="29">
        <v>4</v>
      </c>
      <c r="X23" s="39">
        <f t="shared" si="9"/>
        <v>4.7619047619047616E-2</v>
      </c>
      <c r="Y23" s="40">
        <f t="shared" si="10"/>
        <v>2.9795454545454549</v>
      </c>
      <c r="Z23" s="29">
        <v>18</v>
      </c>
      <c r="AA23" s="29" t="s">
        <v>58</v>
      </c>
      <c r="AB23" s="41">
        <f t="shared" si="11"/>
        <v>-0.69</v>
      </c>
      <c r="AC23" s="42">
        <v>0.21494987962962961</v>
      </c>
      <c r="AD23" s="40">
        <f t="shared" si="12"/>
        <v>-24.916990046666662</v>
      </c>
      <c r="AE23" s="40">
        <v>-7.32</v>
      </c>
      <c r="AF23" s="40">
        <v>-9.1364599999999996</v>
      </c>
      <c r="AG23" s="40">
        <v>0</v>
      </c>
    </row>
    <row r="24" spans="1:33" ht="15.75" customHeight="1" x14ac:dyDescent="0.2">
      <c r="A24" s="29" t="s">
        <v>52</v>
      </c>
      <c r="B24" s="29" t="s">
        <v>642</v>
      </c>
      <c r="C24" s="16">
        <f t="shared" si="4"/>
        <v>24.845714285714287</v>
      </c>
      <c r="D24" s="30">
        <v>98</v>
      </c>
      <c r="E24" s="30">
        <v>4</v>
      </c>
      <c r="F24" s="33">
        <v>2434.88</v>
      </c>
      <c r="G24" s="33">
        <v>-6.9</v>
      </c>
      <c r="H24" s="32">
        <f t="shared" si="1"/>
        <v>2.8338152188198185E-3</v>
      </c>
      <c r="I24" s="32">
        <f t="shared" si="2"/>
        <v>0.17288125011453914</v>
      </c>
      <c r="J24" s="33">
        <f t="shared" si="5"/>
        <v>420.94509827888908</v>
      </c>
      <c r="K24" s="33">
        <f t="shared" si="3"/>
        <v>4.2953581457029495</v>
      </c>
      <c r="L24" s="30">
        <v>212</v>
      </c>
      <c r="M24" s="34">
        <f t="shared" si="6"/>
        <v>0.46226415094339623</v>
      </c>
      <c r="N24" s="30">
        <v>131</v>
      </c>
      <c r="O24" s="35">
        <f t="shared" ref="O24:P24" si="32">D24/7</f>
        <v>14</v>
      </c>
      <c r="P24" s="35">
        <f t="shared" si="32"/>
        <v>0.5714285714285714</v>
      </c>
      <c r="Q24" s="30">
        <f t="shared" si="8"/>
        <v>8</v>
      </c>
      <c r="R24" s="30"/>
      <c r="S24" s="36">
        <v>2.4256684491978602</v>
      </c>
      <c r="T24" s="29">
        <v>4054</v>
      </c>
      <c r="U24" s="37">
        <v>1306</v>
      </c>
      <c r="V24" s="38" t="s">
        <v>784</v>
      </c>
      <c r="W24" s="29">
        <v>1</v>
      </c>
      <c r="X24" s="39">
        <f t="shared" si="9"/>
        <v>1.020408163265306E-2</v>
      </c>
      <c r="Y24" s="40">
        <f t="shared" si="10"/>
        <v>6.9</v>
      </c>
      <c r="Z24" s="29">
        <v>0</v>
      </c>
      <c r="AA24" s="29" t="s">
        <v>58</v>
      </c>
      <c r="AB24" s="41">
        <f t="shared" si="11"/>
        <v>-0.69</v>
      </c>
      <c r="AC24" s="42">
        <v>0.21494987962962961</v>
      </c>
      <c r="AD24" s="40">
        <f t="shared" si="12"/>
        <v>-29.069821721111104</v>
      </c>
      <c r="AE24" s="40">
        <v>-7.32</v>
      </c>
      <c r="AF24" s="40">
        <v>-9.1364599999999996</v>
      </c>
      <c r="AG24" s="40">
        <v>0</v>
      </c>
    </row>
    <row r="25" spans="1:33" ht="15.75" customHeight="1" x14ac:dyDescent="0.2">
      <c r="A25" s="29" t="s">
        <v>53</v>
      </c>
      <c r="B25" s="15" t="s">
        <v>785</v>
      </c>
      <c r="C25" s="16">
        <f t="shared" si="4"/>
        <v>27.87</v>
      </c>
      <c r="D25" s="30">
        <v>115</v>
      </c>
      <c r="E25" s="30">
        <v>11</v>
      </c>
      <c r="F25" s="33">
        <v>3205.05</v>
      </c>
      <c r="G25" s="33">
        <v>0</v>
      </c>
      <c r="H25" s="32">
        <f t="shared" si="1"/>
        <v>0</v>
      </c>
      <c r="I25" s="32">
        <f t="shared" si="2"/>
        <v>0.24875741536100138</v>
      </c>
      <c r="J25" s="33">
        <f t="shared" si="5"/>
        <v>797.27995410277754</v>
      </c>
      <c r="K25" s="33">
        <f t="shared" si="3"/>
        <v>6.932869166111109</v>
      </c>
      <c r="L25" s="30">
        <v>264</v>
      </c>
      <c r="M25" s="34">
        <f t="shared" si="6"/>
        <v>0.43560606060606061</v>
      </c>
      <c r="N25" s="30">
        <v>1323</v>
      </c>
      <c r="O25" s="35">
        <f t="shared" ref="O25:P25" si="33">D25/7</f>
        <v>16.428571428571427</v>
      </c>
      <c r="P25" s="35">
        <f t="shared" si="33"/>
        <v>1.5714285714285714</v>
      </c>
      <c r="Q25" s="30">
        <f t="shared" si="8"/>
        <v>73</v>
      </c>
      <c r="R25" s="30"/>
      <c r="S25" s="36">
        <v>1.501312335958005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0.21494987962962961</v>
      </c>
      <c r="AD25" s="40">
        <f t="shared" si="12"/>
        <v>-34.112545897222219</v>
      </c>
      <c r="AE25" s="40">
        <v>-7.32</v>
      </c>
      <c r="AF25" s="40">
        <v>-9.14</v>
      </c>
      <c r="AG25" s="40">
        <v>0</v>
      </c>
    </row>
    <row r="26" spans="1:33" ht="15.75" customHeight="1" x14ac:dyDescent="0.2">
      <c r="A26" s="15" t="s">
        <v>54</v>
      </c>
      <c r="B26" s="51" t="s">
        <v>786</v>
      </c>
      <c r="C26" s="16">
        <f t="shared" si="4"/>
        <v>30.290446428571432</v>
      </c>
      <c r="D26" s="17">
        <v>112</v>
      </c>
      <c r="E26" s="17">
        <v>15</v>
      </c>
      <c r="F26" s="18">
        <v>3392.53</v>
      </c>
      <c r="G26" s="18">
        <v>-55.22</v>
      </c>
      <c r="H26" s="32">
        <f t="shared" si="1"/>
        <v>1.6276937860534763E-2</v>
      </c>
      <c r="I26" s="32">
        <f t="shared" si="2"/>
        <v>0.28526330691385038</v>
      </c>
      <c r="J26" s="33">
        <f t="shared" si="5"/>
        <v>967.76432660444493</v>
      </c>
      <c r="K26" s="33">
        <f t="shared" si="3"/>
        <v>8.640752916111115</v>
      </c>
      <c r="L26" s="17">
        <v>246</v>
      </c>
      <c r="M26" s="34">
        <f t="shared" si="6"/>
        <v>0.45528455284552843</v>
      </c>
      <c r="N26" s="17">
        <v>1253</v>
      </c>
      <c r="O26" s="35">
        <f t="shared" ref="O26:P26" si="34">D26/7</f>
        <v>16</v>
      </c>
      <c r="P26" s="35">
        <f t="shared" si="34"/>
        <v>2.1428571428571428</v>
      </c>
      <c r="Q26" s="30">
        <f t="shared" si="8"/>
        <v>69</v>
      </c>
      <c r="R26" s="30"/>
      <c r="S26" s="22">
        <v>1.790241166573191</v>
      </c>
      <c r="T26" s="15">
        <v>2748</v>
      </c>
      <c r="U26" s="23">
        <v>400</v>
      </c>
      <c r="V26" s="1" t="s">
        <v>787</v>
      </c>
      <c r="W26" s="15">
        <v>5</v>
      </c>
      <c r="X26" s="39">
        <f t="shared" si="9"/>
        <v>4.4642857142857144E-2</v>
      </c>
      <c r="Y26" s="40">
        <f t="shared" si="10"/>
        <v>3.9442857142857144</v>
      </c>
      <c r="Z26" s="15">
        <v>9</v>
      </c>
      <c r="AA26" s="29" t="s">
        <v>58</v>
      </c>
      <c r="AB26" s="41">
        <f t="shared" si="11"/>
        <v>-0.69</v>
      </c>
      <c r="AC26" s="42">
        <v>0.21494987962962961</v>
      </c>
      <c r="AD26" s="40">
        <f t="shared" si="12"/>
        <v>-33.222653395555547</v>
      </c>
      <c r="AE26" s="26">
        <v>-7.18</v>
      </c>
      <c r="AF26" s="26">
        <v>-9.1364599999999996</v>
      </c>
      <c r="AG26" s="26">
        <v>0</v>
      </c>
    </row>
    <row r="27" spans="1:33" ht="15.75" customHeight="1" x14ac:dyDescent="0.2">
      <c r="A27" s="15" t="s">
        <v>74</v>
      </c>
      <c r="B27" s="15" t="s">
        <v>788</v>
      </c>
      <c r="C27" s="16">
        <f t="shared" si="4"/>
        <v>28.940517241379307</v>
      </c>
      <c r="D27" s="17">
        <v>174</v>
      </c>
      <c r="E27" s="17">
        <v>5</v>
      </c>
      <c r="F27" s="18">
        <v>5035.6499999999996</v>
      </c>
      <c r="G27" s="18">
        <v>-146.24</v>
      </c>
      <c r="H27" s="32">
        <f t="shared" si="1"/>
        <v>2.9040938111266672E-2</v>
      </c>
      <c r="I27" s="32">
        <f t="shared" si="2"/>
        <v>0.24691642487133408</v>
      </c>
      <c r="J27" s="33">
        <f t="shared" si="5"/>
        <v>1243.3846949033334</v>
      </c>
      <c r="K27" s="33">
        <f t="shared" si="3"/>
        <v>7.1458890511685826</v>
      </c>
      <c r="L27" s="17">
        <v>320</v>
      </c>
      <c r="M27" s="34">
        <f t="shared" si="6"/>
        <v>0.54374999999999996</v>
      </c>
      <c r="N27" s="17">
        <v>756</v>
      </c>
      <c r="O27" s="35">
        <f t="shared" ref="O27:P27" si="35">D27/7</f>
        <v>24.857142857142858</v>
      </c>
      <c r="P27" s="35">
        <f t="shared" si="35"/>
        <v>0.7142857142857143</v>
      </c>
      <c r="Q27" s="30">
        <f t="shared" si="8"/>
        <v>29</v>
      </c>
      <c r="R27" s="30"/>
      <c r="S27" s="22">
        <v>2.5119277885235332</v>
      </c>
      <c r="T27" s="15">
        <v>988</v>
      </c>
      <c r="U27" s="23">
        <v>400</v>
      </c>
      <c r="V27" s="1" t="s">
        <v>787</v>
      </c>
      <c r="W27" s="15">
        <v>20</v>
      </c>
      <c r="X27" s="39">
        <f t="shared" si="9"/>
        <v>0.11494252873563218</v>
      </c>
      <c r="Y27" s="40">
        <f t="shared" si="10"/>
        <v>3.566829268292683</v>
      </c>
      <c r="Z27" s="15">
        <v>21</v>
      </c>
      <c r="AA27" s="29" t="s">
        <v>58</v>
      </c>
      <c r="AB27" s="41">
        <f t="shared" si="11"/>
        <v>-0.69</v>
      </c>
      <c r="AC27" s="42">
        <v>0.21494987962962961</v>
      </c>
      <c r="AD27" s="40">
        <f t="shared" si="12"/>
        <v>-51.613765096666654</v>
      </c>
      <c r="AE27" s="26">
        <v>-7.18</v>
      </c>
      <c r="AF27" s="26">
        <v>-9.1364599999999996</v>
      </c>
      <c r="AG27" s="26">
        <v>0</v>
      </c>
    </row>
    <row r="28" spans="1:33" ht="15.75" customHeight="1" x14ac:dyDescent="0.2">
      <c r="A28" s="15" t="s">
        <v>75</v>
      </c>
      <c r="B28" s="15" t="s">
        <v>789</v>
      </c>
      <c r="C28" s="16">
        <f t="shared" si="4"/>
        <v>29.640139860139861</v>
      </c>
      <c r="D28" s="17">
        <v>143</v>
      </c>
      <c r="E28" s="17">
        <v>3</v>
      </c>
      <c r="F28" s="18">
        <v>4238.54</v>
      </c>
      <c r="G28" s="18">
        <v>-287.52999999999992</v>
      </c>
      <c r="H28" s="32">
        <f t="shared" si="1"/>
        <v>6.7837038225426666E-2</v>
      </c>
      <c r="I28" s="32">
        <f t="shared" si="2"/>
        <v>0.22166996436364625</v>
      </c>
      <c r="J28" s="33">
        <f t="shared" si="5"/>
        <v>939.55701075388913</v>
      </c>
      <c r="K28" s="33">
        <f t="shared" si="3"/>
        <v>6.5703287465306932</v>
      </c>
      <c r="L28" s="17">
        <v>418</v>
      </c>
      <c r="M28" s="34">
        <f t="shared" si="6"/>
        <v>0.34210526315789475</v>
      </c>
      <c r="N28" s="17">
        <v>946</v>
      </c>
      <c r="O28" s="35">
        <f t="shared" ref="O28:P28" si="36">D28/7</f>
        <v>20.428571428571427</v>
      </c>
      <c r="P28" s="35">
        <f t="shared" si="36"/>
        <v>0.42857142857142855</v>
      </c>
      <c r="Q28" s="30">
        <f t="shared" si="8"/>
        <v>45</v>
      </c>
      <c r="R28" s="30"/>
      <c r="S28" s="22">
        <v>2.3928004235045002</v>
      </c>
      <c r="T28" s="15">
        <v>1288</v>
      </c>
      <c r="U28" s="23">
        <v>400</v>
      </c>
      <c r="V28" s="1" t="s">
        <v>790</v>
      </c>
      <c r="W28" s="15">
        <v>30</v>
      </c>
      <c r="X28" s="39">
        <f t="shared" si="9"/>
        <v>0.20979020979020979</v>
      </c>
      <c r="Y28" s="40">
        <f t="shared" si="10"/>
        <v>3.0266315789473675</v>
      </c>
      <c r="Z28" s="15">
        <v>65</v>
      </c>
      <c r="AA28" s="29" t="s">
        <v>58</v>
      </c>
      <c r="AB28" s="41">
        <f t="shared" si="11"/>
        <v>-0.69</v>
      </c>
      <c r="AC28" s="42">
        <v>0.21494987962962961</v>
      </c>
      <c r="AD28" s="40">
        <f t="shared" si="12"/>
        <v>-42.418209246111104</v>
      </c>
      <c r="AE28" s="26">
        <v>-7.18</v>
      </c>
      <c r="AF28" s="26">
        <v>-9.1364599999999996</v>
      </c>
      <c r="AG28" s="26">
        <v>0</v>
      </c>
    </row>
    <row r="29" spans="1:33" ht="15.75" customHeight="1" x14ac:dyDescent="0.2">
      <c r="A29" s="15" t="s">
        <v>77</v>
      </c>
      <c r="B29" s="15" t="s">
        <v>791</v>
      </c>
      <c r="C29" s="16">
        <f t="shared" si="4"/>
        <v>29.132111801242239</v>
      </c>
      <c r="D29" s="17">
        <v>161</v>
      </c>
      <c r="E29" s="17">
        <v>4</v>
      </c>
      <c r="F29" s="18">
        <v>4690.2700000000004</v>
      </c>
      <c r="G29" s="18">
        <v>-447.5800000000001</v>
      </c>
      <c r="H29" s="32">
        <f t="shared" si="1"/>
        <v>9.5427342135953802E-2</v>
      </c>
      <c r="I29" s="32">
        <f t="shared" si="2"/>
        <v>0.1833938996121523</v>
      </c>
      <c r="J29" s="33">
        <f t="shared" si="5"/>
        <v>860.16690553388969</v>
      </c>
      <c r="K29" s="33">
        <f t="shared" si="3"/>
        <v>5.3426515871670164</v>
      </c>
      <c r="L29" s="17">
        <v>406</v>
      </c>
      <c r="M29" s="34">
        <f t="shared" si="6"/>
        <v>0.39655172413793105</v>
      </c>
      <c r="N29" s="17">
        <v>786</v>
      </c>
      <c r="O29" s="35">
        <f t="shared" ref="O29:P29" si="37">D29/7</f>
        <v>23</v>
      </c>
      <c r="P29" s="35">
        <f t="shared" si="37"/>
        <v>0.5714285714285714</v>
      </c>
      <c r="Q29" s="30">
        <f t="shared" si="8"/>
        <v>33</v>
      </c>
      <c r="R29" s="30"/>
      <c r="S29" s="22">
        <v>3.1523510971786828</v>
      </c>
      <c r="T29" s="15">
        <v>1288</v>
      </c>
      <c r="U29" s="23">
        <v>400</v>
      </c>
      <c r="V29" s="1" t="s">
        <v>790</v>
      </c>
      <c r="W29" s="15">
        <v>36</v>
      </c>
      <c r="X29" s="39">
        <f t="shared" si="9"/>
        <v>0.2236024844720497</v>
      </c>
      <c r="Y29" s="40">
        <f t="shared" si="10"/>
        <v>3.3401492537313442</v>
      </c>
      <c r="Z29" s="15">
        <v>98</v>
      </c>
      <c r="AA29" s="29" t="s">
        <v>58</v>
      </c>
      <c r="AB29" s="41">
        <f t="shared" si="11"/>
        <v>-0.69</v>
      </c>
      <c r="AC29" s="42">
        <v>0.21494987962962961</v>
      </c>
      <c r="AD29" s="40">
        <f t="shared" si="12"/>
        <v>-47.757564256111102</v>
      </c>
      <c r="AE29" s="26">
        <v>-7.18</v>
      </c>
      <c r="AF29" s="26">
        <v>-9.1630126099999991</v>
      </c>
      <c r="AG29" s="26">
        <v>0</v>
      </c>
    </row>
    <row r="30" spans="1:33" ht="15.75" customHeight="1" x14ac:dyDescent="0.2">
      <c r="A30" s="15" t="s">
        <v>78</v>
      </c>
      <c r="B30" s="15" t="s">
        <v>792</v>
      </c>
      <c r="C30" s="16">
        <f t="shared" si="4"/>
        <v>27.988496732026107</v>
      </c>
      <c r="D30" s="17">
        <v>153</v>
      </c>
      <c r="E30" s="17">
        <v>5</v>
      </c>
      <c r="F30" s="18">
        <v>4282.2399999999943</v>
      </c>
      <c r="G30" s="18">
        <v>-413.72</v>
      </c>
      <c r="H30" s="32">
        <f t="shared" si="1"/>
        <v>9.6612987595277366E-2</v>
      </c>
      <c r="I30" s="32">
        <f t="shared" si="2"/>
        <v>0.18635326852097206</v>
      </c>
      <c r="J30" s="33">
        <f t="shared" si="5"/>
        <v>798.00942059124634</v>
      </c>
      <c r="K30" s="33">
        <f t="shared" si="3"/>
        <v>5.2157478470016096</v>
      </c>
      <c r="L30" s="17">
        <v>360</v>
      </c>
      <c r="M30" s="34">
        <f t="shared" si="6"/>
        <v>0.42499999999999999</v>
      </c>
      <c r="N30" s="17">
        <v>623</v>
      </c>
      <c r="O30" s="35">
        <f t="shared" ref="O30:P30" si="38">D30/7</f>
        <v>21.857142857142858</v>
      </c>
      <c r="P30" s="35">
        <f t="shared" si="38"/>
        <v>0.7142857142857143</v>
      </c>
      <c r="Q30" s="30">
        <f t="shared" si="8"/>
        <v>27</v>
      </c>
      <c r="R30" s="30"/>
      <c r="S30" s="22">
        <v>2.095387021110243</v>
      </c>
      <c r="T30" s="29">
        <v>988</v>
      </c>
      <c r="U30" s="37">
        <v>400</v>
      </c>
      <c r="V30" s="38" t="s">
        <v>787</v>
      </c>
      <c r="W30" s="15">
        <v>33</v>
      </c>
      <c r="X30" s="39">
        <f t="shared" si="9"/>
        <v>0.21568627450980393</v>
      </c>
      <c r="Y30" s="40">
        <f t="shared" si="10"/>
        <v>3.5360683760683762</v>
      </c>
      <c r="Z30" s="15">
        <v>84</v>
      </c>
      <c r="AA30" s="29" t="s">
        <v>58</v>
      </c>
      <c r="AB30" s="41">
        <f t="shared" si="11"/>
        <v>-0.69</v>
      </c>
      <c r="AC30" s="42">
        <v>0.21494987962962961</v>
      </c>
      <c r="AD30" s="40">
        <f t="shared" si="12"/>
        <v>-45.38451758499999</v>
      </c>
      <c r="AE30" s="26">
        <v>-7.18</v>
      </c>
      <c r="AF30" s="26">
        <v>-8.3937912537499901</v>
      </c>
      <c r="AG30" s="26">
        <v>0</v>
      </c>
    </row>
    <row r="31" spans="1:33" ht="15.75" customHeight="1" x14ac:dyDescent="0.2">
      <c r="A31" s="15" t="s">
        <v>55</v>
      </c>
      <c r="B31" s="15" t="s">
        <v>793</v>
      </c>
      <c r="C31" s="16">
        <f t="shared" si="4"/>
        <v>28.623552631578921</v>
      </c>
      <c r="D31" s="17">
        <v>152</v>
      </c>
      <c r="E31" s="17">
        <v>6</v>
      </c>
      <c r="F31" s="18">
        <v>4350.7799999999961</v>
      </c>
      <c r="G31" s="43">
        <v>-357.41999999999996</v>
      </c>
      <c r="H31" s="32">
        <f t="shared" si="1"/>
        <v>8.2150786755478392E-2</v>
      </c>
      <c r="I31" s="32">
        <f t="shared" si="2"/>
        <v>0.2133959526059433</v>
      </c>
      <c r="J31" s="33">
        <f t="shared" si="5"/>
        <v>928.43884267888518</v>
      </c>
      <c r="K31" s="33">
        <f t="shared" si="3"/>
        <v>6.1081502807821391</v>
      </c>
      <c r="L31" s="17">
        <v>450</v>
      </c>
      <c r="M31" s="34">
        <f t="shared" si="6"/>
        <v>0.33777777777777779</v>
      </c>
      <c r="N31" s="17">
        <v>465</v>
      </c>
      <c r="O31" s="35">
        <f t="shared" ref="O31:P31" si="39">D31/7</f>
        <v>21.714285714285715</v>
      </c>
      <c r="P31" s="35">
        <f t="shared" si="39"/>
        <v>0.8571428571428571</v>
      </c>
      <c r="Q31" s="30">
        <f t="shared" si="8"/>
        <v>20</v>
      </c>
      <c r="R31" s="30"/>
      <c r="S31" s="22">
        <v>2.61650045330915</v>
      </c>
      <c r="T31" s="15">
        <v>788</v>
      </c>
      <c r="U31" s="23">
        <v>200</v>
      </c>
      <c r="V31" s="1" t="s">
        <v>794</v>
      </c>
      <c r="W31" s="15">
        <v>3</v>
      </c>
      <c r="X31" s="39">
        <f t="shared" si="9"/>
        <v>1.9736842105263157E-2</v>
      </c>
      <c r="Y31" s="40">
        <f t="shared" si="10"/>
        <v>44.677499999999995</v>
      </c>
      <c r="Z31" s="15">
        <v>5</v>
      </c>
      <c r="AA31" s="15" t="s">
        <v>58</v>
      </c>
      <c r="AB31" s="41">
        <f t="shared" si="11"/>
        <v>-0.69</v>
      </c>
      <c r="AC31" s="28">
        <v>0.21494987962962961</v>
      </c>
      <c r="AD31" s="40">
        <f t="shared" si="12"/>
        <v>-45.0878867511111</v>
      </c>
      <c r="AE31" s="44">
        <v>-7.18</v>
      </c>
      <c r="AF31" s="44">
        <v>-8.393791253749999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31.256870229007635</v>
      </c>
      <c r="D32" s="17">
        <v>131</v>
      </c>
      <c r="E32" s="17">
        <v>3</v>
      </c>
      <c r="F32" s="18">
        <v>4094.65</v>
      </c>
      <c r="G32" s="18">
        <v>-185.07</v>
      </c>
      <c r="H32" s="32">
        <f t="shared" si="1"/>
        <v>4.5198002271256393E-2</v>
      </c>
      <c r="I32" s="32">
        <f t="shared" si="2"/>
        <v>0.2970601166202988</v>
      </c>
      <c r="J32" s="33">
        <f t="shared" si="5"/>
        <v>1216.3572065193066</v>
      </c>
      <c r="K32" s="33">
        <f t="shared" si="3"/>
        <v>9.2851695154145535</v>
      </c>
      <c r="L32" s="17">
        <v>297</v>
      </c>
      <c r="M32" s="34">
        <f t="shared" si="6"/>
        <v>0.44107744107744107</v>
      </c>
      <c r="N32" s="17">
        <v>306</v>
      </c>
      <c r="O32" s="35">
        <f t="shared" ref="O32:P32" si="40">D32/7</f>
        <v>18.714285714285715</v>
      </c>
      <c r="P32" s="35">
        <f t="shared" si="40"/>
        <v>0.42857142857142855</v>
      </c>
      <c r="Q32" s="30">
        <f t="shared" si="8"/>
        <v>15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3.13070220399795</v>
      </c>
      <c r="T32" s="15">
        <f ca="1">IFERROR(__xludf.DUMMYFUNCTION("IFERROR(VLOOKUP($B$2,IMPORTRANGE(""https://docs.google.com/spreadsheets/d/1KiWZV1ko8G7lnRucBRBd29jj3Be6ltMfljMDqzOkQmI/edit#gid=1381463014"",""Lookup!A:D""),4,FALSE),"""")"),788)</f>
        <v>788</v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S210718   - 200 units 09/17")</f>
        <v>| S210718   - 200 units 09/17</v>
      </c>
      <c r="W32" s="15">
        <v>11</v>
      </c>
      <c r="X32" s="39">
        <f t="shared" si="9"/>
        <v>8.3969465648854963E-2</v>
      </c>
      <c r="Y32" s="40">
        <f t="shared" si="10"/>
        <v>3.6288235294117648</v>
      </c>
      <c r="Z32" s="15">
        <v>40</v>
      </c>
      <c r="AA32" s="15" t="s">
        <v>58</v>
      </c>
      <c r="AB32" s="41">
        <f t="shared" si="11"/>
        <v>-0.69</v>
      </c>
      <c r="AC32" s="28">
        <v>0.21494987962962961</v>
      </c>
      <c r="AD32" s="40">
        <f t="shared" si="12"/>
        <v>-38.858639239444436</v>
      </c>
      <c r="AE32" s="26">
        <v>-7.18</v>
      </c>
      <c r="AF32" s="26">
        <v>-8.3937912537499901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1:33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1:33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1:33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1:33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1:33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1:33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1:33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1:33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1:33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1:33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1:33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1:33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68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Info!B1:BJ7000""),3,FALSE),"""")"),"Professional Cornhole Bags - Set of 8 Regulation All Weather Two Sided Bean Bags for Pro Corn Hole Game - 4 Red &amp; 4 Blue")</f>
        <v>Professional Cornhole Bags - Set of 8 Regulation All Weather Two Sided Bean Bags for Pro Corn Hole Game - 4 Red &amp; 4 Blue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Info!B1:BJ7000""),2,FALSE),"""")"),"B07YGPPFGF")</f>
        <v>B07YGPPFGF</v>
      </c>
      <c r="B2" s="47" t="s">
        <v>795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18.32210735735293</v>
      </c>
      <c r="D3" s="5">
        <f>SUM(D4:D99765)</f>
        <v>1781</v>
      </c>
      <c r="E3" s="5"/>
      <c r="F3" s="6">
        <f t="shared" ref="F3:G3" si="0">SUM(F4:F99765)</f>
        <v>52158.669999999991</v>
      </c>
      <c r="G3" s="6">
        <f t="shared" si="0"/>
        <v>-985.59</v>
      </c>
      <c r="H3" s="7">
        <f t="shared" ref="H3:H32" si="1">G3/F3*-1</f>
        <v>1.8895995622587772E-2</v>
      </c>
      <c r="I3" s="8">
        <f t="shared" ref="I3:I32" si="2">J3/F3</f>
        <v>0.26953548621910944</v>
      </c>
      <c r="J3" s="6">
        <f>SUM(J4:J99765)</f>
        <v>14058.612478992076</v>
      </c>
      <c r="K3" s="6">
        <f t="shared" ref="K3:K32" si="3">J3/D3</f>
        <v>7.8936622565929682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Sheet!a1:g5000""),2,FALSE),"""")"),"5.5 - March
12 - April
10.5 - May
22 - June
25 - July
18 - Aug
5 - Sept
3 - Oct
3 - Nov
6.5 - Dec
2 - Jan
4 - Feb")</f>
        <v>5.5 - March
12 - April
10.5 - May
22 - June
25 - July
18 - Aug
5 - Sept
3 - Oct
3 - Nov
6.5 - Dec
2 - Jan
4 -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QTY-263")</f>
        <v>Del QTY-263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100</v>
      </c>
      <c r="X3" s="7">
        <f>W3/D3</f>
        <v>5.6148231330713082E-2</v>
      </c>
      <c r="Y3" s="6"/>
      <c r="Z3" s="5"/>
      <c r="AA3" s="5"/>
      <c r="AB3" s="5"/>
      <c r="AC3" s="5"/>
      <c r="AD3" s="6">
        <f>SUM(AD4:AD99765)</f>
        <v>-520.00924062166666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487</v>
      </c>
      <c r="C4" s="16">
        <f t="shared" ref="C4:C32" si="4">IFERROR(F4/D4," - ")</f>
        <v>30.014000000000003</v>
      </c>
      <c r="D4" s="17">
        <v>10</v>
      </c>
      <c r="E4" s="17">
        <v>0</v>
      </c>
      <c r="F4" s="18">
        <v>300.14000000000004</v>
      </c>
      <c r="G4" s="18">
        <v>0</v>
      </c>
      <c r="H4" s="19">
        <f t="shared" si="1"/>
        <v>0</v>
      </c>
      <c r="I4" s="19">
        <f t="shared" si="2"/>
        <v>0.35876999280677568</v>
      </c>
      <c r="J4" s="18">
        <f t="shared" ref="J4:J32" si="5">F4*0.85+G4+AF4*D4+D4*AE4+AG4+AD4</f>
        <v>107.68122564102568</v>
      </c>
      <c r="K4" s="18">
        <f t="shared" si="3"/>
        <v>10.768122564102567</v>
      </c>
      <c r="L4" s="17">
        <v>42</v>
      </c>
      <c r="M4" s="20">
        <f t="shared" ref="M4:M32" si="6">IFERROR(D4/L4,"-")</f>
        <v>0.23809523809523808</v>
      </c>
      <c r="N4" s="17">
        <v>1</v>
      </c>
      <c r="O4" s="21">
        <f t="shared" ref="O4:P4" si="7">D4/7</f>
        <v>1.4285714285714286</v>
      </c>
      <c r="P4" s="21">
        <f t="shared" si="7"/>
        <v>0</v>
      </c>
      <c r="Q4" s="17">
        <f t="shared" ref="Q4:Q32" si="8">ROUNDDOWN(N4/(O4+P4),0)</f>
        <v>0</v>
      </c>
      <c r="R4" s="17"/>
      <c r="S4" s="22">
        <v>2.1728742094167202</v>
      </c>
      <c r="T4" s="15">
        <v>2900</v>
      </c>
      <c r="U4" s="23">
        <v>400</v>
      </c>
      <c r="V4" s="24" t="s">
        <v>796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0.21099999999999999</v>
      </c>
      <c r="AD4" s="26">
        <f t="shared" ref="AD4:AD32" si="12">IFERROR(AB4*AC4*D4*2,0)</f>
        <v>-2.9117999999999999</v>
      </c>
      <c r="AE4" s="26">
        <v>-7.32</v>
      </c>
      <c r="AF4" s="26">
        <v>-7.132597435897436</v>
      </c>
      <c r="AG4" s="26">
        <v>0</v>
      </c>
    </row>
    <row r="5" spans="1:33" ht="15.75" customHeight="1" x14ac:dyDescent="0.2">
      <c r="A5" s="29" t="s">
        <v>33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>
        <v>2.4623467600700502</v>
      </c>
      <c r="T5" s="29">
        <v>2900</v>
      </c>
      <c r="U5" s="37">
        <v>400</v>
      </c>
      <c r="V5" s="38" t="s">
        <v>797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-7.132597435897436</v>
      </c>
      <c r="AG5" s="40">
        <v>0</v>
      </c>
    </row>
    <row r="6" spans="1:33" ht="15.75" customHeight="1" x14ac:dyDescent="0.2">
      <c r="A6" s="29" t="s">
        <v>34</v>
      </c>
      <c r="B6" s="15" t="s">
        <v>487</v>
      </c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2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>
        <v>2.81323372465314</v>
      </c>
      <c r="T6" s="29">
        <v>2900</v>
      </c>
      <c r="U6" s="37">
        <v>400</v>
      </c>
      <c r="V6" s="38" t="s">
        <v>798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-7.3332974358974363</v>
      </c>
      <c r="AG6" s="40">
        <v>0</v>
      </c>
    </row>
    <row r="7" spans="1:33" ht="15.75" customHeight="1" x14ac:dyDescent="0.2">
      <c r="A7" s="29" t="s">
        <v>35</v>
      </c>
      <c r="B7" s="15" t="s">
        <v>487</v>
      </c>
      <c r="C7" s="16">
        <f t="shared" si="4"/>
        <v>29.99</v>
      </c>
      <c r="D7" s="30">
        <v>4</v>
      </c>
      <c r="E7" s="30">
        <v>0</v>
      </c>
      <c r="F7" s="31">
        <v>119.96</v>
      </c>
      <c r="G7" s="31">
        <v>0</v>
      </c>
      <c r="H7" s="32">
        <f t="shared" si="1"/>
        <v>0</v>
      </c>
      <c r="I7" s="32">
        <f t="shared" si="2"/>
        <v>0.3516846470190918</v>
      </c>
      <c r="J7" s="33">
        <f t="shared" si="5"/>
        <v>42.188090256410248</v>
      </c>
      <c r="K7" s="33">
        <f t="shared" si="3"/>
        <v>10.547022564102562</v>
      </c>
      <c r="L7" s="30">
        <v>13</v>
      </c>
      <c r="M7" s="34">
        <f t="shared" si="6"/>
        <v>0.30769230769230771</v>
      </c>
      <c r="N7" s="30">
        <v>0</v>
      </c>
      <c r="O7" s="35">
        <f t="shared" ref="O7:P7" si="15">D7/7</f>
        <v>0.5714285714285714</v>
      </c>
      <c r="P7" s="35">
        <f t="shared" si="15"/>
        <v>0</v>
      </c>
      <c r="Q7" s="30">
        <f t="shared" si="8"/>
        <v>0</v>
      </c>
      <c r="R7" s="30"/>
      <c r="S7" s="36" t="e">
        <v>#N/A</v>
      </c>
      <c r="T7" s="29">
        <v>2900</v>
      </c>
      <c r="U7" s="37">
        <v>400</v>
      </c>
      <c r="V7" s="38" t="s">
        <v>798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" t="s">
        <v>58</v>
      </c>
      <c r="AB7" s="27">
        <f t="shared" si="11"/>
        <v>-0.69</v>
      </c>
      <c r="AC7" s="28">
        <v>0.21099999999999999</v>
      </c>
      <c r="AD7" s="26">
        <f t="shared" si="12"/>
        <v>-1.16472</v>
      </c>
      <c r="AE7" s="26">
        <v>-7.32</v>
      </c>
      <c r="AF7" s="40">
        <v>-7.3332974358974363</v>
      </c>
      <c r="AG7" s="40">
        <v>0</v>
      </c>
    </row>
    <row r="8" spans="1:33" ht="15.75" customHeight="1" x14ac:dyDescent="0.2">
      <c r="A8" s="29" t="s">
        <v>36</v>
      </c>
      <c r="B8" s="29" t="s">
        <v>179</v>
      </c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2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>
        <v>2.8223844282238399</v>
      </c>
      <c r="T8" s="29">
        <v>2900</v>
      </c>
      <c r="U8" s="37">
        <v>400</v>
      </c>
      <c r="V8" s="38" t="s">
        <v>799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" t="s">
        <v>58</v>
      </c>
      <c r="AB8" s="27">
        <f t="shared" si="11"/>
        <v>-0.69</v>
      </c>
      <c r="AC8" s="28">
        <v>0.21099999999999999</v>
      </c>
      <c r="AD8" s="26">
        <f t="shared" si="12"/>
        <v>0</v>
      </c>
      <c r="AE8" s="26">
        <v>-7.32</v>
      </c>
      <c r="AF8" s="40">
        <v>-7.33</v>
      </c>
      <c r="AG8" s="40">
        <v>0</v>
      </c>
    </row>
    <row r="9" spans="1:33" ht="15.75" customHeight="1" x14ac:dyDescent="0.2">
      <c r="A9" s="29" t="s">
        <v>37</v>
      </c>
      <c r="B9" s="29" t="s">
        <v>127</v>
      </c>
      <c r="C9" s="16">
        <f t="shared" si="4"/>
        <v>29.99</v>
      </c>
      <c r="D9" s="30">
        <v>2</v>
      </c>
      <c r="E9" s="30">
        <v>1</v>
      </c>
      <c r="F9" s="31">
        <v>59.98</v>
      </c>
      <c r="G9" s="31">
        <v>0</v>
      </c>
      <c r="H9" s="32">
        <f t="shared" si="1"/>
        <v>0</v>
      </c>
      <c r="I9" s="32">
        <f t="shared" si="2"/>
        <v>0.33990721693555975</v>
      </c>
      <c r="J9" s="33">
        <f t="shared" si="5"/>
        <v>20.387634871794873</v>
      </c>
      <c r="K9" s="33">
        <f t="shared" si="3"/>
        <v>10.193817435897436</v>
      </c>
      <c r="L9" s="30">
        <v>11</v>
      </c>
      <c r="M9" s="34">
        <f t="shared" si="6"/>
        <v>0.18181818181818182</v>
      </c>
      <c r="N9" s="30">
        <v>0</v>
      </c>
      <c r="O9" s="35">
        <f t="shared" ref="O9:P9" si="17">D9/7</f>
        <v>0.2857142857142857</v>
      </c>
      <c r="P9" s="35">
        <f t="shared" si="17"/>
        <v>0.14285714285714285</v>
      </c>
      <c r="Q9" s="30">
        <f t="shared" si="8"/>
        <v>0</v>
      </c>
      <c r="R9" s="30"/>
      <c r="S9" s="36" t="e">
        <v>#N/A</v>
      </c>
      <c r="T9" s="29">
        <v>2900</v>
      </c>
      <c r="U9" s="37">
        <v>262</v>
      </c>
      <c r="V9" s="38" t="s">
        <v>800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" t="s">
        <v>58</v>
      </c>
      <c r="AB9" s="27">
        <f t="shared" si="11"/>
        <v>-0.69</v>
      </c>
      <c r="AC9" s="28">
        <v>0.21099999999999999</v>
      </c>
      <c r="AD9" s="26">
        <f t="shared" si="12"/>
        <v>-0.58235999999999999</v>
      </c>
      <c r="AE9" s="26">
        <v>-7.32</v>
      </c>
      <c r="AF9" s="40">
        <v>-7.6865025641025602</v>
      </c>
      <c r="AG9" s="40">
        <v>0</v>
      </c>
    </row>
    <row r="10" spans="1:33" ht="15.75" customHeight="1" x14ac:dyDescent="0.2">
      <c r="A10" s="29" t="s">
        <v>38</v>
      </c>
      <c r="B10" s="29" t="s">
        <v>179</v>
      </c>
      <c r="C10" s="16">
        <f t="shared" si="4"/>
        <v>29.99</v>
      </c>
      <c r="D10" s="30">
        <v>1</v>
      </c>
      <c r="E10" s="30">
        <v>0</v>
      </c>
      <c r="F10" s="31">
        <v>29.99</v>
      </c>
      <c r="G10" s="31">
        <v>0</v>
      </c>
      <c r="H10" s="32">
        <f t="shared" si="1"/>
        <v>0</v>
      </c>
      <c r="I10" s="32">
        <f t="shared" si="2"/>
        <v>0.33990721693555975</v>
      </c>
      <c r="J10" s="33">
        <f t="shared" si="5"/>
        <v>10.193817435897436</v>
      </c>
      <c r="K10" s="33">
        <f t="shared" si="3"/>
        <v>10.193817435897436</v>
      </c>
      <c r="L10" s="30">
        <v>5</v>
      </c>
      <c r="M10" s="34">
        <f t="shared" si="6"/>
        <v>0.2</v>
      </c>
      <c r="N10" s="30">
        <v>0</v>
      </c>
      <c r="O10" s="35">
        <f t="shared" ref="O10:P10" si="18">D10/7</f>
        <v>0.14285714285714285</v>
      </c>
      <c r="P10" s="35">
        <f t="shared" si="18"/>
        <v>0</v>
      </c>
      <c r="Q10" s="30">
        <f t="shared" si="8"/>
        <v>0</v>
      </c>
      <c r="R10" s="30"/>
      <c r="S10" s="36" t="e">
        <v>#N/A</v>
      </c>
      <c r="T10" s="29">
        <v>2938</v>
      </c>
      <c r="U10" s="37">
        <v>400</v>
      </c>
      <c r="V10" s="38" t="s">
        <v>801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" t="s">
        <v>58</v>
      </c>
      <c r="AB10" s="27">
        <f t="shared" si="11"/>
        <v>-0.69</v>
      </c>
      <c r="AC10" s="28">
        <v>0.21099999999999999</v>
      </c>
      <c r="AD10" s="26">
        <f t="shared" si="12"/>
        <v>-0.29117999999999999</v>
      </c>
      <c r="AE10" s="26">
        <v>-7.32</v>
      </c>
      <c r="AF10" s="40">
        <v>-7.6865025641025602</v>
      </c>
      <c r="AG10" s="40">
        <v>0</v>
      </c>
    </row>
    <row r="11" spans="1:33" ht="15.75" customHeight="1" x14ac:dyDescent="0.2">
      <c r="A11" s="29" t="s">
        <v>39</v>
      </c>
      <c r="B11" s="29" t="s">
        <v>179</v>
      </c>
      <c r="C11" s="16">
        <f t="shared" si="4"/>
        <v>29.99</v>
      </c>
      <c r="D11" s="30">
        <v>1</v>
      </c>
      <c r="E11" s="30">
        <v>0</v>
      </c>
      <c r="F11" s="31">
        <v>29.99</v>
      </c>
      <c r="G11" s="31">
        <v>0</v>
      </c>
      <c r="H11" s="32">
        <f t="shared" si="1"/>
        <v>0</v>
      </c>
      <c r="I11" s="32">
        <f t="shared" si="2"/>
        <v>0.33990721693555975</v>
      </c>
      <c r="J11" s="33">
        <f t="shared" si="5"/>
        <v>10.193817435897436</v>
      </c>
      <c r="K11" s="33">
        <f t="shared" si="3"/>
        <v>10.193817435897436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0.14285714285714285</v>
      </c>
      <c r="P11" s="35">
        <f t="shared" si="19"/>
        <v>0</v>
      </c>
      <c r="Q11" s="30">
        <f t="shared" si="8"/>
        <v>0</v>
      </c>
      <c r="R11" s="30"/>
      <c r="S11" s="36" t="e">
        <v>#N/A</v>
      </c>
      <c r="T11" s="29">
        <v>3838</v>
      </c>
      <c r="U11" s="37">
        <v>400</v>
      </c>
      <c r="V11" s="38" t="s">
        <v>802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" t="s">
        <v>58</v>
      </c>
      <c r="AB11" s="27">
        <f t="shared" si="11"/>
        <v>-0.69</v>
      </c>
      <c r="AC11" s="28">
        <v>0.21099999999999999</v>
      </c>
      <c r="AD11" s="26">
        <f t="shared" si="12"/>
        <v>-0.29117999999999999</v>
      </c>
      <c r="AE11" s="26">
        <v>-7.32</v>
      </c>
      <c r="AF11" s="40">
        <v>-7.6865025641025602</v>
      </c>
      <c r="AG11" s="40">
        <v>0</v>
      </c>
    </row>
    <row r="12" spans="1:33" ht="15.75" customHeight="1" x14ac:dyDescent="0.2">
      <c r="A12" s="29" t="s">
        <v>40</v>
      </c>
      <c r="B12" s="29" t="s">
        <v>462</v>
      </c>
      <c r="C12" s="16">
        <f t="shared" si="4"/>
        <v>29.990000000000002</v>
      </c>
      <c r="D12" s="30">
        <v>10</v>
      </c>
      <c r="E12" s="30">
        <v>0</v>
      </c>
      <c r="F12" s="31">
        <v>299.90000000000003</v>
      </c>
      <c r="G12" s="31">
        <v>0</v>
      </c>
      <c r="H12" s="32">
        <f t="shared" si="1"/>
        <v>0</v>
      </c>
      <c r="I12" s="32">
        <f t="shared" si="2"/>
        <v>0.33988040405348807</v>
      </c>
      <c r="J12" s="33">
        <f t="shared" si="5"/>
        <v>101.93013317564109</v>
      </c>
      <c r="K12" s="33">
        <f t="shared" si="3"/>
        <v>10.193013317564109</v>
      </c>
      <c r="L12" s="30">
        <v>13</v>
      </c>
      <c r="M12" s="34">
        <f t="shared" si="6"/>
        <v>0.76923076923076927</v>
      </c>
      <c r="N12" s="30">
        <v>491</v>
      </c>
      <c r="O12" s="35">
        <f t="shared" ref="O12:P12" si="20">D12/7</f>
        <v>1.4285714285714286</v>
      </c>
      <c r="P12" s="35">
        <f t="shared" si="20"/>
        <v>0</v>
      </c>
      <c r="Q12" s="30">
        <f t="shared" si="8"/>
        <v>343</v>
      </c>
      <c r="R12" s="30"/>
      <c r="S12" s="36">
        <v>1.72689075630252</v>
      </c>
      <c r="T12" s="29">
        <v>2138</v>
      </c>
      <c r="U12" s="37">
        <v>368</v>
      </c>
      <c r="V12" s="38" t="s">
        <v>803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58</v>
      </c>
      <c r="AB12" s="41">
        <f t="shared" si="11"/>
        <v>-0.69</v>
      </c>
      <c r="AC12" s="42">
        <v>0.21158269444444444</v>
      </c>
      <c r="AD12" s="40">
        <f t="shared" si="12"/>
        <v>-2.9198411833333333</v>
      </c>
      <c r="AE12" s="40">
        <v>-7.32</v>
      </c>
      <c r="AF12" s="40">
        <v>-7.6865025641025602</v>
      </c>
      <c r="AG12" s="40">
        <v>0</v>
      </c>
    </row>
    <row r="13" spans="1:33" ht="15.75" customHeight="1" x14ac:dyDescent="0.2">
      <c r="A13" s="29" t="s">
        <v>41</v>
      </c>
      <c r="B13" s="29" t="s">
        <v>640</v>
      </c>
      <c r="C13" s="16">
        <f t="shared" si="4"/>
        <v>29.990000000000006</v>
      </c>
      <c r="D13" s="30">
        <v>34</v>
      </c>
      <c r="E13" s="30">
        <v>2</v>
      </c>
      <c r="F13" s="33">
        <v>1019.6600000000002</v>
      </c>
      <c r="G13" s="31">
        <v>-50.910000000000004</v>
      </c>
      <c r="H13" s="32">
        <f t="shared" si="1"/>
        <v>4.9928407508385141E-2</v>
      </c>
      <c r="I13" s="32">
        <f t="shared" si="2"/>
        <v>0.28375334913271755</v>
      </c>
      <c r="J13" s="33">
        <f t="shared" si="5"/>
        <v>289.33193997666683</v>
      </c>
      <c r="K13" s="33">
        <f t="shared" si="3"/>
        <v>8.5097629404902015</v>
      </c>
      <c r="L13" s="30">
        <v>59</v>
      </c>
      <c r="M13" s="34">
        <f t="shared" si="6"/>
        <v>0.57627118644067798</v>
      </c>
      <c r="N13" s="30">
        <v>460</v>
      </c>
      <c r="O13" s="35">
        <f t="shared" ref="O13:P13" si="21">D13/7</f>
        <v>4.8571428571428568</v>
      </c>
      <c r="P13" s="35">
        <f t="shared" si="21"/>
        <v>0.2857142857142857</v>
      </c>
      <c r="Q13" s="30">
        <f t="shared" si="8"/>
        <v>89</v>
      </c>
      <c r="R13" s="30"/>
      <c r="S13" s="36">
        <v>1.72697003329633</v>
      </c>
      <c r="T13" s="29">
        <v>1770</v>
      </c>
      <c r="U13" s="37">
        <v>470</v>
      </c>
      <c r="V13" s="38" t="s">
        <v>804</v>
      </c>
      <c r="W13" s="29">
        <v>9</v>
      </c>
      <c r="X13" s="39">
        <f t="shared" si="9"/>
        <v>0.26470588235294118</v>
      </c>
      <c r="Y13" s="40">
        <f t="shared" si="10"/>
        <v>4.6281818181818188</v>
      </c>
      <c r="Z13" s="29">
        <v>2</v>
      </c>
      <c r="AA13" s="29" t="s">
        <v>58</v>
      </c>
      <c r="AB13" s="41">
        <f t="shared" si="11"/>
        <v>-0.69</v>
      </c>
      <c r="AC13" s="42">
        <v>0.21158269444444444</v>
      </c>
      <c r="AD13" s="40">
        <f t="shared" si="12"/>
        <v>-9.9274600233333334</v>
      </c>
      <c r="AE13" s="40">
        <v>-7.32</v>
      </c>
      <c r="AF13" s="40">
        <v>-7.8723999999999998</v>
      </c>
      <c r="AG13" s="40">
        <v>0</v>
      </c>
    </row>
    <row r="14" spans="1:33" ht="15.75" customHeight="1" x14ac:dyDescent="0.2">
      <c r="A14" s="29" t="s">
        <v>42</v>
      </c>
      <c r="B14" s="29" t="s">
        <v>805</v>
      </c>
      <c r="C14" s="16">
        <f t="shared" si="4"/>
        <v>29.990000000000002</v>
      </c>
      <c r="D14" s="30">
        <v>35</v>
      </c>
      <c r="E14" s="30">
        <v>4</v>
      </c>
      <c r="F14" s="33">
        <v>1049.6500000000001</v>
      </c>
      <c r="G14" s="31">
        <v>-69.13</v>
      </c>
      <c r="H14" s="32">
        <f t="shared" si="1"/>
        <v>6.586004858762444E-2</v>
      </c>
      <c r="I14" s="32">
        <f t="shared" si="2"/>
        <v>0.26782170805347827</v>
      </c>
      <c r="J14" s="33">
        <f t="shared" si="5"/>
        <v>281.11905585833347</v>
      </c>
      <c r="K14" s="33">
        <f t="shared" si="3"/>
        <v>8.031973024523813</v>
      </c>
      <c r="L14" s="30">
        <v>104</v>
      </c>
      <c r="M14" s="34">
        <f t="shared" si="6"/>
        <v>0.33653846153846156</v>
      </c>
      <c r="N14" s="30">
        <v>417</v>
      </c>
      <c r="O14" s="35">
        <f t="shared" ref="O14:P14" si="22">D14/7</f>
        <v>5</v>
      </c>
      <c r="P14" s="35">
        <f t="shared" si="22"/>
        <v>0.5714285714285714</v>
      </c>
      <c r="Q14" s="30">
        <f t="shared" si="8"/>
        <v>74</v>
      </c>
      <c r="R14" s="30"/>
      <c r="S14" s="36">
        <v>1.61812297734627</v>
      </c>
      <c r="T14" s="29">
        <v>1770</v>
      </c>
      <c r="U14" s="37">
        <v>470</v>
      </c>
      <c r="V14" s="38" t="s">
        <v>804</v>
      </c>
      <c r="W14" s="29">
        <v>10</v>
      </c>
      <c r="X14" s="39">
        <f t="shared" si="9"/>
        <v>0.2857142857142857</v>
      </c>
      <c r="Y14" s="40">
        <f t="shared" si="10"/>
        <v>4.3206249999999997</v>
      </c>
      <c r="Z14" s="29">
        <v>6</v>
      </c>
      <c r="AA14" s="29" t="s">
        <v>58</v>
      </c>
      <c r="AB14" s="41">
        <f t="shared" si="11"/>
        <v>-0.69</v>
      </c>
      <c r="AC14" s="42">
        <v>0.21158269444444444</v>
      </c>
      <c r="AD14" s="40">
        <f t="shared" si="12"/>
        <v>-10.219444141666667</v>
      </c>
      <c r="AE14" s="40">
        <v>-7.32</v>
      </c>
      <c r="AF14" s="40">
        <v>-7.8723999999999998</v>
      </c>
      <c r="AG14" s="40">
        <v>0</v>
      </c>
    </row>
    <row r="15" spans="1:33" ht="15.75" customHeight="1" x14ac:dyDescent="0.2">
      <c r="A15" s="29" t="s">
        <v>43</v>
      </c>
      <c r="B15" s="29" t="s">
        <v>535</v>
      </c>
      <c r="C15" s="16">
        <f t="shared" si="4"/>
        <v>30.345740740740748</v>
      </c>
      <c r="D15" s="30">
        <v>54</v>
      </c>
      <c r="E15" s="30">
        <v>4</v>
      </c>
      <c r="F15" s="33">
        <v>1638.6700000000003</v>
      </c>
      <c r="G15" s="31">
        <v>-70.890000000000029</v>
      </c>
      <c r="H15" s="32">
        <f t="shared" si="1"/>
        <v>4.3260693123081534E-2</v>
      </c>
      <c r="I15" s="32">
        <f t="shared" si="2"/>
        <v>0.29647382182501664</v>
      </c>
      <c r="J15" s="33">
        <f t="shared" si="5"/>
        <v>485.82275761000011</v>
      </c>
      <c r="K15" s="33">
        <f t="shared" si="3"/>
        <v>8.9967177335185209</v>
      </c>
      <c r="L15" s="30">
        <v>115</v>
      </c>
      <c r="M15" s="34">
        <f t="shared" si="6"/>
        <v>0.46956521739130436</v>
      </c>
      <c r="N15" s="30">
        <v>408</v>
      </c>
      <c r="O15" s="35">
        <f t="shared" ref="O15:P15" si="23">D15/7</f>
        <v>7.7142857142857144</v>
      </c>
      <c r="P15" s="35">
        <f t="shared" si="23"/>
        <v>0.5714285714285714</v>
      </c>
      <c r="Q15" s="30">
        <f t="shared" si="8"/>
        <v>49</v>
      </c>
      <c r="R15" s="30"/>
      <c r="S15" s="36">
        <v>1.59230769230769</v>
      </c>
      <c r="T15" s="29">
        <v>1770</v>
      </c>
      <c r="U15" s="37">
        <v>470</v>
      </c>
      <c r="V15" s="38" t="s">
        <v>804</v>
      </c>
      <c r="W15" s="29">
        <v>5</v>
      </c>
      <c r="X15" s="39">
        <f t="shared" si="9"/>
        <v>9.2592592592592587E-2</v>
      </c>
      <c r="Y15" s="40">
        <f t="shared" si="10"/>
        <v>6.444545454545457</v>
      </c>
      <c r="Z15" s="29">
        <v>6</v>
      </c>
      <c r="AA15" s="29" t="s">
        <v>58</v>
      </c>
      <c r="AB15" s="41">
        <f t="shared" si="11"/>
        <v>-0.69</v>
      </c>
      <c r="AC15" s="42">
        <v>0.21158269444444444</v>
      </c>
      <c r="AD15" s="40">
        <f t="shared" si="12"/>
        <v>-15.76714239</v>
      </c>
      <c r="AE15" s="40">
        <v>-7.32</v>
      </c>
      <c r="AF15" s="40">
        <v>-7.8723999999999998</v>
      </c>
      <c r="AG15" s="40">
        <v>0</v>
      </c>
    </row>
    <row r="16" spans="1:33" ht="15.75" customHeight="1" x14ac:dyDescent="0.2">
      <c r="A16" s="29" t="s">
        <v>44</v>
      </c>
      <c r="B16" s="29" t="s">
        <v>806</v>
      </c>
      <c r="C16" s="16">
        <f t="shared" si="4"/>
        <v>30.819841269841248</v>
      </c>
      <c r="D16" s="30">
        <v>63</v>
      </c>
      <c r="E16" s="30">
        <v>0</v>
      </c>
      <c r="F16" s="33">
        <v>1941.6499999999987</v>
      </c>
      <c r="G16" s="31">
        <v>-68.009999999999991</v>
      </c>
      <c r="H16" s="32">
        <f t="shared" si="1"/>
        <v>3.5026910102232654E-2</v>
      </c>
      <c r="I16" s="32">
        <f t="shared" si="2"/>
        <v>0.27478717613627546</v>
      </c>
      <c r="J16" s="33">
        <f t="shared" si="5"/>
        <v>533.54052054499891</v>
      </c>
      <c r="K16" s="33">
        <f t="shared" si="3"/>
        <v>8.4688971515079192</v>
      </c>
      <c r="L16" s="30">
        <v>180</v>
      </c>
      <c r="M16" s="34">
        <f t="shared" si="6"/>
        <v>0.35</v>
      </c>
      <c r="N16" s="30">
        <v>348</v>
      </c>
      <c r="O16" s="35">
        <f t="shared" ref="O16:P16" si="24">D16/7</f>
        <v>9</v>
      </c>
      <c r="P16" s="35">
        <f t="shared" si="24"/>
        <v>0</v>
      </c>
      <c r="Q16" s="30">
        <f t="shared" si="8"/>
        <v>38</v>
      </c>
      <c r="R16" s="30"/>
      <c r="S16" s="36">
        <v>2.0956937799043001</v>
      </c>
      <c r="T16" s="29">
        <v>1770</v>
      </c>
      <c r="U16" s="37">
        <v>470</v>
      </c>
      <c r="V16" s="38" t="s">
        <v>804</v>
      </c>
      <c r="W16" s="29">
        <v>4</v>
      </c>
      <c r="X16" s="39">
        <f t="shared" si="9"/>
        <v>6.3492063492063489E-2</v>
      </c>
      <c r="Y16" s="40">
        <f t="shared" si="10"/>
        <v>5.2315384615384612</v>
      </c>
      <c r="Z16" s="29">
        <v>9</v>
      </c>
      <c r="AA16" s="29" t="s">
        <v>58</v>
      </c>
      <c r="AB16" s="41">
        <f t="shared" si="11"/>
        <v>-0.69</v>
      </c>
      <c r="AC16" s="42">
        <v>0.21158269444444444</v>
      </c>
      <c r="AD16" s="40">
        <f t="shared" si="12"/>
        <v>-18.394999455000001</v>
      </c>
      <c r="AE16" s="40">
        <v>-7.32</v>
      </c>
      <c r="AF16" s="40">
        <v>-9.0364599999999999</v>
      </c>
      <c r="AG16" s="40">
        <v>0</v>
      </c>
    </row>
    <row r="17" spans="1:33" ht="15.75" customHeight="1" x14ac:dyDescent="0.2">
      <c r="A17" s="29" t="s">
        <v>45</v>
      </c>
      <c r="B17" s="29" t="s">
        <v>506</v>
      </c>
      <c r="C17" s="16">
        <f t="shared" si="4"/>
        <v>32.849473684210551</v>
      </c>
      <c r="D17" s="30">
        <v>57</v>
      </c>
      <c r="E17" s="30">
        <v>2</v>
      </c>
      <c r="F17" s="33">
        <v>1872.4200000000012</v>
      </c>
      <c r="G17" s="31">
        <v>-71.490000000000009</v>
      </c>
      <c r="H17" s="32">
        <f t="shared" si="1"/>
        <v>3.8180536418111304E-2</v>
      </c>
      <c r="I17" s="32">
        <f t="shared" si="2"/>
        <v>0.30500939172568153</v>
      </c>
      <c r="J17" s="33">
        <f t="shared" si="5"/>
        <v>571.10568525500094</v>
      </c>
      <c r="K17" s="33">
        <f t="shared" si="3"/>
        <v>10.019397986929841</v>
      </c>
      <c r="L17" s="30">
        <v>179</v>
      </c>
      <c r="M17" s="34">
        <f t="shared" si="6"/>
        <v>0.31843575418994413</v>
      </c>
      <c r="N17" s="30">
        <v>283</v>
      </c>
      <c r="O17" s="35">
        <f t="shared" ref="O17:P17" si="25">D17/7</f>
        <v>8.1428571428571423</v>
      </c>
      <c r="P17" s="35">
        <f t="shared" si="25"/>
        <v>0.2857142857142857</v>
      </c>
      <c r="Q17" s="30">
        <f t="shared" si="8"/>
        <v>33</v>
      </c>
      <c r="R17" s="30"/>
      <c r="S17" s="36">
        <v>1.2</v>
      </c>
      <c r="T17" s="29">
        <v>1770</v>
      </c>
      <c r="U17" s="37">
        <v>470</v>
      </c>
      <c r="V17" s="38" t="s">
        <v>807</v>
      </c>
      <c r="W17" s="29">
        <v>5</v>
      </c>
      <c r="X17" s="39">
        <f t="shared" si="9"/>
        <v>8.771929824561403E-2</v>
      </c>
      <c r="Y17" s="40">
        <f t="shared" si="10"/>
        <v>4.7660000000000009</v>
      </c>
      <c r="Z17" s="29">
        <v>10</v>
      </c>
      <c r="AA17" s="29" t="s">
        <v>58</v>
      </c>
      <c r="AB17" s="41">
        <f t="shared" si="11"/>
        <v>-0.69</v>
      </c>
      <c r="AC17" s="42">
        <v>0.21158269444444444</v>
      </c>
      <c r="AD17" s="40">
        <f t="shared" si="12"/>
        <v>-16.643094744999999</v>
      </c>
      <c r="AE17" s="40">
        <v>-7.32</v>
      </c>
      <c r="AF17" s="40">
        <v>-9.0364599999999999</v>
      </c>
      <c r="AG17" s="40">
        <v>0</v>
      </c>
    </row>
    <row r="18" spans="1:33" ht="15.75" customHeight="1" x14ac:dyDescent="0.2">
      <c r="A18" s="29" t="s">
        <v>46</v>
      </c>
      <c r="B18" s="29" t="s">
        <v>395</v>
      </c>
      <c r="C18" s="16">
        <f t="shared" si="4"/>
        <v>34.554216867469854</v>
      </c>
      <c r="D18" s="30">
        <v>83</v>
      </c>
      <c r="E18" s="30">
        <v>1</v>
      </c>
      <c r="F18" s="33">
        <v>2867.9999999999982</v>
      </c>
      <c r="G18" s="31">
        <v>-69.36</v>
      </c>
      <c r="H18" s="32">
        <f t="shared" si="1"/>
        <v>2.4184100418410057E-2</v>
      </c>
      <c r="I18" s="32">
        <f t="shared" si="2"/>
        <v>0.34111545961587592</v>
      </c>
      <c r="J18" s="33">
        <f t="shared" si="5"/>
        <v>978.31913817833151</v>
      </c>
      <c r="K18" s="33">
        <f t="shared" si="3"/>
        <v>11.786977568413633</v>
      </c>
      <c r="L18" s="30">
        <v>205</v>
      </c>
      <c r="M18" s="34">
        <f t="shared" si="6"/>
        <v>0.40487804878048783</v>
      </c>
      <c r="N18" s="30">
        <v>196</v>
      </c>
      <c r="O18" s="35">
        <f t="shared" ref="O18:P18" si="26">D18/7</f>
        <v>11.857142857142858</v>
      </c>
      <c r="P18" s="35">
        <f t="shared" si="26"/>
        <v>0.14285714285714285</v>
      </c>
      <c r="Q18" s="30">
        <f t="shared" si="8"/>
        <v>16</v>
      </c>
      <c r="R18" s="30"/>
      <c r="S18" s="36">
        <v>1.98224852071005</v>
      </c>
      <c r="T18" s="29">
        <v>2614</v>
      </c>
      <c r="U18" s="37">
        <v>470</v>
      </c>
      <c r="V18" s="38" t="s">
        <v>808</v>
      </c>
      <c r="W18" s="29">
        <v>7</v>
      </c>
      <c r="X18" s="39">
        <f t="shared" si="9"/>
        <v>8.4337349397590355E-2</v>
      </c>
      <c r="Y18" s="40">
        <f t="shared" si="10"/>
        <v>5.3353846153846156</v>
      </c>
      <c r="Z18" s="29">
        <v>6</v>
      </c>
      <c r="AA18" s="29" t="s">
        <v>58</v>
      </c>
      <c r="AB18" s="41">
        <f t="shared" si="11"/>
        <v>-0.69</v>
      </c>
      <c r="AC18" s="42">
        <v>0.21158269444444444</v>
      </c>
      <c r="AD18" s="40">
        <f t="shared" si="12"/>
        <v>-24.234681821666666</v>
      </c>
      <c r="AE18" s="40">
        <v>-7.32</v>
      </c>
      <c r="AF18" s="40">
        <v>-9.1364599999999996</v>
      </c>
      <c r="AG18" s="40">
        <v>0</v>
      </c>
    </row>
    <row r="19" spans="1:33" ht="15.75" customHeight="1" x14ac:dyDescent="0.2">
      <c r="A19" s="29" t="s">
        <v>47</v>
      </c>
      <c r="B19" s="29" t="s">
        <v>664</v>
      </c>
      <c r="C19" s="16">
        <f t="shared" si="4"/>
        <v>35.04187499999999</v>
      </c>
      <c r="D19" s="30">
        <v>80</v>
      </c>
      <c r="E19" s="30">
        <v>2</v>
      </c>
      <c r="F19" s="33">
        <v>2803.3499999999995</v>
      </c>
      <c r="G19" s="31">
        <v>-10.370000000000001</v>
      </c>
      <c r="H19" s="32">
        <f t="shared" si="1"/>
        <v>3.6991456650079381E-3</v>
      </c>
      <c r="I19" s="32">
        <f t="shared" si="2"/>
        <v>0.36834571870559618</v>
      </c>
      <c r="J19" s="33">
        <f t="shared" si="5"/>
        <v>1032.6019705333329</v>
      </c>
      <c r="K19" s="33">
        <f t="shared" si="3"/>
        <v>12.907524631666661</v>
      </c>
      <c r="L19" s="30">
        <v>156</v>
      </c>
      <c r="M19" s="34">
        <f t="shared" si="6"/>
        <v>0.51282051282051277</v>
      </c>
      <c r="N19" s="30">
        <v>122</v>
      </c>
      <c r="O19" s="35">
        <f t="shared" ref="O19:P19" si="27">D19/7</f>
        <v>11.428571428571429</v>
      </c>
      <c r="P19" s="35">
        <f t="shared" si="27"/>
        <v>0.2857142857142857</v>
      </c>
      <c r="Q19" s="30">
        <f t="shared" si="8"/>
        <v>10</v>
      </c>
      <c r="R19" s="30"/>
      <c r="S19" s="36">
        <v>2.3161094224924001</v>
      </c>
      <c r="T19" s="29">
        <v>2614</v>
      </c>
      <c r="U19" s="37">
        <v>470</v>
      </c>
      <c r="V19" s="38" t="s">
        <v>809</v>
      </c>
      <c r="W19" s="29">
        <v>0</v>
      </c>
      <c r="X19" s="39">
        <f t="shared" si="9"/>
        <v>0</v>
      </c>
      <c r="Y19" s="40">
        <f t="shared" si="10"/>
        <v>10.370000000000001</v>
      </c>
      <c r="Z19" s="29">
        <v>1</v>
      </c>
      <c r="AA19" s="29" t="s">
        <v>58</v>
      </c>
      <c r="AB19" s="41">
        <f t="shared" si="11"/>
        <v>-0.69</v>
      </c>
      <c r="AC19" s="42">
        <v>0.21158269444444444</v>
      </c>
      <c r="AD19" s="40">
        <f t="shared" si="12"/>
        <v>-23.358729466666666</v>
      </c>
      <c r="AE19" s="40">
        <v>-7.32</v>
      </c>
      <c r="AF19" s="40">
        <v>-9.1364599999999996</v>
      </c>
      <c r="AG19" s="40">
        <v>0</v>
      </c>
    </row>
    <row r="20" spans="1:33" ht="15.75" customHeight="1" x14ac:dyDescent="0.2">
      <c r="A20" s="29" t="s">
        <v>48</v>
      </c>
      <c r="B20" s="29" t="s">
        <v>452</v>
      </c>
      <c r="C20" s="16">
        <f t="shared" si="4"/>
        <v>33.963389830508497</v>
      </c>
      <c r="D20" s="30">
        <v>59</v>
      </c>
      <c r="E20" s="30">
        <v>1</v>
      </c>
      <c r="F20" s="33">
        <v>2003.8400000000013</v>
      </c>
      <c r="G20" s="31">
        <v>0</v>
      </c>
      <c r="H20" s="32">
        <f t="shared" si="1"/>
        <v>0</v>
      </c>
      <c r="I20" s="32">
        <f t="shared" si="2"/>
        <v>0.35686771250116472</v>
      </c>
      <c r="J20" s="33">
        <f t="shared" si="5"/>
        <v>715.10579701833433</v>
      </c>
      <c r="K20" s="33">
        <f t="shared" si="3"/>
        <v>12.120437237598887</v>
      </c>
      <c r="L20" s="30">
        <v>136</v>
      </c>
      <c r="M20" s="34">
        <f t="shared" si="6"/>
        <v>0.43382352941176472</v>
      </c>
      <c r="N20" s="30">
        <v>54</v>
      </c>
      <c r="O20" s="35">
        <f t="shared" ref="O20:P20" si="28">D20/7</f>
        <v>8.4285714285714288</v>
      </c>
      <c r="P20" s="35">
        <f t="shared" si="28"/>
        <v>0.14285714285714285</v>
      </c>
      <c r="Q20" s="30">
        <f t="shared" si="8"/>
        <v>6</v>
      </c>
      <c r="R20" s="30"/>
      <c r="S20" s="36">
        <v>3.7484787018255501</v>
      </c>
      <c r="T20" s="29">
        <v>3214</v>
      </c>
      <c r="U20" s="37">
        <v>470</v>
      </c>
      <c r="V20" s="38" t="s">
        <v>810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58</v>
      </c>
      <c r="AB20" s="41">
        <f t="shared" si="11"/>
        <v>-0.69</v>
      </c>
      <c r="AC20" s="42">
        <v>0.21158269444444444</v>
      </c>
      <c r="AD20" s="40">
        <f t="shared" si="12"/>
        <v>-17.227062981666666</v>
      </c>
      <c r="AE20" s="40">
        <v>-7.32</v>
      </c>
      <c r="AF20" s="40">
        <v>-9.1364599999999996</v>
      </c>
      <c r="AG20" s="40">
        <v>0</v>
      </c>
    </row>
    <row r="21" spans="1:33" ht="15.75" customHeight="1" x14ac:dyDescent="0.2">
      <c r="A21" s="29" t="s">
        <v>49</v>
      </c>
      <c r="B21" s="29" t="s">
        <v>811</v>
      </c>
      <c r="C21" s="16">
        <f t="shared" si="4"/>
        <v>35.321250000000013</v>
      </c>
      <c r="D21" s="30">
        <v>48</v>
      </c>
      <c r="E21" s="30">
        <v>3</v>
      </c>
      <c r="F21" s="33">
        <v>1695.4200000000005</v>
      </c>
      <c r="G21" s="31">
        <v>0</v>
      </c>
      <c r="H21" s="32">
        <f t="shared" si="1"/>
        <v>0</v>
      </c>
      <c r="I21" s="32">
        <f t="shared" si="2"/>
        <v>0.37582527180285724</v>
      </c>
      <c r="J21" s="33">
        <f t="shared" si="5"/>
        <v>637.18168232000039</v>
      </c>
      <c r="K21" s="33">
        <f t="shared" si="3"/>
        <v>13.274618381666675</v>
      </c>
      <c r="L21" s="30">
        <v>71</v>
      </c>
      <c r="M21" s="34">
        <f t="shared" si="6"/>
        <v>0.676056338028169</v>
      </c>
      <c r="N21" s="30">
        <v>412</v>
      </c>
      <c r="O21" s="35">
        <f t="shared" ref="O21:P21" si="29">D21/7</f>
        <v>6.8571428571428568</v>
      </c>
      <c r="P21" s="35">
        <f t="shared" si="29"/>
        <v>0.42857142857142855</v>
      </c>
      <c r="Q21" s="30">
        <f t="shared" si="8"/>
        <v>56</v>
      </c>
      <c r="R21" s="30"/>
      <c r="S21" s="36">
        <v>1.6251968503937</v>
      </c>
      <c r="T21" s="29">
        <v>3744</v>
      </c>
      <c r="U21" s="37">
        <v>1300</v>
      </c>
      <c r="V21" s="38" t="s">
        <v>812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58</v>
      </c>
      <c r="AB21" s="41">
        <f t="shared" si="11"/>
        <v>-0.69</v>
      </c>
      <c r="AC21" s="42">
        <v>0.21158269444444444</v>
      </c>
      <c r="AD21" s="40">
        <f t="shared" si="12"/>
        <v>-14.015237679999998</v>
      </c>
      <c r="AE21" s="40">
        <v>-7.32</v>
      </c>
      <c r="AF21" s="40">
        <v>-9.1364599999999996</v>
      </c>
      <c r="AG21" s="40">
        <v>0</v>
      </c>
    </row>
    <row r="22" spans="1:33" ht="15.75" customHeight="1" x14ac:dyDescent="0.2">
      <c r="A22" s="29" t="s">
        <v>50</v>
      </c>
      <c r="B22" s="29" t="s">
        <v>462</v>
      </c>
      <c r="C22" s="16">
        <f t="shared" si="4"/>
        <v>34.102916666666644</v>
      </c>
      <c r="D22" s="30">
        <v>72</v>
      </c>
      <c r="E22" s="30">
        <v>2</v>
      </c>
      <c r="F22" s="31">
        <v>2455.4099999999985</v>
      </c>
      <c r="G22" s="31">
        <v>0</v>
      </c>
      <c r="H22" s="32">
        <f t="shared" si="1"/>
        <v>0</v>
      </c>
      <c r="I22" s="32">
        <f t="shared" si="2"/>
        <v>0.35888528737766778</v>
      </c>
      <c r="J22" s="33">
        <f t="shared" si="5"/>
        <v>881.21052347999876</v>
      </c>
      <c r="K22" s="33">
        <f t="shared" si="3"/>
        <v>12.239035048333315</v>
      </c>
      <c r="L22" s="30">
        <v>185</v>
      </c>
      <c r="M22" s="34">
        <f t="shared" si="6"/>
        <v>0.38918918918918921</v>
      </c>
      <c r="N22" s="30">
        <v>290</v>
      </c>
      <c r="O22" s="35">
        <f t="shared" ref="O22:P22" si="30">D22/7</f>
        <v>10.285714285714286</v>
      </c>
      <c r="P22" s="35">
        <f t="shared" si="30"/>
        <v>0.2857142857142857</v>
      </c>
      <c r="Q22" s="30">
        <f t="shared" si="8"/>
        <v>27</v>
      </c>
      <c r="R22" s="30"/>
      <c r="S22" s="36">
        <v>2.2613746369796699</v>
      </c>
      <c r="T22" s="29">
        <v>3744</v>
      </c>
      <c r="U22" s="37">
        <v>1300</v>
      </c>
      <c r="V22" s="38" t="s">
        <v>813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58</v>
      </c>
      <c r="AB22" s="41">
        <f t="shared" si="11"/>
        <v>-0.69</v>
      </c>
      <c r="AC22" s="42">
        <v>0.21158269444444444</v>
      </c>
      <c r="AD22" s="40">
        <f t="shared" si="12"/>
        <v>-21.022856519999998</v>
      </c>
      <c r="AE22" s="40">
        <v>-7.32</v>
      </c>
      <c r="AF22" s="40">
        <v>-9.1364599999999996</v>
      </c>
      <c r="AG22" s="40">
        <v>0</v>
      </c>
    </row>
    <row r="23" spans="1:33" ht="15.75" customHeight="1" x14ac:dyDescent="0.2">
      <c r="A23" s="29" t="s">
        <v>51</v>
      </c>
      <c r="B23" s="29" t="s">
        <v>694</v>
      </c>
      <c r="C23" s="16">
        <f t="shared" si="4"/>
        <v>25.87186274509801</v>
      </c>
      <c r="D23" s="30">
        <v>102</v>
      </c>
      <c r="E23" s="30">
        <v>4</v>
      </c>
      <c r="F23" s="33">
        <v>2638.9299999999971</v>
      </c>
      <c r="G23" s="31">
        <v>-35.04</v>
      </c>
      <c r="H23" s="32">
        <f t="shared" si="1"/>
        <v>1.3278108930513517E-2</v>
      </c>
      <c r="I23" s="32">
        <f t="shared" si="2"/>
        <v>0.18936053625143451</v>
      </c>
      <c r="J23" s="33">
        <f t="shared" si="5"/>
        <v>499.70919992999751</v>
      </c>
      <c r="K23" s="33">
        <f t="shared" si="3"/>
        <v>4.8991098032352696</v>
      </c>
      <c r="L23" s="30">
        <v>232</v>
      </c>
      <c r="M23" s="34">
        <f t="shared" si="6"/>
        <v>0.43965517241379309</v>
      </c>
      <c r="N23" s="30">
        <v>123</v>
      </c>
      <c r="O23" s="35">
        <f t="shared" ref="O23:P23" si="31">D23/7</f>
        <v>14.571428571428571</v>
      </c>
      <c r="P23" s="35">
        <f t="shared" si="31"/>
        <v>0.5714285714285714</v>
      </c>
      <c r="Q23" s="30">
        <f t="shared" si="8"/>
        <v>8</v>
      </c>
      <c r="R23" s="30"/>
      <c r="S23" s="36">
        <v>2.9257142857142799</v>
      </c>
      <c r="T23" s="29">
        <v>3744</v>
      </c>
      <c r="U23" s="37">
        <v>1300</v>
      </c>
      <c r="V23" s="38" t="s">
        <v>814</v>
      </c>
      <c r="W23" s="29">
        <v>2</v>
      </c>
      <c r="X23" s="39">
        <f t="shared" si="9"/>
        <v>1.9607843137254902E-2</v>
      </c>
      <c r="Y23" s="40">
        <f t="shared" si="10"/>
        <v>3.8933333333333331</v>
      </c>
      <c r="Z23" s="29">
        <v>7</v>
      </c>
      <c r="AA23" s="29" t="s">
        <v>58</v>
      </c>
      <c r="AB23" s="41">
        <f t="shared" si="11"/>
        <v>-0.69</v>
      </c>
      <c r="AC23" s="42">
        <v>0.21158269444444444</v>
      </c>
      <c r="AD23" s="40">
        <f t="shared" si="12"/>
        <v>-29.782380069999999</v>
      </c>
      <c r="AE23" s="40">
        <v>-7.32</v>
      </c>
      <c r="AF23" s="40">
        <v>-9.1364599999999996</v>
      </c>
      <c r="AG23" s="40">
        <v>0</v>
      </c>
    </row>
    <row r="24" spans="1:33" ht="15.75" customHeight="1" x14ac:dyDescent="0.2">
      <c r="A24" s="29" t="s">
        <v>52</v>
      </c>
      <c r="B24" s="29" t="s">
        <v>179</v>
      </c>
      <c r="C24" s="16">
        <f t="shared" si="4"/>
        <v>23.939886363636347</v>
      </c>
      <c r="D24" s="30">
        <v>88</v>
      </c>
      <c r="E24" s="30">
        <v>7</v>
      </c>
      <c r="F24" s="33">
        <v>2106.7099999999987</v>
      </c>
      <c r="G24" s="33">
        <v>-5.32</v>
      </c>
      <c r="H24" s="32">
        <f t="shared" si="1"/>
        <v>2.5252645119641544E-3</v>
      </c>
      <c r="I24" s="32">
        <f t="shared" si="2"/>
        <v>0.14787057430147749</v>
      </c>
      <c r="J24" s="33">
        <f t="shared" si="5"/>
        <v>311.52041758666542</v>
      </c>
      <c r="K24" s="33">
        <f t="shared" si="3"/>
        <v>3.5400047453030159</v>
      </c>
      <c r="L24" s="30">
        <v>223</v>
      </c>
      <c r="M24" s="34">
        <f t="shared" si="6"/>
        <v>0.39461883408071746</v>
      </c>
      <c r="N24" s="30">
        <v>4</v>
      </c>
      <c r="O24" s="35">
        <f t="shared" ref="O24:P24" si="32">D24/7</f>
        <v>12.571428571428571</v>
      </c>
      <c r="P24" s="35">
        <f t="shared" si="32"/>
        <v>1</v>
      </c>
      <c r="Q24" s="30">
        <f t="shared" si="8"/>
        <v>0</v>
      </c>
      <c r="R24" s="30"/>
      <c r="S24" s="36">
        <v>4.8831168831168803</v>
      </c>
      <c r="T24" s="29">
        <v>3744</v>
      </c>
      <c r="U24" s="37">
        <v>600</v>
      </c>
      <c r="V24" s="38" t="s">
        <v>815</v>
      </c>
      <c r="W24" s="29">
        <v>1</v>
      </c>
      <c r="X24" s="39">
        <f t="shared" si="9"/>
        <v>1.1363636363636364E-2</v>
      </c>
      <c r="Y24" s="40">
        <f t="shared" si="10"/>
        <v>1.0640000000000001</v>
      </c>
      <c r="Z24" s="29">
        <v>4</v>
      </c>
      <c r="AA24" s="29" t="s">
        <v>58</v>
      </c>
      <c r="AB24" s="41">
        <f t="shared" si="11"/>
        <v>-0.69</v>
      </c>
      <c r="AC24" s="42">
        <v>0.21158269444444444</v>
      </c>
      <c r="AD24" s="40">
        <f t="shared" si="12"/>
        <v>-25.694602413333332</v>
      </c>
      <c r="AE24" s="40">
        <v>-7.32</v>
      </c>
      <c r="AF24" s="40">
        <v>-9.1364599999999996</v>
      </c>
      <c r="AG24" s="40">
        <v>0</v>
      </c>
    </row>
    <row r="25" spans="1:33" ht="15.75" customHeight="1" x14ac:dyDescent="0.2">
      <c r="A25" s="29" t="s">
        <v>53</v>
      </c>
      <c r="B25" s="15" t="s">
        <v>816</v>
      </c>
      <c r="C25" s="16">
        <f t="shared" si="4"/>
        <v>29.485937500000002</v>
      </c>
      <c r="D25" s="30">
        <v>32</v>
      </c>
      <c r="E25" s="30">
        <v>4</v>
      </c>
      <c r="F25" s="33">
        <v>943.55000000000007</v>
      </c>
      <c r="G25" s="33">
        <v>0</v>
      </c>
      <c r="H25" s="32">
        <f t="shared" si="1"/>
        <v>0</v>
      </c>
      <c r="I25" s="32">
        <f t="shared" si="2"/>
        <v>0.28186530466147353</v>
      </c>
      <c r="J25" s="33">
        <f t="shared" si="5"/>
        <v>265.95400821333334</v>
      </c>
      <c r="K25" s="33">
        <f t="shared" si="3"/>
        <v>8.3110627566666668</v>
      </c>
      <c r="L25" s="30">
        <v>154</v>
      </c>
      <c r="M25" s="34">
        <f t="shared" si="6"/>
        <v>0.20779220779220781</v>
      </c>
      <c r="N25" s="30">
        <v>743</v>
      </c>
      <c r="O25" s="35">
        <f t="shared" ref="O25:P25" si="33">D25/7</f>
        <v>4.5714285714285712</v>
      </c>
      <c r="P25" s="35">
        <f t="shared" si="33"/>
        <v>0.5714285714285714</v>
      </c>
      <c r="Q25" s="30">
        <f t="shared" si="8"/>
        <v>144</v>
      </c>
      <c r="R25" s="30"/>
      <c r="S25" s="36">
        <v>1.4752708431464909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0.21158269444444444</v>
      </c>
      <c r="AD25" s="40">
        <f t="shared" si="12"/>
        <v>-9.3434917866666662</v>
      </c>
      <c r="AE25" s="40">
        <v>-7.32</v>
      </c>
      <c r="AF25" s="40">
        <v>-9.14</v>
      </c>
      <c r="AG25" s="40">
        <v>0</v>
      </c>
    </row>
    <row r="26" spans="1:33" ht="15.75" customHeight="1" x14ac:dyDescent="0.2">
      <c r="A26" s="15" t="s">
        <v>54</v>
      </c>
      <c r="B26" s="51" t="s">
        <v>755</v>
      </c>
      <c r="C26" s="16">
        <f t="shared" si="4"/>
        <v>31.019204545454546</v>
      </c>
      <c r="D26" s="17">
        <v>88</v>
      </c>
      <c r="E26" s="17">
        <v>9</v>
      </c>
      <c r="F26" s="18">
        <v>2729.69</v>
      </c>
      <c r="G26" s="18">
        <v>-50.68</v>
      </c>
      <c r="H26" s="32">
        <f t="shared" si="1"/>
        <v>1.8566210815147508E-2</v>
      </c>
      <c r="I26" s="32">
        <f t="shared" si="2"/>
        <v>0.29600922360658788</v>
      </c>
      <c r="J26" s="33">
        <f t="shared" si="5"/>
        <v>808.01341758666695</v>
      </c>
      <c r="K26" s="33">
        <f t="shared" si="3"/>
        <v>9.1819706543939432</v>
      </c>
      <c r="L26" s="17">
        <v>211</v>
      </c>
      <c r="M26" s="34">
        <f t="shared" si="6"/>
        <v>0.41706161137440756</v>
      </c>
      <c r="N26" s="17">
        <v>687</v>
      </c>
      <c r="O26" s="35">
        <f t="shared" ref="O26:P26" si="34">D26/7</f>
        <v>12.571428571428571</v>
      </c>
      <c r="P26" s="35">
        <f t="shared" si="34"/>
        <v>1.2857142857142858</v>
      </c>
      <c r="Q26" s="30">
        <f t="shared" si="8"/>
        <v>49</v>
      </c>
      <c r="R26" s="30"/>
      <c r="S26" s="22">
        <v>1.8060413354531</v>
      </c>
      <c r="T26" s="15">
        <v>3144</v>
      </c>
      <c r="U26" s="23">
        <v>1300</v>
      </c>
      <c r="V26" s="1" t="s">
        <v>817</v>
      </c>
      <c r="W26" s="15">
        <v>4</v>
      </c>
      <c r="X26" s="39">
        <f t="shared" si="9"/>
        <v>4.5454545454545456E-2</v>
      </c>
      <c r="Y26" s="40">
        <f t="shared" si="10"/>
        <v>8.4466666666666672</v>
      </c>
      <c r="Z26" s="15">
        <v>2</v>
      </c>
      <c r="AA26" s="29" t="s">
        <v>58</v>
      </c>
      <c r="AB26" s="41">
        <f t="shared" si="11"/>
        <v>-0.69</v>
      </c>
      <c r="AC26" s="42">
        <v>0.21158269444444444</v>
      </c>
      <c r="AD26" s="40">
        <f t="shared" si="12"/>
        <v>-25.694602413333332</v>
      </c>
      <c r="AE26" s="26">
        <v>-7.18</v>
      </c>
      <c r="AF26" s="26">
        <v>-9.1364599999999996</v>
      </c>
      <c r="AG26" s="26">
        <v>0</v>
      </c>
    </row>
    <row r="27" spans="1:33" ht="15.75" customHeight="1" x14ac:dyDescent="0.2">
      <c r="A27" s="15" t="s">
        <v>74</v>
      </c>
      <c r="B27" s="15" t="s">
        <v>479</v>
      </c>
      <c r="C27" s="16">
        <f t="shared" si="4"/>
        <v>26.096218905472636</v>
      </c>
      <c r="D27" s="17">
        <v>201</v>
      </c>
      <c r="E27" s="17">
        <v>7</v>
      </c>
      <c r="F27" s="18">
        <v>5245.34</v>
      </c>
      <c r="G27" s="18">
        <v>-208.56</v>
      </c>
      <c r="H27" s="32">
        <f t="shared" si="1"/>
        <v>3.9761006912802599E-2</v>
      </c>
      <c r="I27" s="32">
        <f t="shared" si="2"/>
        <v>0.17380793851590162</v>
      </c>
      <c r="J27" s="33">
        <f t="shared" si="5"/>
        <v>911.68173221499944</v>
      </c>
      <c r="K27" s="33">
        <f t="shared" si="3"/>
        <v>4.5357300110198979</v>
      </c>
      <c r="L27" s="17">
        <v>330</v>
      </c>
      <c r="M27" s="34">
        <f t="shared" si="6"/>
        <v>0.60909090909090913</v>
      </c>
      <c r="N27" s="17">
        <v>432</v>
      </c>
      <c r="O27" s="35">
        <f t="shared" ref="O27:P27" si="35">D27/7</f>
        <v>28.714285714285715</v>
      </c>
      <c r="P27" s="35">
        <f t="shared" si="35"/>
        <v>1</v>
      </c>
      <c r="Q27" s="30">
        <f t="shared" si="8"/>
        <v>14</v>
      </c>
      <c r="R27" s="30"/>
      <c r="S27" s="22">
        <v>2.8252569750367109</v>
      </c>
      <c r="T27" s="15">
        <v>1624</v>
      </c>
      <c r="U27" s="23">
        <v>1300</v>
      </c>
      <c r="V27" s="1" t="s">
        <v>818</v>
      </c>
      <c r="W27" s="15">
        <v>20</v>
      </c>
      <c r="X27" s="39">
        <f t="shared" si="9"/>
        <v>9.950248756218906E-2</v>
      </c>
      <c r="Y27" s="40">
        <f t="shared" si="10"/>
        <v>3.7242857142857142</v>
      </c>
      <c r="Z27" s="15">
        <v>36</v>
      </c>
      <c r="AA27" s="29" t="s">
        <v>58</v>
      </c>
      <c r="AB27" s="41">
        <f t="shared" si="11"/>
        <v>-0.69</v>
      </c>
      <c r="AC27" s="42">
        <v>0.21158269444444444</v>
      </c>
      <c r="AD27" s="40">
        <f t="shared" si="12"/>
        <v>-58.688807784999995</v>
      </c>
      <c r="AE27" s="26">
        <v>-7.18</v>
      </c>
      <c r="AF27" s="26">
        <v>-9.1364599999999996</v>
      </c>
      <c r="AG27" s="26">
        <v>0</v>
      </c>
    </row>
    <row r="28" spans="1:33" ht="15.75" customHeight="1" x14ac:dyDescent="0.2">
      <c r="A28" s="15" t="s">
        <v>75</v>
      </c>
      <c r="B28" s="15" t="s">
        <v>819</v>
      </c>
      <c r="C28" s="16">
        <f t="shared" si="4"/>
        <v>26.626593886462881</v>
      </c>
      <c r="D28" s="17">
        <v>229</v>
      </c>
      <c r="E28" s="17">
        <v>7</v>
      </c>
      <c r="F28" s="18">
        <v>6097.49</v>
      </c>
      <c r="G28" s="18">
        <v>-209.78000000000009</v>
      </c>
      <c r="H28" s="32">
        <f t="shared" si="1"/>
        <v>3.4404320466290245E-2</v>
      </c>
      <c r="I28" s="32">
        <f t="shared" si="2"/>
        <v>0.19184169172916515</v>
      </c>
      <c r="J28" s="33">
        <f t="shared" si="5"/>
        <v>1169.7527969016671</v>
      </c>
      <c r="K28" s="33">
        <f t="shared" si="3"/>
        <v>5.1080908161644851</v>
      </c>
      <c r="L28" s="17">
        <v>462</v>
      </c>
      <c r="M28" s="34">
        <f t="shared" si="6"/>
        <v>0.49567099567099565</v>
      </c>
      <c r="N28" s="17">
        <v>207</v>
      </c>
      <c r="O28" s="35">
        <f t="shared" ref="O28:P28" si="36">D28/7</f>
        <v>32.714285714285715</v>
      </c>
      <c r="P28" s="35">
        <f t="shared" si="36"/>
        <v>1</v>
      </c>
      <c r="Q28" s="30">
        <f t="shared" si="8"/>
        <v>6</v>
      </c>
      <c r="R28" s="30"/>
      <c r="S28" s="22">
        <v>4.998932764140875</v>
      </c>
      <c r="T28" s="15">
        <v>1924</v>
      </c>
      <c r="U28" s="23">
        <v>1300</v>
      </c>
      <c r="V28" s="1" t="s">
        <v>820</v>
      </c>
      <c r="W28" s="15">
        <v>29</v>
      </c>
      <c r="X28" s="39">
        <f t="shared" si="9"/>
        <v>0.12663755458515283</v>
      </c>
      <c r="Y28" s="40">
        <f t="shared" si="10"/>
        <v>3.6803508771929838</v>
      </c>
      <c r="Z28" s="15">
        <v>28</v>
      </c>
      <c r="AA28" s="29" t="s">
        <v>58</v>
      </c>
      <c r="AB28" s="41">
        <f t="shared" si="11"/>
        <v>-0.69</v>
      </c>
      <c r="AC28" s="42">
        <v>0.21158269444444444</v>
      </c>
      <c r="AD28" s="40">
        <f t="shared" si="12"/>
        <v>-66.864363098333328</v>
      </c>
      <c r="AE28" s="26">
        <v>-7.18</v>
      </c>
      <c r="AF28" s="26">
        <v>-9.1364599999999996</v>
      </c>
      <c r="AG28" s="26">
        <v>0</v>
      </c>
    </row>
    <row r="29" spans="1:33" ht="15.75" customHeight="1" x14ac:dyDescent="0.2">
      <c r="A29" s="15" t="s">
        <v>77</v>
      </c>
      <c r="B29" s="15" t="s">
        <v>179</v>
      </c>
      <c r="C29" s="16">
        <f t="shared" si="4"/>
        <v>27.173999999999999</v>
      </c>
      <c r="D29" s="17">
        <v>165</v>
      </c>
      <c r="E29" s="17">
        <v>13</v>
      </c>
      <c r="F29" s="18">
        <v>4483.71</v>
      </c>
      <c r="G29" s="18">
        <v>-37.429999999999993</v>
      </c>
      <c r="H29" s="32">
        <f t="shared" si="1"/>
        <v>8.3479975288321493E-3</v>
      </c>
      <c r="I29" s="32">
        <f t="shared" si="2"/>
        <v>0.22948608179944727</v>
      </c>
      <c r="J29" s="33">
        <f t="shared" si="5"/>
        <v>1028.9490398249998</v>
      </c>
      <c r="K29" s="33">
        <f t="shared" si="3"/>
        <v>6.2360547868181806</v>
      </c>
      <c r="L29" s="17">
        <v>373</v>
      </c>
      <c r="M29" s="34">
        <f t="shared" si="6"/>
        <v>0.44235924932975873</v>
      </c>
      <c r="N29" s="17">
        <v>48</v>
      </c>
      <c r="O29" s="35">
        <f t="shared" ref="O29:P29" si="37">D29/7</f>
        <v>23.571428571428573</v>
      </c>
      <c r="P29" s="35">
        <f t="shared" si="37"/>
        <v>1.8571428571428572</v>
      </c>
      <c r="Q29" s="30">
        <f t="shared" si="8"/>
        <v>1</v>
      </c>
      <c r="R29" s="30"/>
      <c r="S29" s="22">
        <v>3.8039502560351131</v>
      </c>
      <c r="T29" s="15">
        <v>1924</v>
      </c>
      <c r="U29" s="23">
        <v>1300</v>
      </c>
      <c r="V29" s="1" t="s">
        <v>821</v>
      </c>
      <c r="W29" s="15">
        <v>4</v>
      </c>
      <c r="X29" s="39">
        <f t="shared" si="9"/>
        <v>2.4242424242424242E-2</v>
      </c>
      <c r="Y29" s="40">
        <f t="shared" si="10"/>
        <v>4.158888888888888</v>
      </c>
      <c r="Z29" s="15">
        <v>5</v>
      </c>
      <c r="AA29" s="29" t="s">
        <v>58</v>
      </c>
      <c r="AB29" s="41">
        <f t="shared" si="11"/>
        <v>-0.69</v>
      </c>
      <c r="AC29" s="42">
        <v>0.21158269444444444</v>
      </c>
      <c r="AD29" s="40">
        <f t="shared" si="12"/>
        <v>-48.177379524999999</v>
      </c>
      <c r="AE29" s="26">
        <v>-7.18</v>
      </c>
      <c r="AF29" s="26">
        <v>-9.1630126099999991</v>
      </c>
      <c r="AG29" s="26">
        <v>0</v>
      </c>
    </row>
    <row r="30" spans="1:33" ht="15.75" customHeight="1" x14ac:dyDescent="0.2">
      <c r="A30" s="15" t="s">
        <v>78</v>
      </c>
      <c r="B30" s="15" t="s">
        <v>179</v>
      </c>
      <c r="C30" s="16">
        <f t="shared" si="4"/>
        <v>26.942432432432419</v>
      </c>
      <c r="D30" s="17">
        <v>37</v>
      </c>
      <c r="E30" s="17">
        <v>3</v>
      </c>
      <c r="F30" s="18">
        <v>996.86999999999944</v>
      </c>
      <c r="G30" s="18">
        <v>0</v>
      </c>
      <c r="H30" s="32">
        <f t="shared" si="1"/>
        <v>0</v>
      </c>
      <c r="I30" s="32">
        <f t="shared" si="2"/>
        <v>0.26112312661923448</v>
      </c>
      <c r="J30" s="33">
        <f t="shared" si="5"/>
        <v>260.30581123291614</v>
      </c>
      <c r="K30" s="33">
        <f t="shared" si="3"/>
        <v>7.03529219548422</v>
      </c>
      <c r="L30" s="17">
        <v>175</v>
      </c>
      <c r="M30" s="34">
        <f t="shared" si="6"/>
        <v>0.21142857142857144</v>
      </c>
      <c r="N30" s="17">
        <v>1295</v>
      </c>
      <c r="O30" s="35">
        <f t="shared" ref="O30:P30" si="38">D30/7</f>
        <v>5.2857142857142856</v>
      </c>
      <c r="P30" s="35">
        <f t="shared" si="38"/>
        <v>0.42857142857142855</v>
      </c>
      <c r="Q30" s="30">
        <f t="shared" si="8"/>
        <v>226</v>
      </c>
      <c r="R30" s="30"/>
      <c r="S30" s="22">
        <v>3.2599009900990099</v>
      </c>
      <c r="T30" s="29">
        <v>324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0.21158269444444444</v>
      </c>
      <c r="AD30" s="40">
        <f t="shared" si="12"/>
        <v>-10.803412378333332</v>
      </c>
      <c r="AE30" s="26">
        <v>-7.18</v>
      </c>
      <c r="AF30" s="26">
        <v>-8.3937912537500008</v>
      </c>
      <c r="AG30" s="26">
        <v>0</v>
      </c>
    </row>
    <row r="31" spans="1:33" ht="15.75" customHeight="1" x14ac:dyDescent="0.2">
      <c r="A31" s="15" t="s">
        <v>55</v>
      </c>
      <c r="B31" s="15" t="s">
        <v>822</v>
      </c>
      <c r="C31" s="16">
        <f t="shared" si="4"/>
        <v>29.076206896551685</v>
      </c>
      <c r="D31" s="17">
        <v>116</v>
      </c>
      <c r="E31" s="17">
        <v>4</v>
      </c>
      <c r="F31" s="18">
        <v>3372.8399999999956</v>
      </c>
      <c r="G31" s="43">
        <v>-17.840000000000003</v>
      </c>
      <c r="H31" s="32">
        <f t="shared" si="1"/>
        <v>5.2893110850203472E-3</v>
      </c>
      <c r="I31" s="32">
        <f t="shared" si="2"/>
        <v>0.29904888961181991</v>
      </c>
      <c r="J31" s="33">
        <f t="shared" si="5"/>
        <v>1008.6440568383294</v>
      </c>
      <c r="K31" s="33">
        <f t="shared" si="3"/>
        <v>8.6952073865373229</v>
      </c>
      <c r="L31" s="17">
        <v>350</v>
      </c>
      <c r="M31" s="34">
        <f t="shared" si="6"/>
        <v>0.33142857142857141</v>
      </c>
      <c r="N31" s="17">
        <v>1178</v>
      </c>
      <c r="O31" s="35">
        <f t="shared" ref="O31:P31" si="39">D31/7</f>
        <v>16.571428571428573</v>
      </c>
      <c r="P31" s="35">
        <f t="shared" si="39"/>
        <v>0.5714285714285714</v>
      </c>
      <c r="Q31" s="30">
        <f t="shared" si="8"/>
        <v>68</v>
      </c>
      <c r="R31" s="30"/>
      <c r="S31" s="22">
        <v>2.1165991902834</v>
      </c>
      <c r="T31" s="15">
        <v>144</v>
      </c>
      <c r="U31" s="23">
        <v>180</v>
      </c>
      <c r="V31" s="1" t="s">
        <v>823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0.21158269444444444</v>
      </c>
      <c r="AD31" s="40">
        <f t="shared" si="12"/>
        <v>-33.870157726666662</v>
      </c>
      <c r="AE31" s="44">
        <v>-7.18</v>
      </c>
      <c r="AF31" s="44">
        <v>-8.393791253749999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30.504636363636365</v>
      </c>
      <c r="D32" s="17">
        <v>110</v>
      </c>
      <c r="E32" s="17">
        <v>5</v>
      </c>
      <c r="F32" s="18">
        <v>3355.51</v>
      </c>
      <c r="G32" s="18">
        <v>-10.78</v>
      </c>
      <c r="H32" s="32">
        <f t="shared" si="1"/>
        <v>3.2126263965835296E-3</v>
      </c>
      <c r="I32" s="32">
        <f t="shared" si="2"/>
        <v>0.32667708010729646</v>
      </c>
      <c r="J32" s="33">
        <f t="shared" si="5"/>
        <v>1096.1682090708343</v>
      </c>
      <c r="K32" s="33">
        <f t="shared" si="3"/>
        <v>9.965165537007584</v>
      </c>
      <c r="L32" s="17">
        <v>327</v>
      </c>
      <c r="M32" s="34">
        <f t="shared" si="6"/>
        <v>0.3363914373088685</v>
      </c>
      <c r="N32" s="17">
        <v>883</v>
      </c>
      <c r="O32" s="35">
        <f t="shared" ref="O32:P32" si="40">D32/7</f>
        <v>15.714285714285714</v>
      </c>
      <c r="P32" s="35">
        <f t="shared" si="40"/>
        <v>0.7142857142857143</v>
      </c>
      <c r="Q32" s="30">
        <f t="shared" si="8"/>
        <v>53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3.3719211822660098</v>
      </c>
      <c r="T32" s="15">
        <f ca="1">IFERROR(__xludf.DUMMYFUNCTION("IFERROR(VLOOKUP($B$2,IMPORTRANGE(""https://docs.google.com/spreadsheets/d/1KiWZV1ko8G7lnRucBRBd29jj3Be6ltMfljMDqzOkQmI/edit#gid=1381463014"",""Lookup!A:D""),4,FALSE),"""")"),144)</f>
        <v>144</v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S210718   - 180 units 09/17")</f>
        <v>| S210718   - 180 units 09/17</v>
      </c>
      <c r="W32" s="15">
        <v>0</v>
      </c>
      <c r="X32" s="39">
        <f t="shared" si="9"/>
        <v>0</v>
      </c>
      <c r="Y32" s="40">
        <f t="shared" si="10"/>
        <v>10.78</v>
      </c>
      <c r="Z32" s="15">
        <v>1</v>
      </c>
      <c r="AA32" s="15" t="s">
        <v>58</v>
      </c>
      <c r="AB32" s="41">
        <f t="shared" si="11"/>
        <v>-0.69</v>
      </c>
      <c r="AC32" s="28">
        <v>0.21158269444444444</v>
      </c>
      <c r="AD32" s="40">
        <f t="shared" si="12"/>
        <v>-32.118253016666664</v>
      </c>
      <c r="AE32" s="26">
        <v>-7.18</v>
      </c>
      <c r="AF32" s="26">
        <v>-8.3937912537499901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03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Info!B1:BJ7000""),3,FALSE),"""")"),"Professional Cornhole Bags - Set of 8 Regulation All Weather Two Sided Bean Bags for Pro Corn Hole Game - 4 Red &amp; 4 Gray")</f>
        <v>Professional Cornhole Bags - Set of 8 Regulation All Weather Two Sided Bean Bags for Pro Corn Hole Game - 4 Red &amp; 4 Gray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Info!B1:BJ7000""),2,FALSE),"""")"),"B07YGN6MKJ")</f>
        <v>B07YGN6MKJ</v>
      </c>
      <c r="B2" s="47" t="s">
        <v>824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18.32210735735293</v>
      </c>
      <c r="D3" s="5">
        <f>SUM(D4:D99765)</f>
        <v>1197</v>
      </c>
      <c r="E3" s="5"/>
      <c r="F3" s="6">
        <f t="shared" ref="F3:G3" si="0">SUM(F4:F99765)</f>
        <v>33630.79</v>
      </c>
      <c r="G3" s="6">
        <f t="shared" si="0"/>
        <v>-1453.4000000000003</v>
      </c>
      <c r="H3" s="7">
        <f t="shared" ref="H3:H32" si="1">G3/F3*-1</f>
        <v>4.3216350255227437E-2</v>
      </c>
      <c r="I3" s="8">
        <f t="shared" ref="I3:I32" si="2">J3/F3</f>
        <v>0.23209943986340612</v>
      </c>
      <c r="J3" s="6">
        <f>SUM(J4:J99765)</f>
        <v>7805.6875211638398</v>
      </c>
      <c r="K3" s="6">
        <f t="shared" ref="K3:K32" si="3">J3/D3</f>
        <v>6.521042206486082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Sheet!a1:g5000""),2,FALSE),"""")"),"4 - March
9 - April
5 - May
25 - June
23 - July
18 - Aug
5 - Sept
3 - Oct
3 - Nov
3 - Dec
4 - Jan
4 - Feb")</f>
        <v>4 - March
9 - April
5 - May
25 - June
23 - July
18 - Aug
5 - Sept
3 - Oct
3 - Nov
3 - Dec
4 - Jan
4 -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QTY-136")</f>
        <v>Del QTY-136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QTY-200")</f>
        <v>US QTY-200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81</v>
      </c>
      <c r="X3" s="7">
        <f>W3/D3</f>
        <v>6.7669172932330823E-2</v>
      </c>
      <c r="Y3" s="6"/>
      <c r="Z3" s="5"/>
      <c r="AA3" s="5"/>
      <c r="AB3" s="5"/>
      <c r="AC3" s="5"/>
      <c r="AD3" s="6">
        <f>SUM(AD4:AD99765)</f>
        <v>-313.72929461583914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707</v>
      </c>
      <c r="C4" s="16">
        <f t="shared" ref="C4:C32" si="4">IFERROR(F4/D4," - ")</f>
        <v>21.990000000000006</v>
      </c>
      <c r="D4" s="17">
        <v>45</v>
      </c>
      <c r="E4" s="17">
        <v>0</v>
      </c>
      <c r="F4" s="18">
        <v>989.5500000000003</v>
      </c>
      <c r="G4" s="18">
        <v>-32</v>
      </c>
      <c r="H4" s="19">
        <f t="shared" si="1"/>
        <v>3.2337931382951837E-2</v>
      </c>
      <c r="I4" s="19">
        <f t="shared" si="2"/>
        <v>0.1485085608075544</v>
      </c>
      <c r="J4" s="18">
        <f t="shared" ref="J4:J32" si="5">F4*0.85+G4+AF4*D4+D4*AE4+AG4+AD4</f>
        <v>146.95664634711551</v>
      </c>
      <c r="K4" s="18">
        <f t="shared" si="3"/>
        <v>3.2657032521581226</v>
      </c>
      <c r="L4" s="17">
        <v>84</v>
      </c>
      <c r="M4" s="20">
        <f t="shared" ref="M4:M32" si="6">IFERROR(D4/L4,"-")</f>
        <v>0.5357142857142857</v>
      </c>
      <c r="N4" s="17">
        <v>147</v>
      </c>
      <c r="O4" s="21">
        <f t="shared" ref="O4:P4" si="7">D4/7</f>
        <v>6.4285714285714288</v>
      </c>
      <c r="P4" s="21">
        <f t="shared" si="7"/>
        <v>0</v>
      </c>
      <c r="Q4" s="17">
        <f t="shared" ref="Q4:Q32" si="8">ROUNDDOWN(N4/(O4+P4),0)</f>
        <v>22</v>
      </c>
      <c r="R4" s="17"/>
      <c r="S4" s="22">
        <v>2.5843230403800401</v>
      </c>
      <c r="T4" s="15">
        <v>1816</v>
      </c>
      <c r="U4" s="23">
        <v>60</v>
      </c>
      <c r="V4" s="24" t="s">
        <v>825</v>
      </c>
      <c r="W4" s="15">
        <v>4</v>
      </c>
      <c r="X4" s="25">
        <f t="shared" ref="X4:X32" si="9">IFERROR(W4/D4,0)</f>
        <v>8.8888888888888892E-2</v>
      </c>
      <c r="Y4" s="26">
        <f t="shared" ref="Y4:Y32" si="10">IFERROR(G4/(W4+Z4)*-1,0)</f>
        <v>2.2857142857142856</v>
      </c>
      <c r="Z4" s="15">
        <v>10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0.18991898611111113</v>
      </c>
      <c r="AD4" s="26">
        <f t="shared" ref="AD4:AD32" si="12">IFERROR(AB4*AC4*D4*2,0)</f>
        <v>-11.7939690375</v>
      </c>
      <c r="AE4" s="26">
        <v>-7.32</v>
      </c>
      <c r="AF4" s="26">
        <v>-7.132597435897436</v>
      </c>
      <c r="AG4" s="26">
        <v>0</v>
      </c>
    </row>
    <row r="5" spans="1:33" ht="15.75" customHeight="1" x14ac:dyDescent="0.2">
      <c r="A5" s="29" t="s">
        <v>33</v>
      </c>
      <c r="B5" s="29" t="s">
        <v>826</v>
      </c>
      <c r="C5" s="16">
        <f t="shared" si="4"/>
        <v>22.500000000000011</v>
      </c>
      <c r="D5" s="30">
        <v>32</v>
      </c>
      <c r="E5" s="30">
        <v>1</v>
      </c>
      <c r="F5" s="31">
        <v>720.00000000000034</v>
      </c>
      <c r="G5" s="31">
        <v>-9.8800000000000008</v>
      </c>
      <c r="H5" s="32">
        <f t="shared" si="1"/>
        <v>1.3722222222222217E-2</v>
      </c>
      <c r="I5" s="32">
        <f t="shared" si="2"/>
        <v>0.18227825195316169</v>
      </c>
      <c r="J5" s="33">
        <f t="shared" si="5"/>
        <v>131.24034140627649</v>
      </c>
      <c r="K5" s="33">
        <f t="shared" si="3"/>
        <v>4.1012606689461402</v>
      </c>
      <c r="L5" s="30">
        <v>90</v>
      </c>
      <c r="M5" s="34">
        <f t="shared" si="6"/>
        <v>0.35555555555555557</v>
      </c>
      <c r="N5" s="30">
        <v>122</v>
      </c>
      <c r="O5" s="35">
        <f t="shared" ref="O5:P5" si="13">D5/7</f>
        <v>4.5714285714285712</v>
      </c>
      <c r="P5" s="35">
        <f t="shared" si="13"/>
        <v>0.14285714285714285</v>
      </c>
      <c r="Q5" s="30">
        <f t="shared" si="8"/>
        <v>25</v>
      </c>
      <c r="R5" s="30"/>
      <c r="S5" s="36">
        <v>2.0371747211895901</v>
      </c>
      <c r="T5" s="29">
        <v>2000</v>
      </c>
      <c r="U5" s="37">
        <v>60</v>
      </c>
      <c r="V5" s="38" t="s">
        <v>827</v>
      </c>
      <c r="W5" s="29">
        <v>0</v>
      </c>
      <c r="X5" s="39">
        <f t="shared" si="9"/>
        <v>0</v>
      </c>
      <c r="Y5" s="40">
        <f t="shared" si="10"/>
        <v>4.9400000000000004</v>
      </c>
      <c r="Z5" s="29">
        <v>2</v>
      </c>
      <c r="AA5" s="29" t="s">
        <v>58</v>
      </c>
      <c r="AB5" s="41">
        <f t="shared" si="11"/>
        <v>-0.69</v>
      </c>
      <c r="AC5" s="42">
        <v>0.19013905446118196</v>
      </c>
      <c r="AD5" s="40">
        <f t="shared" si="12"/>
        <v>-8.3965406450057944</v>
      </c>
      <c r="AE5" s="40">
        <v>-7.32</v>
      </c>
      <c r="AF5" s="40">
        <v>-7.132597435897436</v>
      </c>
      <c r="AG5" s="40">
        <v>0</v>
      </c>
    </row>
    <row r="6" spans="1:33" ht="15.75" customHeight="1" x14ac:dyDescent="0.2">
      <c r="A6" s="29" t="s">
        <v>34</v>
      </c>
      <c r="B6" s="29" t="s">
        <v>828</v>
      </c>
      <c r="C6" s="16">
        <f t="shared" si="4"/>
        <v>29.231799999999993</v>
      </c>
      <c r="D6" s="30">
        <v>50</v>
      </c>
      <c r="E6" s="30">
        <v>4</v>
      </c>
      <c r="F6" s="31">
        <v>1461.5899999999997</v>
      </c>
      <c r="G6" s="31">
        <v>0</v>
      </c>
      <c r="H6" s="32">
        <f t="shared" si="1"/>
        <v>0</v>
      </c>
      <c r="I6" s="32">
        <f t="shared" si="2"/>
        <v>0.34662061054294391</v>
      </c>
      <c r="J6" s="33">
        <f t="shared" si="5"/>
        <v>506.61721816346125</v>
      </c>
      <c r="K6" s="33">
        <f t="shared" si="3"/>
        <v>10.132344363269224</v>
      </c>
      <c r="L6" s="30">
        <v>118</v>
      </c>
      <c r="M6" s="34">
        <f t="shared" si="6"/>
        <v>0.42372881355932202</v>
      </c>
      <c r="N6" s="30">
        <v>69</v>
      </c>
      <c r="O6" s="35">
        <f t="shared" ref="O6:P6" si="14">D6/7</f>
        <v>7.1428571428571432</v>
      </c>
      <c r="P6" s="35">
        <f t="shared" si="14"/>
        <v>0.5714285714285714</v>
      </c>
      <c r="Q6" s="30">
        <f t="shared" si="8"/>
        <v>8</v>
      </c>
      <c r="R6" s="30"/>
      <c r="S6" s="36">
        <v>2.5700934579439201</v>
      </c>
      <c r="T6" s="29">
        <v>2000</v>
      </c>
      <c r="U6" s="37">
        <v>60</v>
      </c>
      <c r="V6" s="38" t="s">
        <v>829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58</v>
      </c>
      <c r="AB6" s="41">
        <f t="shared" si="11"/>
        <v>-0.69</v>
      </c>
      <c r="AC6" s="42">
        <v>0.18991898611111113</v>
      </c>
      <c r="AD6" s="40">
        <f t="shared" si="12"/>
        <v>-13.104410041666666</v>
      </c>
      <c r="AE6" s="40">
        <v>-7.32</v>
      </c>
      <c r="AF6" s="40">
        <v>-7.132597435897436</v>
      </c>
      <c r="AG6" s="40">
        <v>0</v>
      </c>
    </row>
    <row r="7" spans="1:33" ht="15.75" customHeight="1" x14ac:dyDescent="0.2">
      <c r="A7" s="29" t="s">
        <v>35</v>
      </c>
      <c r="B7" s="29" t="s">
        <v>830</v>
      </c>
      <c r="C7" s="16">
        <f t="shared" si="4"/>
        <v>31.582800000000002</v>
      </c>
      <c r="D7" s="30">
        <v>25</v>
      </c>
      <c r="E7" s="30">
        <v>6</v>
      </c>
      <c r="F7" s="31">
        <v>789.57</v>
      </c>
      <c r="G7" s="31">
        <v>0</v>
      </c>
      <c r="H7" s="32">
        <f t="shared" si="1"/>
        <v>0</v>
      </c>
      <c r="I7" s="32">
        <f t="shared" si="2"/>
        <v>0.38409179563779106</v>
      </c>
      <c r="J7" s="33">
        <f t="shared" si="5"/>
        <v>303.26735908173072</v>
      </c>
      <c r="K7" s="33">
        <f t="shared" si="3"/>
        <v>12.130694363269228</v>
      </c>
      <c r="L7" s="30">
        <v>135</v>
      </c>
      <c r="M7" s="34">
        <f t="shared" si="6"/>
        <v>0.18518518518518517</v>
      </c>
      <c r="N7" s="30">
        <v>31</v>
      </c>
      <c r="O7" s="35">
        <f t="shared" ref="O7:P7" si="15">D7/7</f>
        <v>3.5714285714285716</v>
      </c>
      <c r="P7" s="35">
        <f t="shared" si="15"/>
        <v>0.8571428571428571</v>
      </c>
      <c r="Q7" s="30">
        <f t="shared" si="8"/>
        <v>7</v>
      </c>
      <c r="R7" s="30"/>
      <c r="S7" s="36">
        <v>4.3460207612456703</v>
      </c>
      <c r="T7" s="29">
        <v>2000</v>
      </c>
      <c r="U7" s="37">
        <v>60</v>
      </c>
      <c r="V7" s="38" t="s">
        <v>831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58</v>
      </c>
      <c r="AB7" s="41">
        <f t="shared" si="11"/>
        <v>-0.69</v>
      </c>
      <c r="AC7" s="42">
        <v>0.18991898611111113</v>
      </c>
      <c r="AD7" s="40">
        <f t="shared" si="12"/>
        <v>-6.5522050208333331</v>
      </c>
      <c r="AE7" s="40">
        <v>-7.32</v>
      </c>
      <c r="AF7" s="40">
        <v>-7.132597435897436</v>
      </c>
      <c r="AG7" s="40">
        <v>0</v>
      </c>
    </row>
    <row r="8" spans="1:33" ht="15.75" customHeight="1" x14ac:dyDescent="0.2">
      <c r="A8" s="29" t="s">
        <v>36</v>
      </c>
      <c r="B8" s="29" t="s">
        <v>179</v>
      </c>
      <c r="C8" s="16">
        <f t="shared" si="4"/>
        <v>32.381111111111096</v>
      </c>
      <c r="D8" s="30">
        <v>18</v>
      </c>
      <c r="E8" s="30">
        <v>4</v>
      </c>
      <c r="F8" s="31">
        <v>582.85999999999979</v>
      </c>
      <c r="G8" s="31">
        <v>0</v>
      </c>
      <c r="H8" s="32">
        <f t="shared" si="1"/>
        <v>0</v>
      </c>
      <c r="I8" s="32">
        <f t="shared" si="2"/>
        <v>0.39565832684521129</v>
      </c>
      <c r="J8" s="33">
        <f t="shared" si="5"/>
        <v>230.61341238499978</v>
      </c>
      <c r="K8" s="33">
        <f t="shared" si="3"/>
        <v>12.811856243611098</v>
      </c>
      <c r="L8" s="30">
        <v>87</v>
      </c>
      <c r="M8" s="34">
        <f t="shared" si="6"/>
        <v>0.20689655172413793</v>
      </c>
      <c r="N8" s="30">
        <v>3</v>
      </c>
      <c r="O8" s="35">
        <f t="shared" ref="O8:P8" si="16">D8/7</f>
        <v>2.5714285714285716</v>
      </c>
      <c r="P8" s="35">
        <f t="shared" si="16"/>
        <v>0.5714285714285714</v>
      </c>
      <c r="Q8" s="30">
        <f t="shared" si="8"/>
        <v>0</v>
      </c>
      <c r="R8" s="30"/>
      <c r="S8" s="36">
        <v>4.3729903536977401</v>
      </c>
      <c r="T8" s="29">
        <v>2000</v>
      </c>
      <c r="U8" s="37">
        <v>60</v>
      </c>
      <c r="V8" s="38" t="s">
        <v>832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58</v>
      </c>
      <c r="AB8" s="41">
        <f t="shared" si="11"/>
        <v>-0.69</v>
      </c>
      <c r="AC8" s="42">
        <v>0.18991898611111113</v>
      </c>
      <c r="AD8" s="40">
        <f t="shared" si="12"/>
        <v>-4.7175876150000002</v>
      </c>
      <c r="AE8" s="40">
        <v>-7.32</v>
      </c>
      <c r="AF8" s="40">
        <v>-7.13</v>
      </c>
      <c r="AG8" s="40">
        <v>0</v>
      </c>
    </row>
    <row r="9" spans="1:33" ht="15.75" customHeight="1" x14ac:dyDescent="0.2">
      <c r="A9" s="29" t="s">
        <v>37</v>
      </c>
      <c r="B9" s="29" t="s">
        <v>487</v>
      </c>
      <c r="C9" s="16">
        <f t="shared" si="4"/>
        <v>29.99</v>
      </c>
      <c r="D9" s="30">
        <v>3</v>
      </c>
      <c r="E9" s="30">
        <v>0</v>
      </c>
      <c r="F9" s="31">
        <v>89.97</v>
      </c>
      <c r="G9" s="31">
        <v>0</v>
      </c>
      <c r="H9" s="32">
        <f t="shared" si="1"/>
        <v>0</v>
      </c>
      <c r="I9" s="32">
        <f t="shared" si="2"/>
        <v>0.34756949766802608</v>
      </c>
      <c r="J9" s="33">
        <f t="shared" si="5"/>
        <v>31.270827705192307</v>
      </c>
      <c r="K9" s="33">
        <f t="shared" si="3"/>
        <v>10.423609235064102</v>
      </c>
      <c r="L9" s="30">
        <v>16</v>
      </c>
      <c r="M9" s="34">
        <f t="shared" si="6"/>
        <v>0.1875</v>
      </c>
      <c r="N9" s="30">
        <v>0</v>
      </c>
      <c r="O9" s="35">
        <f t="shared" ref="O9:P9" si="17">D9/7</f>
        <v>0.42857142857142855</v>
      </c>
      <c r="P9" s="35">
        <f t="shared" si="17"/>
        <v>0</v>
      </c>
      <c r="Q9" s="30">
        <f t="shared" si="8"/>
        <v>0</v>
      </c>
      <c r="R9" s="30"/>
      <c r="S9" s="36">
        <v>2.8595387840670798</v>
      </c>
      <c r="T9" s="29">
        <v>2000</v>
      </c>
      <c r="U9" s="37">
        <v>60</v>
      </c>
      <c r="V9" s="38" t="s">
        <v>833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58</v>
      </c>
      <c r="AB9" s="41">
        <f t="shared" si="11"/>
        <v>-0.69</v>
      </c>
      <c r="AC9" s="42">
        <v>0.18991898611111113</v>
      </c>
      <c r="AD9" s="40">
        <f t="shared" si="12"/>
        <v>-0.78626460249999996</v>
      </c>
      <c r="AE9" s="40">
        <v>-7.32</v>
      </c>
      <c r="AF9" s="40">
        <v>-7.4858025641025598</v>
      </c>
      <c r="AG9" s="40">
        <v>0</v>
      </c>
    </row>
    <row r="10" spans="1:33" ht="15.75" customHeight="1" x14ac:dyDescent="0.2">
      <c r="A10" s="29" t="s">
        <v>38</v>
      </c>
      <c r="B10" s="29" t="s">
        <v>179</v>
      </c>
      <c r="C10" s="16">
        <f t="shared" si="4"/>
        <v>29.97</v>
      </c>
      <c r="D10" s="30">
        <v>1</v>
      </c>
      <c r="E10" s="30">
        <v>0</v>
      </c>
      <c r="F10" s="31">
        <v>29.97</v>
      </c>
      <c r="G10" s="31">
        <v>0</v>
      </c>
      <c r="H10" s="32">
        <f t="shared" si="1"/>
        <v>0</v>
      </c>
      <c r="I10" s="32">
        <f t="shared" si="2"/>
        <v>0.34723420871084776</v>
      </c>
      <c r="J10" s="33">
        <f t="shared" si="5"/>
        <v>10.406609235064106</v>
      </c>
      <c r="K10" s="33">
        <f t="shared" si="3"/>
        <v>10.406609235064106</v>
      </c>
      <c r="L10" s="30">
        <v>3</v>
      </c>
      <c r="M10" s="34">
        <f t="shared" si="6"/>
        <v>0.33333333333333331</v>
      </c>
      <c r="N10" s="30">
        <v>1</v>
      </c>
      <c r="O10" s="35">
        <f t="shared" ref="O10:P10" si="18">D10/7</f>
        <v>0.14285714285714285</v>
      </c>
      <c r="P10" s="35">
        <f t="shared" si="18"/>
        <v>0</v>
      </c>
      <c r="Q10" s="30">
        <f t="shared" si="8"/>
        <v>7</v>
      </c>
      <c r="R10" s="30"/>
      <c r="S10" s="36" t="e">
        <v>#N/A</v>
      </c>
      <c r="T10" s="29">
        <v>2160</v>
      </c>
      <c r="U10" s="37">
        <v>60</v>
      </c>
      <c r="V10" s="38" t="s">
        <v>834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58</v>
      </c>
      <c r="AB10" s="41">
        <f t="shared" si="11"/>
        <v>-0.69</v>
      </c>
      <c r="AC10" s="42">
        <v>0.18991898611111113</v>
      </c>
      <c r="AD10" s="40">
        <f t="shared" si="12"/>
        <v>-0.26208820083333334</v>
      </c>
      <c r="AE10" s="40">
        <v>-7.32</v>
      </c>
      <c r="AF10" s="40">
        <v>-7.4858025641025598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1944</v>
      </c>
      <c r="U11" s="37">
        <v>60</v>
      </c>
      <c r="V11" s="38" t="s">
        <v>835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-7.4858025641025598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784</v>
      </c>
      <c r="U12" s="37">
        <v>184</v>
      </c>
      <c r="V12" s="38" t="s">
        <v>836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-7.4858025641025598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784</v>
      </c>
      <c r="U13" s="37">
        <v>184</v>
      </c>
      <c r="V13" s="38" t="s">
        <v>837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-7.6717000000000004</v>
      </c>
      <c r="AG13" s="40">
        <v>0</v>
      </c>
    </row>
    <row r="14" spans="1:33" ht="15.75" customHeight="1" x14ac:dyDescent="0.2">
      <c r="A14" s="29" t="s">
        <v>42</v>
      </c>
      <c r="B14" s="29" t="s">
        <v>838</v>
      </c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784</v>
      </c>
      <c r="U14" s="37">
        <v>184</v>
      </c>
      <c r="V14" s="38" t="s">
        <v>837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-7.6717000000000004</v>
      </c>
      <c r="AG14" s="40">
        <v>0</v>
      </c>
    </row>
    <row r="15" spans="1:33" ht="15.75" customHeight="1" x14ac:dyDescent="0.2">
      <c r="A15" s="29" t="s">
        <v>43</v>
      </c>
      <c r="B15" s="29" t="s">
        <v>452</v>
      </c>
      <c r="C15" s="16">
        <f t="shared" si="4"/>
        <v>25.158000000000001</v>
      </c>
      <c r="D15" s="30">
        <v>25</v>
      </c>
      <c r="E15" s="30">
        <v>0</v>
      </c>
      <c r="F15" s="33">
        <v>628.95000000000005</v>
      </c>
      <c r="G15" s="31">
        <v>0</v>
      </c>
      <c r="H15" s="32">
        <f t="shared" si="1"/>
        <v>0</v>
      </c>
      <c r="I15" s="32">
        <f t="shared" si="2"/>
        <v>0.24368041176431626</v>
      </c>
      <c r="J15" s="33">
        <f t="shared" si="5"/>
        <v>153.26279497916673</v>
      </c>
      <c r="K15" s="33">
        <f t="shared" si="3"/>
        <v>6.1305117991666691</v>
      </c>
      <c r="L15" s="30">
        <v>36</v>
      </c>
      <c r="M15" s="34">
        <f t="shared" si="6"/>
        <v>0.69444444444444442</v>
      </c>
      <c r="N15" s="30">
        <v>38</v>
      </c>
      <c r="O15" s="35">
        <f t="shared" ref="O15:P15" si="23">D15/7</f>
        <v>3.5714285714285716</v>
      </c>
      <c r="P15" s="35">
        <f t="shared" si="23"/>
        <v>0</v>
      </c>
      <c r="Q15" s="30">
        <f t="shared" si="8"/>
        <v>10</v>
      </c>
      <c r="R15" s="30"/>
      <c r="S15" s="36">
        <v>3.0324483775811202</v>
      </c>
      <c r="T15" s="29">
        <v>784</v>
      </c>
      <c r="U15" s="37">
        <v>184</v>
      </c>
      <c r="V15" s="38" t="s">
        <v>837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58</v>
      </c>
      <c r="AB15" s="41">
        <f t="shared" si="11"/>
        <v>-0.69</v>
      </c>
      <c r="AC15" s="42">
        <v>0.18991898611111113</v>
      </c>
      <c r="AD15" s="40">
        <f t="shared" si="12"/>
        <v>-6.5522050208333331</v>
      </c>
      <c r="AE15" s="40">
        <v>-7.32</v>
      </c>
      <c r="AF15" s="40">
        <v>-7.6717000000000004</v>
      </c>
      <c r="AG15" s="40">
        <v>0</v>
      </c>
    </row>
    <row r="16" spans="1:33" ht="15.75" customHeight="1" x14ac:dyDescent="0.2">
      <c r="A16" s="29" t="s">
        <v>44</v>
      </c>
      <c r="B16" s="29" t="s">
        <v>452</v>
      </c>
      <c r="C16" s="16">
        <f t="shared" si="4"/>
        <v>30.06166666666666</v>
      </c>
      <c r="D16" s="30">
        <v>18</v>
      </c>
      <c r="E16" s="30">
        <v>0</v>
      </c>
      <c r="F16" s="33">
        <v>541.1099999999999</v>
      </c>
      <c r="G16" s="31">
        <v>0</v>
      </c>
      <c r="H16" s="32">
        <f t="shared" si="1"/>
        <v>0</v>
      </c>
      <c r="I16" s="32">
        <f t="shared" si="2"/>
        <v>0.2971847357930919</v>
      </c>
      <c r="J16" s="33">
        <f t="shared" si="5"/>
        <v>160.80963238499993</v>
      </c>
      <c r="K16" s="33">
        <f t="shared" si="3"/>
        <v>8.9338684658333296</v>
      </c>
      <c r="L16" s="30">
        <v>50</v>
      </c>
      <c r="M16" s="34">
        <f t="shared" si="6"/>
        <v>0.36</v>
      </c>
      <c r="N16" s="30">
        <v>19</v>
      </c>
      <c r="O16" s="35">
        <f t="shared" ref="O16:P16" si="24">D16/7</f>
        <v>2.5714285714285716</v>
      </c>
      <c r="P16" s="35">
        <f t="shared" si="24"/>
        <v>0</v>
      </c>
      <c r="Q16" s="30">
        <f t="shared" si="8"/>
        <v>7</v>
      </c>
      <c r="R16" s="30"/>
      <c r="S16" s="36">
        <v>3.5590551181102299</v>
      </c>
      <c r="T16" s="29">
        <v>784</v>
      </c>
      <c r="U16" s="37">
        <v>184</v>
      </c>
      <c r="V16" s="38" t="s">
        <v>839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58</v>
      </c>
      <c r="AB16" s="41">
        <f t="shared" si="11"/>
        <v>-0.69</v>
      </c>
      <c r="AC16" s="42">
        <v>0.18991898611111113</v>
      </c>
      <c r="AD16" s="40">
        <f t="shared" si="12"/>
        <v>-4.7175876150000002</v>
      </c>
      <c r="AE16" s="40">
        <v>-7.32</v>
      </c>
      <c r="AF16" s="40">
        <v>-9.0364599999999999</v>
      </c>
      <c r="AG16" s="40">
        <v>0</v>
      </c>
    </row>
    <row r="17" spans="1:33" ht="15.75" customHeight="1" x14ac:dyDescent="0.2">
      <c r="A17" s="29" t="s">
        <v>45</v>
      </c>
      <c r="B17" s="29" t="s">
        <v>179</v>
      </c>
      <c r="C17" s="16">
        <f t="shared" si="4"/>
        <v>32.283333333333324</v>
      </c>
      <c r="D17" s="30">
        <v>15</v>
      </c>
      <c r="E17" s="30">
        <v>0</v>
      </c>
      <c r="F17" s="33">
        <v>484.24999999999989</v>
      </c>
      <c r="G17" s="31">
        <v>0</v>
      </c>
      <c r="H17" s="32">
        <f t="shared" si="1"/>
        <v>0</v>
      </c>
      <c r="I17" s="32">
        <f t="shared" si="2"/>
        <v>0.33522824364997406</v>
      </c>
      <c r="J17" s="33">
        <f t="shared" si="5"/>
        <v>162.33427698749989</v>
      </c>
      <c r="K17" s="33">
        <f t="shared" si="3"/>
        <v>10.822285132499992</v>
      </c>
      <c r="L17" s="30">
        <v>56</v>
      </c>
      <c r="M17" s="34">
        <f t="shared" si="6"/>
        <v>0.26785714285714285</v>
      </c>
      <c r="N17" s="30">
        <v>2</v>
      </c>
      <c r="O17" s="35">
        <f t="shared" ref="O17:P17" si="25">D17/7</f>
        <v>2.1428571428571428</v>
      </c>
      <c r="P17" s="35">
        <f t="shared" si="25"/>
        <v>0</v>
      </c>
      <c r="Q17" s="30">
        <f t="shared" si="8"/>
        <v>0</v>
      </c>
      <c r="R17" s="30"/>
      <c r="S17" s="36">
        <v>4.5303867403314904</v>
      </c>
      <c r="T17" s="29">
        <v>784</v>
      </c>
      <c r="U17" s="37">
        <v>184</v>
      </c>
      <c r="V17" s="38" t="s">
        <v>839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58</v>
      </c>
      <c r="AB17" s="41">
        <f t="shared" si="11"/>
        <v>-0.69</v>
      </c>
      <c r="AC17" s="42">
        <v>0.18991898611111113</v>
      </c>
      <c r="AD17" s="40">
        <f t="shared" si="12"/>
        <v>-3.9313230125</v>
      </c>
      <c r="AE17" s="40">
        <v>-7.32</v>
      </c>
      <c r="AF17" s="40">
        <v>-9.0364599999999999</v>
      </c>
      <c r="AG17" s="40">
        <v>0</v>
      </c>
    </row>
    <row r="18" spans="1:33" ht="15.75" customHeight="1" x14ac:dyDescent="0.2">
      <c r="A18" s="29" t="s">
        <v>46</v>
      </c>
      <c r="B18" s="29" t="s">
        <v>840</v>
      </c>
      <c r="C18" s="16">
        <f t="shared" si="4"/>
        <v>35.139999999999993</v>
      </c>
      <c r="D18" s="30">
        <v>12</v>
      </c>
      <c r="E18" s="30">
        <v>0</v>
      </c>
      <c r="F18" s="33">
        <v>421.67999999999995</v>
      </c>
      <c r="G18" s="31">
        <v>0</v>
      </c>
      <c r="H18" s="32">
        <f t="shared" si="1"/>
        <v>0</v>
      </c>
      <c r="I18" s="32">
        <f t="shared" si="2"/>
        <v>0.3742302731692278</v>
      </c>
      <c r="J18" s="33">
        <f t="shared" si="5"/>
        <v>157.80542158999995</v>
      </c>
      <c r="K18" s="33">
        <f t="shared" si="3"/>
        <v>13.150451799166662</v>
      </c>
      <c r="L18" s="30">
        <v>26</v>
      </c>
      <c r="M18" s="34">
        <f t="shared" si="6"/>
        <v>0.46153846153846156</v>
      </c>
      <c r="N18" s="30">
        <v>175</v>
      </c>
      <c r="O18" s="35">
        <f t="shared" ref="O18:P18" si="26">D18/7</f>
        <v>1.7142857142857142</v>
      </c>
      <c r="P18" s="35">
        <f t="shared" si="26"/>
        <v>0</v>
      </c>
      <c r="Q18" s="30">
        <f t="shared" si="8"/>
        <v>102</v>
      </c>
      <c r="R18" s="30"/>
      <c r="S18" s="36">
        <v>2.1635220125786101</v>
      </c>
      <c r="T18" s="29">
        <v>1724</v>
      </c>
      <c r="U18" s="37">
        <v>600</v>
      </c>
      <c r="V18" s="38" t="s">
        <v>841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58</v>
      </c>
      <c r="AB18" s="41">
        <f t="shared" si="11"/>
        <v>-0.69</v>
      </c>
      <c r="AC18" s="42">
        <v>0.18991898611111113</v>
      </c>
      <c r="AD18" s="40">
        <f t="shared" si="12"/>
        <v>-3.1450584099999999</v>
      </c>
      <c r="AE18" s="40">
        <v>-7.32</v>
      </c>
      <c r="AF18" s="40">
        <v>-9.1364599999999996</v>
      </c>
      <c r="AG18" s="40">
        <v>0</v>
      </c>
    </row>
    <row r="19" spans="1:33" ht="15.75" customHeight="1" x14ac:dyDescent="0.2">
      <c r="A19" s="29" t="s">
        <v>47</v>
      </c>
      <c r="B19" s="29" t="s">
        <v>842</v>
      </c>
      <c r="C19" s="16">
        <f t="shared" si="4"/>
        <v>33.568000000000012</v>
      </c>
      <c r="D19" s="30">
        <v>25</v>
      </c>
      <c r="E19" s="30">
        <v>0</v>
      </c>
      <c r="F19" s="33">
        <v>839.20000000000027</v>
      </c>
      <c r="G19" s="31">
        <v>-31.810000000000002</v>
      </c>
      <c r="H19" s="32">
        <f t="shared" si="1"/>
        <v>3.7905147759771204E-2</v>
      </c>
      <c r="I19" s="32">
        <f t="shared" si="2"/>
        <v>0.31404467943180026</v>
      </c>
      <c r="J19" s="33">
        <f t="shared" si="5"/>
        <v>263.54629497916687</v>
      </c>
      <c r="K19" s="33">
        <f t="shared" si="3"/>
        <v>10.541851799166675</v>
      </c>
      <c r="L19" s="30">
        <v>72</v>
      </c>
      <c r="M19" s="34">
        <f t="shared" si="6"/>
        <v>0.34722222222222221</v>
      </c>
      <c r="N19" s="30">
        <v>152</v>
      </c>
      <c r="O19" s="35">
        <f t="shared" ref="O19:P19" si="27">D19/7</f>
        <v>3.5714285714285716</v>
      </c>
      <c r="P19" s="35">
        <f t="shared" si="27"/>
        <v>0</v>
      </c>
      <c r="Q19" s="30">
        <f t="shared" si="8"/>
        <v>42</v>
      </c>
      <c r="R19" s="30"/>
      <c r="S19" s="36">
        <v>2.0433436532507701</v>
      </c>
      <c r="T19" s="29">
        <v>1540</v>
      </c>
      <c r="U19" s="37">
        <v>600</v>
      </c>
      <c r="V19" s="38" t="s">
        <v>843</v>
      </c>
      <c r="W19" s="29">
        <v>3</v>
      </c>
      <c r="X19" s="39">
        <f t="shared" si="9"/>
        <v>0.12</v>
      </c>
      <c r="Y19" s="40">
        <f t="shared" si="10"/>
        <v>2.6508333333333334</v>
      </c>
      <c r="Z19" s="29">
        <v>9</v>
      </c>
      <c r="AA19" s="29" t="s">
        <v>58</v>
      </c>
      <c r="AB19" s="41">
        <f t="shared" si="11"/>
        <v>-0.69</v>
      </c>
      <c r="AC19" s="42">
        <v>0.18991898611111113</v>
      </c>
      <c r="AD19" s="40">
        <f t="shared" si="12"/>
        <v>-6.5522050208333331</v>
      </c>
      <c r="AE19" s="40">
        <v>-7.32</v>
      </c>
      <c r="AF19" s="40">
        <v>-9.1364599999999996</v>
      </c>
      <c r="AG19" s="40">
        <v>0</v>
      </c>
    </row>
    <row r="20" spans="1:33" ht="15.75" customHeight="1" x14ac:dyDescent="0.2">
      <c r="A20" s="29" t="s">
        <v>48</v>
      </c>
      <c r="B20" s="29" t="s">
        <v>746</v>
      </c>
      <c r="C20" s="16">
        <f t="shared" si="4"/>
        <v>34.958780487804887</v>
      </c>
      <c r="D20" s="30">
        <v>41</v>
      </c>
      <c r="E20" s="30">
        <v>1</v>
      </c>
      <c r="F20" s="33">
        <v>1433.3100000000004</v>
      </c>
      <c r="G20" s="31">
        <v>-126.39</v>
      </c>
      <c r="H20" s="32">
        <f t="shared" si="1"/>
        <v>8.8180505264039158E-2</v>
      </c>
      <c r="I20" s="32">
        <f t="shared" si="2"/>
        <v>0.28358347026521363</v>
      </c>
      <c r="J20" s="33">
        <f t="shared" si="5"/>
        <v>406.4630237658335</v>
      </c>
      <c r="K20" s="33">
        <f t="shared" si="3"/>
        <v>9.9137322869715483</v>
      </c>
      <c r="L20" s="30">
        <v>106</v>
      </c>
      <c r="M20" s="34">
        <f t="shared" si="6"/>
        <v>0.3867924528301887</v>
      </c>
      <c r="N20" s="30">
        <v>92</v>
      </c>
      <c r="O20" s="35">
        <f t="shared" ref="O20:P20" si="28">D20/7</f>
        <v>5.8571428571428568</v>
      </c>
      <c r="P20" s="35">
        <f t="shared" si="28"/>
        <v>0.14285714285714285</v>
      </c>
      <c r="Q20" s="30">
        <f t="shared" si="8"/>
        <v>15</v>
      </c>
      <c r="R20" s="30"/>
      <c r="S20" s="36">
        <v>3.71428571428571</v>
      </c>
      <c r="T20" s="29">
        <v>2340</v>
      </c>
      <c r="U20" s="37">
        <v>600</v>
      </c>
      <c r="V20" s="38" t="s">
        <v>844</v>
      </c>
      <c r="W20" s="29">
        <v>5</v>
      </c>
      <c r="X20" s="39">
        <f t="shared" si="9"/>
        <v>0.12195121951219512</v>
      </c>
      <c r="Y20" s="40">
        <f t="shared" si="10"/>
        <v>4.2130000000000001</v>
      </c>
      <c r="Z20" s="29">
        <v>25</v>
      </c>
      <c r="AA20" s="29" t="s">
        <v>58</v>
      </c>
      <c r="AB20" s="41">
        <f t="shared" si="11"/>
        <v>-0.69</v>
      </c>
      <c r="AC20" s="42">
        <v>0.18991898611111113</v>
      </c>
      <c r="AD20" s="40">
        <f t="shared" si="12"/>
        <v>-10.745616234166667</v>
      </c>
      <c r="AE20" s="40">
        <v>-7.32</v>
      </c>
      <c r="AF20" s="40">
        <v>-9.1364599999999996</v>
      </c>
      <c r="AG20" s="40">
        <v>0</v>
      </c>
    </row>
    <row r="21" spans="1:33" ht="15.75" customHeight="1" x14ac:dyDescent="0.2">
      <c r="A21" s="29" t="s">
        <v>49</v>
      </c>
      <c r="B21" s="29" t="s">
        <v>845</v>
      </c>
      <c r="C21" s="16">
        <f t="shared" si="4"/>
        <v>34.950000000000017</v>
      </c>
      <c r="D21" s="30">
        <v>32</v>
      </c>
      <c r="E21" s="30">
        <v>0</v>
      </c>
      <c r="F21" s="33">
        <v>1118.4000000000005</v>
      </c>
      <c r="G21" s="31">
        <v>-134.89000000000001</v>
      </c>
      <c r="H21" s="32">
        <f t="shared" si="1"/>
        <v>0.12060979971387692</v>
      </c>
      <c r="I21" s="32">
        <f t="shared" si="2"/>
        <v>0.25103402858846002</v>
      </c>
      <c r="J21" s="33">
        <f t="shared" si="5"/>
        <v>280.75645757333382</v>
      </c>
      <c r="K21" s="33">
        <f t="shared" si="3"/>
        <v>8.7736392991666818</v>
      </c>
      <c r="L21" s="30">
        <v>67</v>
      </c>
      <c r="M21" s="34">
        <f t="shared" si="6"/>
        <v>0.47761194029850745</v>
      </c>
      <c r="N21" s="30">
        <v>476</v>
      </c>
      <c r="O21" s="35">
        <f t="shared" ref="O21:P21" si="29">D21/7</f>
        <v>4.5714285714285712</v>
      </c>
      <c r="P21" s="35">
        <f t="shared" si="29"/>
        <v>0</v>
      </c>
      <c r="Q21" s="30">
        <f t="shared" si="8"/>
        <v>104</v>
      </c>
      <c r="R21" s="30"/>
      <c r="S21" s="36">
        <v>1.22593320235756</v>
      </c>
      <c r="T21" s="29">
        <v>2740</v>
      </c>
      <c r="U21" s="37">
        <v>800</v>
      </c>
      <c r="V21" s="38" t="s">
        <v>846</v>
      </c>
      <c r="W21" s="29">
        <v>4</v>
      </c>
      <c r="X21" s="39">
        <f t="shared" si="9"/>
        <v>0.125</v>
      </c>
      <c r="Y21" s="40">
        <f t="shared" si="10"/>
        <v>4.9959259259259268</v>
      </c>
      <c r="Z21" s="29">
        <v>23</v>
      </c>
      <c r="AA21" s="29" t="s">
        <v>58</v>
      </c>
      <c r="AB21" s="41">
        <f t="shared" si="11"/>
        <v>-0.69</v>
      </c>
      <c r="AC21" s="42">
        <v>0.18991898611111113</v>
      </c>
      <c r="AD21" s="40">
        <f t="shared" si="12"/>
        <v>-8.3868224266666669</v>
      </c>
      <c r="AE21" s="40">
        <v>-7.32</v>
      </c>
      <c r="AF21" s="40">
        <v>-9.1364599999999996</v>
      </c>
      <c r="AG21" s="40">
        <v>0</v>
      </c>
    </row>
    <row r="22" spans="1:33" ht="15.75" customHeight="1" x14ac:dyDescent="0.2">
      <c r="A22" s="29" t="s">
        <v>50</v>
      </c>
      <c r="B22" s="29" t="s">
        <v>847</v>
      </c>
      <c r="C22" s="16">
        <f t="shared" si="4"/>
        <v>32.298965517241392</v>
      </c>
      <c r="D22" s="30">
        <v>29</v>
      </c>
      <c r="E22" s="30">
        <v>1</v>
      </c>
      <c r="F22" s="31">
        <v>936.67000000000041</v>
      </c>
      <c r="G22" s="31">
        <v>-1</v>
      </c>
      <c r="H22" s="32">
        <f t="shared" si="1"/>
        <v>1.0676118590325296E-3</v>
      </c>
      <c r="I22" s="32">
        <f t="shared" si="2"/>
        <v>0.33131369871548516</v>
      </c>
      <c r="J22" s="33">
        <f t="shared" si="5"/>
        <v>310.33160217583361</v>
      </c>
      <c r="K22" s="33">
        <f t="shared" si="3"/>
        <v>10.70108973020116</v>
      </c>
      <c r="L22" s="30">
        <v>75</v>
      </c>
      <c r="M22" s="34">
        <f t="shared" si="6"/>
        <v>0.38666666666666666</v>
      </c>
      <c r="N22" s="30">
        <v>446</v>
      </c>
      <c r="O22" s="35">
        <f t="shared" ref="O22:P22" si="30">D22/7</f>
        <v>4.1428571428571432</v>
      </c>
      <c r="P22" s="35">
        <f t="shared" si="30"/>
        <v>0.14285714285714285</v>
      </c>
      <c r="Q22" s="30">
        <f t="shared" si="8"/>
        <v>104</v>
      </c>
      <c r="R22" s="30"/>
      <c r="S22" s="36">
        <v>1.16228748068006</v>
      </c>
      <c r="T22" s="29">
        <v>2740</v>
      </c>
      <c r="U22" s="37">
        <v>800</v>
      </c>
      <c r="V22" s="38" t="s">
        <v>848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58</v>
      </c>
      <c r="AB22" s="41">
        <f t="shared" si="11"/>
        <v>-0.69</v>
      </c>
      <c r="AC22" s="42">
        <v>0.18991898611111113</v>
      </c>
      <c r="AD22" s="40">
        <f t="shared" si="12"/>
        <v>-7.6005578241666667</v>
      </c>
      <c r="AE22" s="40">
        <v>-7.32</v>
      </c>
      <c r="AF22" s="40">
        <v>-9.1364599999999996</v>
      </c>
      <c r="AG22" s="40">
        <v>0</v>
      </c>
    </row>
    <row r="23" spans="1:33" ht="15.75" customHeight="1" x14ac:dyDescent="0.2">
      <c r="A23" s="29" t="s">
        <v>51</v>
      </c>
      <c r="B23" s="29" t="s">
        <v>462</v>
      </c>
      <c r="C23" s="16">
        <f t="shared" si="4"/>
        <v>27.603333333333357</v>
      </c>
      <c r="D23" s="30">
        <v>36</v>
      </c>
      <c r="E23" s="30">
        <v>3</v>
      </c>
      <c r="F23" s="33">
        <v>993.72000000000082</v>
      </c>
      <c r="G23" s="31">
        <v>0</v>
      </c>
      <c r="H23" s="32">
        <f t="shared" si="1"/>
        <v>0</v>
      </c>
      <c r="I23" s="32">
        <f t="shared" si="2"/>
        <v>0.24432864868373441</v>
      </c>
      <c r="J23" s="33">
        <f t="shared" si="5"/>
        <v>242.79426477000075</v>
      </c>
      <c r="K23" s="33">
        <f t="shared" si="3"/>
        <v>6.7442851325000213</v>
      </c>
      <c r="L23" s="30">
        <v>83</v>
      </c>
      <c r="M23" s="34">
        <f t="shared" si="6"/>
        <v>0.43373493975903615</v>
      </c>
      <c r="N23" s="30">
        <v>405</v>
      </c>
      <c r="O23" s="35">
        <f t="shared" ref="O23:P23" si="31">D23/7</f>
        <v>5.1428571428571432</v>
      </c>
      <c r="P23" s="35">
        <f t="shared" si="31"/>
        <v>0.42857142857142855</v>
      </c>
      <c r="Q23" s="30">
        <f t="shared" si="8"/>
        <v>72</v>
      </c>
      <c r="R23" s="30"/>
      <c r="S23" s="36">
        <v>1.37726523887973</v>
      </c>
      <c r="T23" s="29">
        <v>2740</v>
      </c>
      <c r="U23" s="37">
        <v>800</v>
      </c>
      <c r="V23" s="38" t="s">
        <v>848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58</v>
      </c>
      <c r="AB23" s="41">
        <f t="shared" si="11"/>
        <v>-0.69</v>
      </c>
      <c r="AC23" s="42">
        <v>0.18991898611111113</v>
      </c>
      <c r="AD23" s="40">
        <f t="shared" si="12"/>
        <v>-9.4351752300000005</v>
      </c>
      <c r="AE23" s="40">
        <v>-7.32</v>
      </c>
      <c r="AF23" s="40">
        <v>-9.1364599999999996</v>
      </c>
      <c r="AG23" s="40">
        <v>0</v>
      </c>
    </row>
    <row r="24" spans="1:33" ht="15.75" customHeight="1" x14ac:dyDescent="0.2">
      <c r="A24" s="29" t="s">
        <v>52</v>
      </c>
      <c r="B24" s="29" t="s">
        <v>849</v>
      </c>
      <c r="C24" s="16">
        <f t="shared" si="4"/>
        <v>24.950000000000024</v>
      </c>
      <c r="D24" s="30">
        <v>57</v>
      </c>
      <c r="E24" s="30">
        <v>7</v>
      </c>
      <c r="F24" s="33">
        <v>1422.1500000000015</v>
      </c>
      <c r="G24" s="33">
        <v>-71.039999999999992</v>
      </c>
      <c r="H24" s="32">
        <f t="shared" si="1"/>
        <v>4.9952536652251814E-2</v>
      </c>
      <c r="I24" s="32">
        <f t="shared" si="2"/>
        <v>0.12996537112998008</v>
      </c>
      <c r="J24" s="33">
        <f t="shared" si="5"/>
        <v>184.83025255250135</v>
      </c>
      <c r="K24" s="33">
        <f t="shared" si="3"/>
        <v>3.242636009693006</v>
      </c>
      <c r="L24" s="30">
        <v>115</v>
      </c>
      <c r="M24" s="34">
        <f t="shared" si="6"/>
        <v>0.4956521739130435</v>
      </c>
      <c r="N24" s="30">
        <v>322</v>
      </c>
      <c r="O24" s="35">
        <f t="shared" ref="O24:P24" si="32">D24/7</f>
        <v>8.1428571428571423</v>
      </c>
      <c r="P24" s="35">
        <f t="shared" si="32"/>
        <v>1</v>
      </c>
      <c r="Q24" s="30">
        <f t="shared" si="8"/>
        <v>35</v>
      </c>
      <c r="R24" s="30"/>
      <c r="S24" s="36">
        <v>2.0401606425702798</v>
      </c>
      <c r="T24" s="29">
        <v>2740</v>
      </c>
      <c r="U24" s="37">
        <v>800</v>
      </c>
      <c r="V24" s="38" t="s">
        <v>850</v>
      </c>
      <c r="W24" s="29">
        <v>5</v>
      </c>
      <c r="X24" s="39">
        <f t="shared" si="9"/>
        <v>8.771929824561403E-2</v>
      </c>
      <c r="Y24" s="40">
        <f t="shared" si="10"/>
        <v>4.1788235294117646</v>
      </c>
      <c r="Z24" s="29">
        <v>12</v>
      </c>
      <c r="AA24" s="29" t="s">
        <v>58</v>
      </c>
      <c r="AB24" s="41">
        <f t="shared" si="11"/>
        <v>-0.69</v>
      </c>
      <c r="AC24" s="42">
        <v>0.18991898611111113</v>
      </c>
      <c r="AD24" s="40">
        <f t="shared" si="12"/>
        <v>-14.939027447500001</v>
      </c>
      <c r="AE24" s="40">
        <v>-7.32</v>
      </c>
      <c r="AF24" s="40">
        <v>-9.1364599999999996</v>
      </c>
      <c r="AG24" s="40">
        <v>0</v>
      </c>
    </row>
    <row r="25" spans="1:33" ht="15.75" customHeight="1" x14ac:dyDescent="0.2">
      <c r="A25" s="29" t="s">
        <v>53</v>
      </c>
      <c r="B25" s="15" t="s">
        <v>851</v>
      </c>
      <c r="C25" s="16">
        <f t="shared" si="4"/>
        <v>27.214615384615382</v>
      </c>
      <c r="D25" s="30">
        <v>78</v>
      </c>
      <c r="E25" s="30">
        <v>1</v>
      </c>
      <c r="F25" s="33">
        <v>2122.7399999999998</v>
      </c>
      <c r="G25" s="33">
        <v>-70.980000000000018</v>
      </c>
      <c r="H25" s="32">
        <f t="shared" si="1"/>
        <v>3.3437915147403838E-2</v>
      </c>
      <c r="I25" s="32">
        <f t="shared" si="2"/>
        <v>0.20210959436153256</v>
      </c>
      <c r="J25" s="33">
        <f t="shared" si="5"/>
        <v>429.02612033499958</v>
      </c>
      <c r="K25" s="33">
        <f t="shared" si="3"/>
        <v>5.5003348760897381</v>
      </c>
      <c r="L25" s="30">
        <v>172</v>
      </c>
      <c r="M25" s="34">
        <f t="shared" si="6"/>
        <v>0.45348837209302323</v>
      </c>
      <c r="N25" s="30">
        <v>1044</v>
      </c>
      <c r="O25" s="35">
        <f t="shared" ref="O25:P25" si="33">D25/7</f>
        <v>11.142857142857142</v>
      </c>
      <c r="P25" s="35">
        <f t="shared" si="33"/>
        <v>0.14285714285714285</v>
      </c>
      <c r="Q25" s="30">
        <f t="shared" si="8"/>
        <v>92</v>
      </c>
      <c r="R25" s="30"/>
      <c r="S25" s="36">
        <v>1.198653198653199</v>
      </c>
      <c r="T25" s="15"/>
      <c r="U25" s="23"/>
      <c r="V25" s="1"/>
      <c r="W25" s="15">
        <v>3</v>
      </c>
      <c r="X25" s="39">
        <f t="shared" si="9"/>
        <v>3.8461538461538464E-2</v>
      </c>
      <c r="Y25" s="40">
        <f t="shared" si="10"/>
        <v>10.140000000000002</v>
      </c>
      <c r="Z25" s="15">
        <v>4</v>
      </c>
      <c r="AA25" s="29" t="s">
        <v>58</v>
      </c>
      <c r="AB25" s="41">
        <f t="shared" si="11"/>
        <v>-0.69</v>
      </c>
      <c r="AC25" s="42">
        <v>0.18991898611111113</v>
      </c>
      <c r="AD25" s="40">
        <f t="shared" si="12"/>
        <v>-20.442879665</v>
      </c>
      <c r="AE25" s="40">
        <v>-7.32</v>
      </c>
      <c r="AF25" s="40">
        <v>-9.14</v>
      </c>
      <c r="AG25" s="40">
        <v>0</v>
      </c>
    </row>
    <row r="26" spans="1:33" ht="15.75" customHeight="1" x14ac:dyDescent="0.2">
      <c r="A26" s="15" t="s">
        <v>54</v>
      </c>
      <c r="B26" s="51" t="s">
        <v>852</v>
      </c>
      <c r="C26" s="16">
        <f t="shared" si="4"/>
        <v>31.75241379310345</v>
      </c>
      <c r="D26" s="17">
        <v>58</v>
      </c>
      <c r="E26" s="17">
        <v>4</v>
      </c>
      <c r="F26" s="18">
        <v>1841.64</v>
      </c>
      <c r="G26" s="18">
        <v>-71.709999999999994</v>
      </c>
      <c r="H26" s="32">
        <f t="shared" si="1"/>
        <v>3.8938120370973689E-2</v>
      </c>
      <c r="I26" s="32">
        <f t="shared" si="2"/>
        <v>0.28894257528706296</v>
      </c>
      <c r="J26" s="33">
        <f t="shared" si="5"/>
        <v>532.12820435166668</v>
      </c>
      <c r="K26" s="33">
        <f t="shared" si="3"/>
        <v>9.1746242129597704</v>
      </c>
      <c r="L26" s="17">
        <v>123</v>
      </c>
      <c r="M26" s="34">
        <f t="shared" si="6"/>
        <v>0.47154471544715448</v>
      </c>
      <c r="N26" s="17">
        <v>988</v>
      </c>
      <c r="O26" s="35">
        <f t="shared" ref="O26:P26" si="34">D26/7</f>
        <v>8.2857142857142865</v>
      </c>
      <c r="P26" s="35">
        <f t="shared" si="34"/>
        <v>0.5714285714285714</v>
      </c>
      <c r="Q26" s="30">
        <f t="shared" si="8"/>
        <v>111</v>
      </c>
      <c r="R26" s="30"/>
      <c r="S26" s="22">
        <v>1.105581708137189</v>
      </c>
      <c r="T26" s="15">
        <v>1940</v>
      </c>
      <c r="U26" s="23" t="s">
        <v>56</v>
      </c>
      <c r="V26" s="1" t="s">
        <v>56</v>
      </c>
      <c r="W26" s="15">
        <v>3</v>
      </c>
      <c r="X26" s="39">
        <f t="shared" si="9"/>
        <v>5.1724137931034482E-2</v>
      </c>
      <c r="Y26" s="40">
        <f t="shared" si="10"/>
        <v>6.5190909090909086</v>
      </c>
      <c r="Z26" s="15">
        <v>8</v>
      </c>
      <c r="AA26" s="29" t="s">
        <v>58</v>
      </c>
      <c r="AB26" s="41">
        <f t="shared" si="11"/>
        <v>-0.69</v>
      </c>
      <c r="AC26" s="42">
        <v>0.18991898611111113</v>
      </c>
      <c r="AD26" s="40">
        <f t="shared" si="12"/>
        <v>-15.201115648333333</v>
      </c>
      <c r="AE26" s="26">
        <v>-7.18</v>
      </c>
      <c r="AF26" s="26">
        <v>-9.1364599999999996</v>
      </c>
      <c r="AG26" s="26">
        <v>0</v>
      </c>
    </row>
    <row r="27" spans="1:33" ht="15.75" customHeight="1" x14ac:dyDescent="0.2">
      <c r="A27" s="15" t="s">
        <v>74</v>
      </c>
      <c r="B27" s="15" t="s">
        <v>479</v>
      </c>
      <c r="C27" s="16">
        <f t="shared" si="4"/>
        <v>27.161341463414633</v>
      </c>
      <c r="D27" s="17">
        <v>82</v>
      </c>
      <c r="E27" s="17">
        <v>1</v>
      </c>
      <c r="F27" s="18">
        <v>2227.23</v>
      </c>
      <c r="G27" s="18">
        <v>-210.65000000000009</v>
      </c>
      <c r="H27" s="32">
        <f t="shared" si="1"/>
        <v>9.4579365400070975E-2</v>
      </c>
      <c r="I27" s="32">
        <f t="shared" si="2"/>
        <v>0.14504768143912683</v>
      </c>
      <c r="J27" s="33">
        <f t="shared" si="5"/>
        <v>323.05454753166646</v>
      </c>
      <c r="K27" s="33">
        <f t="shared" si="3"/>
        <v>3.9396896040447129</v>
      </c>
      <c r="L27" s="17">
        <v>171</v>
      </c>
      <c r="M27" s="34">
        <f t="shared" si="6"/>
        <v>0.47953216374269003</v>
      </c>
      <c r="N27" s="17">
        <v>785</v>
      </c>
      <c r="O27" s="35">
        <f t="shared" ref="O27:P27" si="35">D27/7</f>
        <v>11.714285714285714</v>
      </c>
      <c r="P27" s="35">
        <f t="shared" si="35"/>
        <v>0.14285714285714285</v>
      </c>
      <c r="Q27" s="30">
        <f t="shared" si="8"/>
        <v>66</v>
      </c>
      <c r="R27" s="30"/>
      <c r="S27" s="22">
        <v>1.421169504071059</v>
      </c>
      <c r="T27" s="15">
        <v>1248</v>
      </c>
      <c r="U27" s="23" t="s">
        <v>56</v>
      </c>
      <c r="V27" s="1" t="s">
        <v>56</v>
      </c>
      <c r="W27" s="15">
        <v>10</v>
      </c>
      <c r="X27" s="39">
        <f t="shared" si="9"/>
        <v>0.12195121951219512</v>
      </c>
      <c r="Y27" s="40">
        <f t="shared" si="10"/>
        <v>4.2989795918367362</v>
      </c>
      <c r="Z27" s="15">
        <v>39</v>
      </c>
      <c r="AA27" s="29" t="s">
        <v>58</v>
      </c>
      <c r="AB27" s="41">
        <f t="shared" si="11"/>
        <v>-0.69</v>
      </c>
      <c r="AC27" s="42">
        <v>0.18991898611111113</v>
      </c>
      <c r="AD27" s="40">
        <f t="shared" si="12"/>
        <v>-21.491232468333333</v>
      </c>
      <c r="AE27" s="26">
        <v>-7.18</v>
      </c>
      <c r="AF27" s="26">
        <v>-9.1364599999999996</v>
      </c>
      <c r="AG27" s="26">
        <v>0</v>
      </c>
    </row>
    <row r="28" spans="1:33" ht="15.75" customHeight="1" x14ac:dyDescent="0.2">
      <c r="A28" s="15" t="s">
        <v>75</v>
      </c>
      <c r="B28" s="15" t="s">
        <v>479</v>
      </c>
      <c r="C28" s="16">
        <f t="shared" si="4"/>
        <v>26.45</v>
      </c>
      <c r="D28" s="17">
        <v>118</v>
      </c>
      <c r="E28" s="17">
        <v>3</v>
      </c>
      <c r="F28" s="18">
        <v>3121.1</v>
      </c>
      <c r="G28" s="18">
        <v>-319.04000000000002</v>
      </c>
      <c r="H28" s="32">
        <f t="shared" si="1"/>
        <v>0.10222037102303676</v>
      </c>
      <c r="I28" s="32">
        <f t="shared" si="2"/>
        <v>0.12099141722523039</v>
      </c>
      <c r="J28" s="33">
        <f t="shared" si="5"/>
        <v>377.62631230166659</v>
      </c>
      <c r="K28" s="33">
        <f t="shared" si="3"/>
        <v>3.2002229856073439</v>
      </c>
      <c r="L28" s="17">
        <v>296</v>
      </c>
      <c r="M28" s="34">
        <f t="shared" si="6"/>
        <v>0.39864864864864863</v>
      </c>
      <c r="N28" s="17">
        <v>752</v>
      </c>
      <c r="O28" s="35">
        <f t="shared" ref="O28:P28" si="36">D28/7</f>
        <v>16.857142857142858</v>
      </c>
      <c r="P28" s="35">
        <f t="shared" si="36"/>
        <v>0.42857142857142855</v>
      </c>
      <c r="Q28" s="30">
        <f t="shared" si="8"/>
        <v>43</v>
      </c>
      <c r="R28" s="30"/>
      <c r="S28" s="22">
        <v>1.788343558282208</v>
      </c>
      <c r="T28" s="15">
        <v>1248</v>
      </c>
      <c r="U28" s="23" t="s">
        <v>56</v>
      </c>
      <c r="V28" s="1" t="s">
        <v>56</v>
      </c>
      <c r="W28" s="15">
        <v>21</v>
      </c>
      <c r="X28" s="39">
        <f t="shared" si="9"/>
        <v>0.17796610169491525</v>
      </c>
      <c r="Y28" s="40">
        <f t="shared" si="10"/>
        <v>4.3113513513513517</v>
      </c>
      <c r="Z28" s="15">
        <v>53</v>
      </c>
      <c r="AA28" s="29" t="s">
        <v>58</v>
      </c>
      <c r="AB28" s="41">
        <f t="shared" si="11"/>
        <v>-0.69</v>
      </c>
      <c r="AC28" s="42">
        <v>0.18991898611111113</v>
      </c>
      <c r="AD28" s="40">
        <f t="shared" si="12"/>
        <v>-30.926407698333335</v>
      </c>
      <c r="AE28" s="26">
        <v>-7.18</v>
      </c>
      <c r="AF28" s="26">
        <v>-9.1364599999999996</v>
      </c>
      <c r="AG28" s="26">
        <v>0</v>
      </c>
    </row>
    <row r="29" spans="1:33" ht="15.75" customHeight="1" x14ac:dyDescent="0.2">
      <c r="A29" s="15" t="s">
        <v>77</v>
      </c>
      <c r="B29" s="15" t="s">
        <v>452</v>
      </c>
      <c r="C29" s="16">
        <f t="shared" si="4"/>
        <v>26.45</v>
      </c>
      <c r="D29" s="17">
        <v>115</v>
      </c>
      <c r="E29" s="17">
        <v>8</v>
      </c>
      <c r="F29" s="18">
        <v>3041.75</v>
      </c>
      <c r="G29" s="18">
        <v>-106.67</v>
      </c>
      <c r="H29" s="32">
        <f t="shared" si="1"/>
        <v>3.506862825676009E-2</v>
      </c>
      <c r="I29" s="32">
        <f t="shared" si="2"/>
        <v>0.18713928059642199</v>
      </c>
      <c r="J29" s="33">
        <f t="shared" si="5"/>
        <v>569.23090675416654</v>
      </c>
      <c r="K29" s="33">
        <f t="shared" si="3"/>
        <v>4.9498339717753614</v>
      </c>
      <c r="L29" s="17">
        <v>224</v>
      </c>
      <c r="M29" s="34">
        <f t="shared" si="6"/>
        <v>0.5133928571428571</v>
      </c>
      <c r="N29" s="17">
        <v>662</v>
      </c>
      <c r="O29" s="35">
        <f t="shared" ref="O29:P29" si="37">D29/7</f>
        <v>16.428571428571427</v>
      </c>
      <c r="P29" s="35">
        <f t="shared" si="37"/>
        <v>1.1428571428571428</v>
      </c>
      <c r="Q29" s="30">
        <f t="shared" si="8"/>
        <v>37</v>
      </c>
      <c r="R29" s="30"/>
      <c r="S29" s="22">
        <v>1.422268907563025</v>
      </c>
      <c r="T29" s="15">
        <v>1248</v>
      </c>
      <c r="U29" s="23" t="s">
        <v>56</v>
      </c>
      <c r="V29" s="1" t="s">
        <v>56</v>
      </c>
      <c r="W29" s="15">
        <v>4</v>
      </c>
      <c r="X29" s="39">
        <f t="shared" si="9"/>
        <v>3.4782608695652174E-2</v>
      </c>
      <c r="Y29" s="40">
        <f t="shared" si="10"/>
        <v>2.7351282051282051</v>
      </c>
      <c r="Z29" s="15">
        <v>35</v>
      </c>
      <c r="AA29" s="29" t="s">
        <v>58</v>
      </c>
      <c r="AB29" s="41">
        <f t="shared" si="11"/>
        <v>-0.69</v>
      </c>
      <c r="AC29" s="42">
        <v>0.18991898611111113</v>
      </c>
      <c r="AD29" s="40">
        <f t="shared" si="12"/>
        <v>-30.140143095833334</v>
      </c>
      <c r="AE29" s="26">
        <v>-7.18</v>
      </c>
      <c r="AF29" s="26">
        <v>-9.1630126099999991</v>
      </c>
      <c r="AG29" s="26">
        <v>0</v>
      </c>
    </row>
    <row r="30" spans="1:33" ht="15.75" customHeight="1" x14ac:dyDescent="0.2">
      <c r="A30" s="15" t="s">
        <v>78</v>
      </c>
      <c r="B30" s="15" t="s">
        <v>485</v>
      </c>
      <c r="C30" s="16">
        <f t="shared" si="4"/>
        <v>26.307155172413754</v>
      </c>
      <c r="D30" s="17">
        <v>116</v>
      </c>
      <c r="E30" s="17">
        <v>6</v>
      </c>
      <c r="F30" s="18">
        <v>3051.6299999999956</v>
      </c>
      <c r="G30" s="18">
        <v>-50.149999999999991</v>
      </c>
      <c r="H30" s="32">
        <f t="shared" si="1"/>
        <v>1.6433840275524903E-2</v>
      </c>
      <c r="I30" s="32">
        <f t="shared" si="2"/>
        <v>0.23160523499517691</v>
      </c>
      <c r="J30" s="33">
        <f t="shared" si="5"/>
        <v>706.77348326833066</v>
      </c>
      <c r="K30" s="33">
        <f t="shared" si="3"/>
        <v>6.0928748557614716</v>
      </c>
      <c r="L30" s="17">
        <v>231</v>
      </c>
      <c r="M30" s="34">
        <f t="shared" si="6"/>
        <v>0.50216450216450215</v>
      </c>
      <c r="N30" s="17">
        <v>521</v>
      </c>
      <c r="O30" s="35">
        <f t="shared" ref="O30:P30" si="38">D30/7</f>
        <v>16.571428571428573</v>
      </c>
      <c r="P30" s="35">
        <f t="shared" si="38"/>
        <v>0.8571428571428571</v>
      </c>
      <c r="Q30" s="30">
        <f t="shared" si="8"/>
        <v>29</v>
      </c>
      <c r="R30" s="30"/>
      <c r="S30" s="22">
        <v>1.418874941887494</v>
      </c>
      <c r="T30" s="29">
        <v>1248</v>
      </c>
      <c r="U30" s="37" t="s">
        <v>56</v>
      </c>
      <c r="V30" s="38" t="s">
        <v>56</v>
      </c>
      <c r="W30" s="15">
        <v>4</v>
      </c>
      <c r="X30" s="39">
        <f t="shared" si="9"/>
        <v>3.4482758620689655E-2</v>
      </c>
      <c r="Y30" s="40">
        <f t="shared" si="10"/>
        <v>2.6394736842105258</v>
      </c>
      <c r="Z30" s="15">
        <v>15</v>
      </c>
      <c r="AA30" s="29" t="s">
        <v>58</v>
      </c>
      <c r="AB30" s="41">
        <f t="shared" si="11"/>
        <v>-0.69</v>
      </c>
      <c r="AC30" s="42">
        <v>0.18991898611111113</v>
      </c>
      <c r="AD30" s="40">
        <f t="shared" si="12"/>
        <v>-30.402231296666667</v>
      </c>
      <c r="AE30" s="26">
        <v>-7.18</v>
      </c>
      <c r="AF30" s="26">
        <v>-8.3937912537499901</v>
      </c>
      <c r="AG30" s="26">
        <v>0</v>
      </c>
    </row>
    <row r="31" spans="1:33" ht="15.75" customHeight="1" x14ac:dyDescent="0.2">
      <c r="A31" s="15" t="s">
        <v>55</v>
      </c>
      <c r="B31" s="15" t="s">
        <v>853</v>
      </c>
      <c r="C31" s="16">
        <f t="shared" si="4"/>
        <v>28.18232323232321</v>
      </c>
      <c r="D31" s="17">
        <v>99</v>
      </c>
      <c r="E31" s="17">
        <v>7</v>
      </c>
      <c r="F31" s="18">
        <v>2790.0499999999979</v>
      </c>
      <c r="G31" s="43">
        <v>-144.93</v>
      </c>
      <c r="H31" s="32">
        <f t="shared" si="1"/>
        <v>5.1945305639683921E-2</v>
      </c>
      <c r="I31" s="32">
        <f t="shared" si="2"/>
        <v>0.23614646117318649</v>
      </c>
      <c r="J31" s="33">
        <f t="shared" si="5"/>
        <v>658.8604339962485</v>
      </c>
      <c r="K31" s="33">
        <f t="shared" si="3"/>
        <v>6.655155898952005</v>
      </c>
      <c r="L31" s="17">
        <v>326</v>
      </c>
      <c r="M31" s="34">
        <f t="shared" si="6"/>
        <v>0.30368098159509205</v>
      </c>
      <c r="N31" s="17">
        <v>400</v>
      </c>
      <c r="O31" s="35">
        <f t="shared" ref="O31:P31" si="39">D31/7</f>
        <v>14.142857142857142</v>
      </c>
      <c r="P31" s="35">
        <f t="shared" si="39"/>
        <v>1</v>
      </c>
      <c r="Q31" s="30">
        <f t="shared" si="8"/>
        <v>26</v>
      </c>
      <c r="R31" s="30"/>
      <c r="S31" s="22">
        <v>1.69889369889369</v>
      </c>
      <c r="T31" s="15">
        <v>1098</v>
      </c>
      <c r="U31" s="23">
        <v>150</v>
      </c>
      <c r="V31" s="1" t="s">
        <v>854</v>
      </c>
      <c r="W31" s="15">
        <v>12</v>
      </c>
      <c r="X31" s="39">
        <f t="shared" si="9"/>
        <v>0.12121212121212122</v>
      </c>
      <c r="Y31" s="40">
        <f t="shared" si="10"/>
        <v>2.9577551020408164</v>
      </c>
      <c r="Z31" s="15">
        <v>37</v>
      </c>
      <c r="AA31" s="15" t="s">
        <v>58</v>
      </c>
      <c r="AB31" s="41">
        <f t="shared" si="11"/>
        <v>-0.69</v>
      </c>
      <c r="AC31" s="28">
        <v>0.18991898611111113</v>
      </c>
      <c r="AD31" s="40">
        <f t="shared" si="12"/>
        <v>-25.9467318825</v>
      </c>
      <c r="AE31" s="44">
        <v>-7.18</v>
      </c>
      <c r="AF31" s="44">
        <v>-8.393791253749999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29.129850746268659</v>
      </c>
      <c r="D32" s="17">
        <v>67</v>
      </c>
      <c r="E32" s="17">
        <v>2</v>
      </c>
      <c r="F32" s="18">
        <v>1951.7</v>
      </c>
      <c r="G32" s="18">
        <v>-72.259999999999991</v>
      </c>
      <c r="H32" s="32">
        <f t="shared" si="1"/>
        <v>3.7024132807296196E-2</v>
      </c>
      <c r="I32" s="32">
        <f t="shared" si="2"/>
        <v>0.26934522546647399</v>
      </c>
      <c r="J32" s="33">
        <f t="shared" si="5"/>
        <v>525.68107654291725</v>
      </c>
      <c r="K32" s="33">
        <f t="shared" si="3"/>
        <v>7.8459862170584662</v>
      </c>
      <c r="L32" s="17">
        <v>212</v>
      </c>
      <c r="M32" s="34">
        <f t="shared" si="6"/>
        <v>0.31603773584905659</v>
      </c>
      <c r="N32" s="17">
        <v>320</v>
      </c>
      <c r="O32" s="35">
        <f t="shared" ref="O32:P32" si="40">D32/7</f>
        <v>9.5714285714285712</v>
      </c>
      <c r="P32" s="35">
        <f t="shared" si="40"/>
        <v>0.2857142857142857</v>
      </c>
      <c r="Q32" s="30">
        <f t="shared" si="8"/>
        <v>32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2.224310041103934</v>
      </c>
      <c r="T32" s="15">
        <f ca="1">IFERROR(__xludf.DUMMYFUNCTION("IFERROR(VLOOKUP($B$2,IMPORTRANGE(""https://docs.google.com/spreadsheets/d/1KiWZV1ko8G7lnRucBRBd29jj3Be6ltMfljMDqzOkQmI/edit#gid=1381463014"",""Lookup!A:D""),4,FALSE),"""")"),1098)</f>
        <v>1098</v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S210718   - 150 units 09/17")</f>
        <v>| S210718   - 150 units 09/17</v>
      </c>
      <c r="W32" s="15">
        <v>3</v>
      </c>
      <c r="X32" s="39">
        <f t="shared" si="9"/>
        <v>4.4776119402985072E-2</v>
      </c>
      <c r="Y32" s="40">
        <f t="shared" si="10"/>
        <v>2.5807142857142855</v>
      </c>
      <c r="Z32" s="15">
        <v>25</v>
      </c>
      <c r="AA32" s="15" t="s">
        <v>58</v>
      </c>
      <c r="AB32" s="41">
        <f t="shared" si="11"/>
        <v>-0.69</v>
      </c>
      <c r="AC32" s="28">
        <v>0.18991898611111113</v>
      </c>
      <c r="AD32" s="40">
        <f t="shared" si="12"/>
        <v>-17.559909455833335</v>
      </c>
      <c r="AE32" s="26">
        <v>-7.18</v>
      </c>
      <c r="AF32" s="26">
        <v>-8.3937912537499901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74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Info!B1:BJ7000""),3,FALSE),"""")"),"Professional Cornhole Bags - Set of 8 Regulation All Weather Two Sided Bean Bags for Pro Corn Hole Game - 4 Red &amp; 4 Yellow")</f>
        <v>Professional Cornhole Bags - Set of 8 Regulation All Weather Two Sided Bean Bags for Pro Corn Hole Game - 4 Red &amp; 4 Yellow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Info!B1:BJ7000""),2,FALSE),"""")"),"B07ZTN3XSJ")</f>
        <v>B07ZTN3XSJ</v>
      </c>
      <c r="B2" s="47" t="s">
        <v>855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18.675048533823517</v>
      </c>
      <c r="D3" s="5">
        <f>SUM(D4:D99765)</f>
        <v>523</v>
      </c>
      <c r="E3" s="5"/>
      <c r="F3" s="6">
        <f t="shared" ref="F3:G3" si="0">SUM(F4:F99765)</f>
        <v>13931.520000000004</v>
      </c>
      <c r="G3" s="6">
        <f t="shared" si="0"/>
        <v>-1161.26</v>
      </c>
      <c r="H3" s="7">
        <f t="shared" ref="H3:H32" si="1">G3/F3*-1</f>
        <v>8.3354867236310151E-2</v>
      </c>
      <c r="I3" s="8">
        <f t="shared" ref="I3:I32" si="2">J3/F3</f>
        <v>0.15157180741585102</v>
      </c>
      <c r="J3" s="6">
        <f>SUM(J4:J99765)</f>
        <v>2111.6256664500775</v>
      </c>
      <c r="K3" s="6">
        <f t="shared" ref="K3:K32" si="3">J3/D3</f>
        <v>4.0375251748567447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5 - April
3.5 - May
9 - June
4 - July
2 - Aug
1.5 - Sept
1 - Oct
0.5 - Nov
1 - Dec
2 - Jan
2 - Feb")</f>
        <v>3 - March
5 - April
3.5 - May
9 - June
4 - July
2 - Aug
1.5 - Sept
1 - Oct
0.5 - Nov
1 -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QTY-88")</f>
        <v>US QTY-88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61</v>
      </c>
      <c r="X3" s="7">
        <f>W3/D3</f>
        <v>0.11663479923518165</v>
      </c>
      <c r="Y3" s="6"/>
      <c r="Z3" s="5"/>
      <c r="AA3" s="5"/>
      <c r="AB3" s="5"/>
      <c r="AC3" s="5"/>
      <c r="AD3" s="6">
        <f>SUM(AD4:AD99765)</f>
        <v>-162.44611386575838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SUM(AG4:AG99765)</f>
        <v>-6</v>
      </c>
    </row>
    <row r="4" spans="1:33" ht="15.75" customHeight="1" x14ac:dyDescent="0.2">
      <c r="A4" s="15" t="s">
        <v>32</v>
      </c>
      <c r="B4" s="15" t="s">
        <v>856</v>
      </c>
      <c r="C4" s="16">
        <f t="shared" ref="C4:C32" si="4">IFERROR(F4/D4," - ")</f>
        <v>19.990000000000006</v>
      </c>
      <c r="D4" s="17">
        <v>22</v>
      </c>
      <c r="E4" s="17">
        <v>1</v>
      </c>
      <c r="F4" s="18">
        <v>439.78000000000009</v>
      </c>
      <c r="G4" s="18">
        <v>-16.96</v>
      </c>
      <c r="H4" s="19">
        <f t="shared" si="1"/>
        <v>3.8564736913911497E-2</v>
      </c>
      <c r="I4" s="19">
        <f t="shared" si="2"/>
        <v>7.3700996442617239E-2</v>
      </c>
      <c r="J4" s="18">
        <f t="shared" ref="J4:J32" si="5">F4*0.85+G4+AF4*D4+D4*AE4+AG4+AD4</f>
        <v>32.412224215534216</v>
      </c>
      <c r="K4" s="18">
        <f t="shared" si="3"/>
        <v>1.4732829188879188</v>
      </c>
      <c r="L4" s="17">
        <v>30</v>
      </c>
      <c r="M4" s="20">
        <f t="shared" ref="M4:M32" si="6">IFERROR(D4/L4,"-")</f>
        <v>0.73333333333333328</v>
      </c>
      <c r="N4" s="17">
        <v>77</v>
      </c>
      <c r="O4" s="21">
        <f t="shared" ref="O4:P4" si="7">D4/7</f>
        <v>3.1428571428571428</v>
      </c>
      <c r="P4" s="21">
        <f t="shared" si="7"/>
        <v>0.14285714285714285</v>
      </c>
      <c r="Q4" s="17">
        <f t="shared" ref="Q4:Q32" si="8">ROUNDDOWN(N4/(O4+P4),0)</f>
        <v>23</v>
      </c>
      <c r="R4" s="17"/>
      <c r="S4" s="22">
        <v>1.1415525114155201</v>
      </c>
      <c r="T4" s="15">
        <v>1200</v>
      </c>
      <c r="U4" s="23">
        <v>52</v>
      </c>
      <c r="V4" s="24" t="s">
        <v>857</v>
      </c>
      <c r="W4" s="15">
        <v>4</v>
      </c>
      <c r="X4" s="25">
        <f t="shared" ref="X4:X32" si="9">IFERROR(W4/D4,0)</f>
        <v>0.18181818181818182</v>
      </c>
      <c r="Y4" s="26">
        <f t="shared" ref="Y4:Y32" si="10">IFERROR(G4/(W4+Z4)*-1,0)</f>
        <v>2.8266666666666667</v>
      </c>
      <c r="Z4" s="15">
        <v>2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0.21355837268518521</v>
      </c>
      <c r="AD4" s="26">
        <f t="shared" ref="AD4:AD32" si="12">IFERROR(AB4*AC4*D4*2,0)</f>
        <v>-6.4836321947222233</v>
      </c>
      <c r="AE4" s="26">
        <v>-7.32</v>
      </c>
      <c r="AF4" s="26">
        <v>-7.132597435897436</v>
      </c>
      <c r="AG4" s="26">
        <v>0</v>
      </c>
    </row>
    <row r="5" spans="1:33" ht="15.75" customHeight="1" x14ac:dyDescent="0.2">
      <c r="A5" s="29" t="s">
        <v>33</v>
      </c>
      <c r="B5" s="29" t="s">
        <v>440</v>
      </c>
      <c r="C5" s="16">
        <f t="shared" si="4"/>
        <v>20.416666666666671</v>
      </c>
      <c r="D5" s="30">
        <v>18</v>
      </c>
      <c r="E5" s="30">
        <v>3</v>
      </c>
      <c r="F5" s="31">
        <v>367.50000000000006</v>
      </c>
      <c r="G5" s="31">
        <v>-0.84000000000000008</v>
      </c>
      <c r="H5" s="32">
        <f t="shared" si="1"/>
        <v>2.2857142857142855E-3</v>
      </c>
      <c r="I5" s="32">
        <f t="shared" si="2"/>
        <v>0.12538043335685292</v>
      </c>
      <c r="J5" s="33">
        <f t="shared" si="5"/>
        <v>46.07730925864346</v>
      </c>
      <c r="K5" s="33">
        <f t="shared" si="3"/>
        <v>2.5598505143690811</v>
      </c>
      <c r="L5" s="30">
        <v>41</v>
      </c>
      <c r="M5" s="34">
        <f t="shared" si="6"/>
        <v>0.43902439024390244</v>
      </c>
      <c r="N5" s="30">
        <v>50</v>
      </c>
      <c r="O5" s="35">
        <f t="shared" ref="O5:P5" si="13">D5/7</f>
        <v>2.5714285714285716</v>
      </c>
      <c r="P5" s="35">
        <f t="shared" si="13"/>
        <v>0.42857142857142855</v>
      </c>
      <c r="Q5" s="30">
        <f t="shared" si="8"/>
        <v>16</v>
      </c>
      <c r="R5" s="30"/>
      <c r="S5" s="36">
        <v>1.3034300791556701</v>
      </c>
      <c r="T5" s="29">
        <v>1200</v>
      </c>
      <c r="U5" s="37">
        <v>52</v>
      </c>
      <c r="V5" s="38" t="s">
        <v>858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58</v>
      </c>
      <c r="AB5" s="41">
        <f t="shared" si="11"/>
        <v>-0.69</v>
      </c>
      <c r="AC5" s="42">
        <v>0.2138058331402086</v>
      </c>
      <c r="AD5" s="40">
        <f t="shared" si="12"/>
        <v>-5.3109368952027811</v>
      </c>
      <c r="AE5" s="40">
        <v>-7.32</v>
      </c>
      <c r="AF5" s="40">
        <v>-7.132597435897436</v>
      </c>
      <c r="AG5" s="40">
        <v>0</v>
      </c>
    </row>
    <row r="6" spans="1:33" ht="15.75" customHeight="1" x14ac:dyDescent="0.2">
      <c r="A6" s="29" t="s">
        <v>34</v>
      </c>
      <c r="B6" s="29" t="s">
        <v>452</v>
      </c>
      <c r="C6" s="16">
        <f t="shared" si="4"/>
        <v>26.25375</v>
      </c>
      <c r="D6" s="30">
        <v>8</v>
      </c>
      <c r="E6" s="30">
        <v>2</v>
      </c>
      <c r="F6" s="31">
        <v>210.03</v>
      </c>
      <c r="G6" s="31">
        <v>0</v>
      </c>
      <c r="H6" s="32">
        <f t="shared" si="1"/>
        <v>0</v>
      </c>
      <c r="I6" s="32">
        <f t="shared" si="2"/>
        <v>0.28063341464731734</v>
      </c>
      <c r="J6" s="33">
        <f t="shared" si="5"/>
        <v>58.941436078376064</v>
      </c>
      <c r="K6" s="33">
        <f t="shared" si="3"/>
        <v>7.367679509797008</v>
      </c>
      <c r="L6" s="30">
        <v>42</v>
      </c>
      <c r="M6" s="34">
        <f t="shared" si="6"/>
        <v>0.19047619047619047</v>
      </c>
      <c r="N6" s="30">
        <v>42</v>
      </c>
      <c r="O6" s="35">
        <f t="shared" ref="O6:P6" si="14">D6/7</f>
        <v>1.1428571428571428</v>
      </c>
      <c r="P6" s="35">
        <f t="shared" si="14"/>
        <v>0.2857142857142857</v>
      </c>
      <c r="Q6" s="30">
        <f t="shared" si="8"/>
        <v>29</v>
      </c>
      <c r="R6" s="30"/>
      <c r="S6" s="36">
        <v>1.30670470756062</v>
      </c>
      <c r="T6" s="29">
        <v>1200</v>
      </c>
      <c r="U6" s="37">
        <v>52</v>
      </c>
      <c r="V6" s="38" t="s">
        <v>859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58</v>
      </c>
      <c r="AB6" s="41">
        <f t="shared" si="11"/>
        <v>-0.69</v>
      </c>
      <c r="AC6" s="42">
        <v>0.21355837268518521</v>
      </c>
      <c r="AD6" s="40">
        <f t="shared" si="12"/>
        <v>-2.3576844344444448</v>
      </c>
      <c r="AE6" s="40">
        <v>-7.32</v>
      </c>
      <c r="AF6" s="40">
        <v>-7.3332974358974363</v>
      </c>
      <c r="AG6" s="40">
        <v>0</v>
      </c>
    </row>
    <row r="7" spans="1:33" ht="15.75" customHeight="1" x14ac:dyDescent="0.2">
      <c r="A7" s="29" t="s">
        <v>35</v>
      </c>
      <c r="B7" s="29" t="s">
        <v>860</v>
      </c>
      <c r="C7" s="16">
        <f t="shared" si="4"/>
        <v>29.95</v>
      </c>
      <c r="D7" s="30">
        <v>4</v>
      </c>
      <c r="E7" s="30">
        <v>1</v>
      </c>
      <c r="F7" s="31">
        <v>119.8</v>
      </c>
      <c r="G7" s="31">
        <v>0</v>
      </c>
      <c r="H7" s="32">
        <f t="shared" si="1"/>
        <v>0</v>
      </c>
      <c r="I7" s="32">
        <f t="shared" si="2"/>
        <v>0.35090123571943266</v>
      </c>
      <c r="J7" s="33">
        <f t="shared" si="5"/>
        <v>42.03796803918803</v>
      </c>
      <c r="K7" s="33">
        <f t="shared" si="3"/>
        <v>10.509492009797007</v>
      </c>
      <c r="L7" s="30">
        <v>40</v>
      </c>
      <c r="M7" s="34">
        <f t="shared" si="6"/>
        <v>0.1</v>
      </c>
      <c r="N7" s="30">
        <v>35</v>
      </c>
      <c r="O7" s="35">
        <f t="shared" ref="O7:P7" si="15">D7/7</f>
        <v>0.5714285714285714</v>
      </c>
      <c r="P7" s="35">
        <f t="shared" si="15"/>
        <v>0.14285714285714285</v>
      </c>
      <c r="Q7" s="30">
        <f t="shared" si="8"/>
        <v>49</v>
      </c>
      <c r="R7" s="30"/>
      <c r="S7" s="36">
        <v>1.40625</v>
      </c>
      <c r="T7" s="29">
        <v>1200</v>
      </c>
      <c r="U7" s="37">
        <v>52</v>
      </c>
      <c r="V7" s="38" t="s">
        <v>859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58</v>
      </c>
      <c r="AB7" s="41">
        <f t="shared" si="11"/>
        <v>-0.69</v>
      </c>
      <c r="AC7" s="42">
        <v>0.21355837268518521</v>
      </c>
      <c r="AD7" s="40">
        <f t="shared" si="12"/>
        <v>-1.1788422172222224</v>
      </c>
      <c r="AE7" s="40">
        <v>-7.32</v>
      </c>
      <c r="AF7" s="40">
        <v>-7.3332974358974363</v>
      </c>
      <c r="AG7" s="40">
        <v>0</v>
      </c>
    </row>
    <row r="8" spans="1:33" ht="15.75" customHeight="1" x14ac:dyDescent="0.2">
      <c r="A8" s="29" t="s">
        <v>36</v>
      </c>
      <c r="B8" s="29" t="s">
        <v>179</v>
      </c>
      <c r="C8" s="16">
        <f t="shared" si="4"/>
        <v>25.402307692307691</v>
      </c>
      <c r="D8" s="30">
        <v>13</v>
      </c>
      <c r="E8" s="30">
        <v>19</v>
      </c>
      <c r="F8" s="31">
        <v>330.22999999999996</v>
      </c>
      <c r="G8" s="31">
        <v>-7.7899999999999991</v>
      </c>
      <c r="H8" s="32">
        <f t="shared" si="1"/>
        <v>2.3589619356206279E-2</v>
      </c>
      <c r="I8" s="32">
        <f t="shared" si="2"/>
        <v>0.2199202458711435</v>
      </c>
      <c r="J8" s="33">
        <f t="shared" si="5"/>
        <v>72.624262794027715</v>
      </c>
      <c r="K8" s="33">
        <f t="shared" si="3"/>
        <v>5.5864817533867477</v>
      </c>
      <c r="L8" s="30">
        <v>34</v>
      </c>
      <c r="M8" s="34">
        <f t="shared" si="6"/>
        <v>0.38235294117647056</v>
      </c>
      <c r="N8" s="30">
        <v>16</v>
      </c>
      <c r="O8" s="35">
        <f t="shared" ref="O8:P8" si="16">D8/7</f>
        <v>1.8571428571428572</v>
      </c>
      <c r="P8" s="35">
        <f t="shared" si="16"/>
        <v>2.7142857142857144</v>
      </c>
      <c r="Q8" s="30">
        <f t="shared" si="8"/>
        <v>3</v>
      </c>
      <c r="R8" s="30"/>
      <c r="S8" s="36" t="e">
        <v>#N/A</v>
      </c>
      <c r="T8" s="29">
        <v>1200</v>
      </c>
      <c r="U8" s="37">
        <v>52</v>
      </c>
      <c r="V8" s="38" t="s">
        <v>861</v>
      </c>
      <c r="W8" s="29">
        <v>1</v>
      </c>
      <c r="X8" s="39">
        <f t="shared" si="9"/>
        <v>7.6923076923076927E-2</v>
      </c>
      <c r="Y8" s="40">
        <f t="shared" si="10"/>
        <v>3.8949999999999996</v>
      </c>
      <c r="Z8" s="29">
        <v>1</v>
      </c>
      <c r="AA8" s="29" t="s">
        <v>58</v>
      </c>
      <c r="AB8" s="41">
        <f t="shared" si="11"/>
        <v>-0.69</v>
      </c>
      <c r="AC8" s="42">
        <v>0.21355837268518521</v>
      </c>
      <c r="AD8" s="40">
        <f t="shared" si="12"/>
        <v>-3.8312372059722226</v>
      </c>
      <c r="AE8" s="40">
        <v>-7.32</v>
      </c>
      <c r="AF8" s="40">
        <v>-7.33</v>
      </c>
      <c r="AG8" s="40">
        <v>-6</v>
      </c>
    </row>
    <row r="9" spans="1:33" ht="15.75" customHeight="1" x14ac:dyDescent="0.2">
      <c r="A9" s="29" t="s">
        <v>37</v>
      </c>
      <c r="B9" s="29" t="s">
        <v>487</v>
      </c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3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1200</v>
      </c>
      <c r="U9" s="37">
        <v>368</v>
      </c>
      <c r="V9" s="38" t="s">
        <v>862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-7.6865025641025602</v>
      </c>
      <c r="AG9" s="40">
        <v>0</v>
      </c>
    </row>
    <row r="10" spans="1:33" ht="15.75" customHeight="1" x14ac:dyDescent="0.2">
      <c r="A10" s="29" t="s">
        <v>38</v>
      </c>
      <c r="B10" s="29" t="s">
        <v>863</v>
      </c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3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1200</v>
      </c>
      <c r="U10" s="37">
        <v>52</v>
      </c>
      <c r="V10" s="38" t="s">
        <v>864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-7.6865025641025602</v>
      </c>
      <c r="AG10" s="40">
        <v>0</v>
      </c>
    </row>
    <row r="11" spans="1:33" ht="15.75" customHeight="1" x14ac:dyDescent="0.2">
      <c r="A11" s="29" t="s">
        <v>39</v>
      </c>
      <c r="B11" s="29" t="s">
        <v>863</v>
      </c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4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>
        <v>1.9895833333333299</v>
      </c>
      <c r="T11" s="29">
        <v>1900</v>
      </c>
      <c r="U11" s="37">
        <v>52</v>
      </c>
      <c r="V11" s="38" t="s">
        <v>865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-7.6865025641025602</v>
      </c>
      <c r="AG11" s="40">
        <v>0</v>
      </c>
    </row>
    <row r="12" spans="1:33" ht="15.75" customHeight="1" x14ac:dyDescent="0.2">
      <c r="A12" s="29" t="s">
        <v>40</v>
      </c>
      <c r="B12" s="29" t="s">
        <v>863</v>
      </c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4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>
        <v>2.0685358255451698</v>
      </c>
      <c r="T12" s="29">
        <v>1068</v>
      </c>
      <c r="U12" s="37">
        <v>368</v>
      </c>
      <c r="V12" s="38" t="s">
        <v>866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-7.7736820512820497</v>
      </c>
      <c r="AG12" s="40">
        <v>0</v>
      </c>
    </row>
    <row r="13" spans="1:33" ht="15.75" customHeight="1" x14ac:dyDescent="0.2">
      <c r="A13" s="29" t="s">
        <v>41</v>
      </c>
      <c r="B13" s="29" t="s">
        <v>863</v>
      </c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4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>
        <v>2.1122112211221098</v>
      </c>
      <c r="T13" s="29">
        <v>700</v>
      </c>
      <c r="U13" s="37">
        <v>700</v>
      </c>
      <c r="V13" s="38" t="s">
        <v>867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-7.9724000000000004</v>
      </c>
      <c r="AG13" s="40">
        <v>0</v>
      </c>
    </row>
    <row r="14" spans="1:33" ht="15.75" customHeight="1" x14ac:dyDescent="0.2">
      <c r="A14" s="29" t="s">
        <v>42</v>
      </c>
      <c r="B14" s="29" t="s">
        <v>863</v>
      </c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4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>
        <v>2.1111111111111098</v>
      </c>
      <c r="T14" s="29">
        <v>700</v>
      </c>
      <c r="U14" s="37">
        <v>700</v>
      </c>
      <c r="V14" s="38" t="s">
        <v>867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-7.9724000000000004</v>
      </c>
      <c r="AG14" s="40">
        <v>0</v>
      </c>
    </row>
    <row r="15" spans="1:33" ht="15.75" customHeight="1" x14ac:dyDescent="0.2">
      <c r="A15" s="29" t="s">
        <v>43</v>
      </c>
      <c r="B15" s="29" t="s">
        <v>868</v>
      </c>
      <c r="C15" s="16">
        <f t="shared" si="4"/>
        <v>29.949999999999996</v>
      </c>
      <c r="D15" s="30">
        <v>7</v>
      </c>
      <c r="E15" s="30">
        <v>0</v>
      </c>
      <c r="F15" s="33">
        <v>209.64999999999998</v>
      </c>
      <c r="G15" s="31">
        <v>0</v>
      </c>
      <c r="H15" s="32">
        <f t="shared" si="1"/>
        <v>0</v>
      </c>
      <c r="I15" s="32">
        <f t="shared" si="2"/>
        <v>0.32956225194305316</v>
      </c>
      <c r="J15" s="33">
        <f t="shared" si="5"/>
        <v>69.092726119861084</v>
      </c>
      <c r="K15" s="33">
        <f t="shared" si="3"/>
        <v>9.8703894456944408</v>
      </c>
      <c r="L15" s="30">
        <v>8</v>
      </c>
      <c r="M15" s="34">
        <f t="shared" si="6"/>
        <v>0.875</v>
      </c>
      <c r="N15" s="30">
        <v>157</v>
      </c>
      <c r="O15" s="35">
        <f t="shared" ref="O15:P15" si="23">D15/7</f>
        <v>1</v>
      </c>
      <c r="P15" s="35">
        <f t="shared" si="23"/>
        <v>0</v>
      </c>
      <c r="Q15" s="30">
        <f t="shared" si="8"/>
        <v>157</v>
      </c>
      <c r="R15" s="30"/>
      <c r="S15" s="36">
        <v>1.13274336283185</v>
      </c>
      <c r="T15" s="29">
        <v>700</v>
      </c>
      <c r="U15" s="37">
        <v>700</v>
      </c>
      <c r="V15" s="38" t="s">
        <v>867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58</v>
      </c>
      <c r="AB15" s="41">
        <f t="shared" si="11"/>
        <v>-0.69</v>
      </c>
      <c r="AC15" s="42">
        <v>0.21355837268518521</v>
      </c>
      <c r="AD15" s="40">
        <f t="shared" si="12"/>
        <v>-2.0629738801388893</v>
      </c>
      <c r="AE15" s="40">
        <v>-7.32</v>
      </c>
      <c r="AF15" s="40">
        <v>-7.9724000000000004</v>
      </c>
      <c r="AG15" s="40">
        <v>0</v>
      </c>
    </row>
    <row r="16" spans="1:33" ht="15.75" customHeight="1" x14ac:dyDescent="0.2">
      <c r="A16" s="29" t="s">
        <v>44</v>
      </c>
      <c r="B16" s="29" t="s">
        <v>869</v>
      </c>
      <c r="C16" s="16">
        <f t="shared" si="4"/>
        <v>30.002222222222219</v>
      </c>
      <c r="D16" s="30">
        <v>9</v>
      </c>
      <c r="E16" s="30">
        <v>0</v>
      </c>
      <c r="F16" s="33">
        <v>270.02</v>
      </c>
      <c r="G16" s="31">
        <v>-9.1999999999999993</v>
      </c>
      <c r="H16" s="32">
        <f t="shared" si="1"/>
        <v>3.4071550255536626E-2</v>
      </c>
      <c r="I16" s="32">
        <f t="shared" si="2"/>
        <v>0.25759745578568249</v>
      </c>
      <c r="J16" s="33">
        <f t="shared" si="5"/>
        <v>69.556465011249983</v>
      </c>
      <c r="K16" s="33">
        <f t="shared" si="3"/>
        <v>7.7284961123611096</v>
      </c>
      <c r="L16" s="30">
        <v>30</v>
      </c>
      <c r="M16" s="34">
        <f t="shared" si="6"/>
        <v>0.3</v>
      </c>
      <c r="N16" s="30">
        <v>152</v>
      </c>
      <c r="O16" s="35">
        <f t="shared" ref="O16:P16" si="24">D16/7</f>
        <v>1.2857142857142858</v>
      </c>
      <c r="P16" s="35">
        <f t="shared" si="24"/>
        <v>0</v>
      </c>
      <c r="Q16" s="30">
        <f t="shared" si="8"/>
        <v>118</v>
      </c>
      <c r="R16" s="30"/>
      <c r="S16" s="36">
        <v>1.1205211726384301</v>
      </c>
      <c r="T16" s="29">
        <v>700</v>
      </c>
      <c r="U16" s="37">
        <v>700</v>
      </c>
      <c r="V16" s="38" t="s">
        <v>870</v>
      </c>
      <c r="W16" s="29">
        <v>2</v>
      </c>
      <c r="X16" s="39">
        <f t="shared" si="9"/>
        <v>0.22222222222222221</v>
      </c>
      <c r="Y16" s="40">
        <f t="shared" si="10"/>
        <v>1.8399999999999999</v>
      </c>
      <c r="Z16" s="29">
        <v>3</v>
      </c>
      <c r="AA16" s="29" t="s">
        <v>58</v>
      </c>
      <c r="AB16" s="41">
        <f t="shared" si="11"/>
        <v>-0.69</v>
      </c>
      <c r="AC16" s="42">
        <v>0.21355837268518521</v>
      </c>
      <c r="AD16" s="40">
        <f t="shared" si="12"/>
        <v>-2.6523949887500002</v>
      </c>
      <c r="AE16" s="40">
        <v>-7.32</v>
      </c>
      <c r="AF16" s="40">
        <v>-9.1364599999999996</v>
      </c>
      <c r="AG16" s="40">
        <v>0</v>
      </c>
    </row>
    <row r="17" spans="1:33" ht="15.75" customHeight="1" x14ac:dyDescent="0.2">
      <c r="A17" s="29" t="s">
        <v>45</v>
      </c>
      <c r="B17" s="29" t="s">
        <v>506</v>
      </c>
      <c r="C17" s="16">
        <f t="shared" si="4"/>
        <v>32.329230769230762</v>
      </c>
      <c r="D17" s="30">
        <v>13</v>
      </c>
      <c r="E17" s="30">
        <v>1</v>
      </c>
      <c r="F17" s="33">
        <v>420.27999999999992</v>
      </c>
      <c r="G17" s="31">
        <v>-30.12</v>
      </c>
      <c r="H17" s="32">
        <f t="shared" si="1"/>
        <v>7.1666508042257562E-2</v>
      </c>
      <c r="I17" s="32">
        <f t="shared" si="2"/>
        <v>0.26019030835164114</v>
      </c>
      <c r="J17" s="33">
        <f t="shared" si="5"/>
        <v>109.35278279402772</v>
      </c>
      <c r="K17" s="33">
        <f t="shared" si="3"/>
        <v>8.4117525226175172</v>
      </c>
      <c r="L17" s="30">
        <v>46</v>
      </c>
      <c r="M17" s="34">
        <f t="shared" si="6"/>
        <v>0.28260869565217389</v>
      </c>
      <c r="N17" s="30">
        <v>132</v>
      </c>
      <c r="O17" s="35">
        <f t="shared" ref="O17:P17" si="25">D17/7</f>
        <v>1.8571428571428572</v>
      </c>
      <c r="P17" s="35">
        <f t="shared" si="25"/>
        <v>0.14285714285714285</v>
      </c>
      <c r="Q17" s="30">
        <f t="shared" si="8"/>
        <v>66</v>
      </c>
      <c r="R17" s="30"/>
      <c r="S17" s="36">
        <v>1.27058823529411</v>
      </c>
      <c r="T17" s="29">
        <v>700</v>
      </c>
      <c r="U17" s="37">
        <v>700</v>
      </c>
      <c r="V17" s="38" t="s">
        <v>871</v>
      </c>
      <c r="W17" s="29">
        <v>4</v>
      </c>
      <c r="X17" s="39">
        <f t="shared" si="9"/>
        <v>0.30769230769230771</v>
      </c>
      <c r="Y17" s="40">
        <f t="shared" si="10"/>
        <v>2.3169230769230769</v>
      </c>
      <c r="Z17" s="29">
        <v>9</v>
      </c>
      <c r="AA17" s="29" t="s">
        <v>58</v>
      </c>
      <c r="AB17" s="41">
        <f t="shared" si="11"/>
        <v>-0.69</v>
      </c>
      <c r="AC17" s="42">
        <v>0.21355837268518521</v>
      </c>
      <c r="AD17" s="40">
        <f t="shared" si="12"/>
        <v>-3.8312372059722226</v>
      </c>
      <c r="AE17" s="40">
        <v>-7.32</v>
      </c>
      <c r="AF17" s="40">
        <v>-9.1364599999999996</v>
      </c>
      <c r="AG17" s="40">
        <v>0</v>
      </c>
    </row>
    <row r="18" spans="1:33" ht="15.75" customHeight="1" x14ac:dyDescent="0.2">
      <c r="A18" s="29" t="s">
        <v>46</v>
      </c>
      <c r="B18" s="29" t="s">
        <v>469</v>
      </c>
      <c r="C18" s="16">
        <f t="shared" si="4"/>
        <v>34.950000000000003</v>
      </c>
      <c r="D18" s="30">
        <v>20</v>
      </c>
      <c r="E18" s="30">
        <v>1</v>
      </c>
      <c r="F18" s="33">
        <v>699.00000000000011</v>
      </c>
      <c r="G18" s="31">
        <v>-60.089999999999996</v>
      </c>
      <c r="H18" s="32">
        <f t="shared" si="1"/>
        <v>8.5965665236051481E-2</v>
      </c>
      <c r="I18" s="32">
        <f t="shared" si="2"/>
        <v>0.28474476239469088</v>
      </c>
      <c r="J18" s="33">
        <f t="shared" si="5"/>
        <v>199.03658891388895</v>
      </c>
      <c r="K18" s="33">
        <f t="shared" si="3"/>
        <v>9.9518294456944467</v>
      </c>
      <c r="L18" s="30">
        <v>52</v>
      </c>
      <c r="M18" s="34">
        <f t="shared" si="6"/>
        <v>0.38461538461538464</v>
      </c>
      <c r="N18" s="30">
        <v>105</v>
      </c>
      <c r="O18" s="35">
        <f t="shared" ref="O18:P18" si="26">D18/7</f>
        <v>2.8571428571428572</v>
      </c>
      <c r="P18" s="35">
        <f t="shared" si="26"/>
        <v>0.14285714285714285</v>
      </c>
      <c r="Q18" s="30">
        <f t="shared" si="8"/>
        <v>35</v>
      </c>
      <c r="R18" s="30"/>
      <c r="S18" s="36">
        <v>1.4564102564102499</v>
      </c>
      <c r="T18" s="29">
        <v>932</v>
      </c>
      <c r="U18" s="37">
        <v>700</v>
      </c>
      <c r="V18" s="38" t="s">
        <v>871</v>
      </c>
      <c r="W18" s="29">
        <v>3</v>
      </c>
      <c r="X18" s="39">
        <f t="shared" si="9"/>
        <v>0.15</v>
      </c>
      <c r="Y18" s="40">
        <f t="shared" si="10"/>
        <v>6.6766666666666659</v>
      </c>
      <c r="Z18" s="29">
        <v>6</v>
      </c>
      <c r="AA18" s="29" t="s">
        <v>58</v>
      </c>
      <c r="AB18" s="41">
        <f t="shared" si="11"/>
        <v>-0.69</v>
      </c>
      <c r="AC18" s="42">
        <v>0.21355837268518521</v>
      </c>
      <c r="AD18" s="40">
        <f t="shared" si="12"/>
        <v>-5.8942110861111114</v>
      </c>
      <c r="AE18" s="40">
        <v>-7.32</v>
      </c>
      <c r="AF18" s="40">
        <v>-9.1364599999999996</v>
      </c>
      <c r="AG18" s="40">
        <v>0</v>
      </c>
    </row>
    <row r="19" spans="1:33" ht="15.75" customHeight="1" x14ac:dyDescent="0.2">
      <c r="A19" s="29" t="s">
        <v>47</v>
      </c>
      <c r="B19" s="29" t="s">
        <v>613</v>
      </c>
      <c r="C19" s="16">
        <f t="shared" si="4"/>
        <v>34.949999999999996</v>
      </c>
      <c r="D19" s="30">
        <v>10</v>
      </c>
      <c r="E19" s="30">
        <v>0</v>
      </c>
      <c r="F19" s="33">
        <v>349.49999999999994</v>
      </c>
      <c r="G19" s="31">
        <v>-82.719999999999985</v>
      </c>
      <c r="H19" s="32">
        <f t="shared" si="1"/>
        <v>0.23668097281831188</v>
      </c>
      <c r="I19" s="32">
        <f t="shared" si="2"/>
        <v>0.13402945481243037</v>
      </c>
      <c r="J19" s="33">
        <f t="shared" si="5"/>
        <v>46.843294456944406</v>
      </c>
      <c r="K19" s="33">
        <f t="shared" si="3"/>
        <v>4.6843294456944404</v>
      </c>
      <c r="L19" s="30">
        <v>49</v>
      </c>
      <c r="M19" s="34">
        <f t="shared" si="6"/>
        <v>0.20408163265306123</v>
      </c>
      <c r="N19" s="30">
        <v>95</v>
      </c>
      <c r="O19" s="35">
        <f t="shared" ref="O19:P19" si="27">D19/7</f>
        <v>1.4285714285714286</v>
      </c>
      <c r="P19" s="35">
        <f t="shared" si="27"/>
        <v>0</v>
      </c>
      <c r="Q19" s="30">
        <f t="shared" si="8"/>
        <v>66</v>
      </c>
      <c r="R19" s="30"/>
      <c r="S19" s="36">
        <v>0.938271604938271</v>
      </c>
      <c r="T19" s="29">
        <v>932</v>
      </c>
      <c r="U19" s="37">
        <v>700</v>
      </c>
      <c r="V19" s="38" t="s">
        <v>871</v>
      </c>
      <c r="W19" s="29">
        <v>3</v>
      </c>
      <c r="X19" s="39">
        <f t="shared" si="9"/>
        <v>0.3</v>
      </c>
      <c r="Y19" s="40">
        <f t="shared" si="10"/>
        <v>5.5146666666666659</v>
      </c>
      <c r="Z19" s="29">
        <v>12</v>
      </c>
      <c r="AA19" s="29" t="s">
        <v>58</v>
      </c>
      <c r="AB19" s="41">
        <f t="shared" si="11"/>
        <v>-0.69</v>
      </c>
      <c r="AC19" s="42">
        <v>0.21355837268518521</v>
      </c>
      <c r="AD19" s="40">
        <f t="shared" si="12"/>
        <v>-2.9471055430555557</v>
      </c>
      <c r="AE19" s="40">
        <v>-7.32</v>
      </c>
      <c r="AF19" s="40">
        <v>-9.1364599999999996</v>
      </c>
      <c r="AG19" s="40">
        <v>0</v>
      </c>
    </row>
    <row r="20" spans="1:33" ht="15.75" customHeight="1" x14ac:dyDescent="0.2">
      <c r="A20" s="29" t="s">
        <v>48</v>
      </c>
      <c r="B20" s="29" t="s">
        <v>452</v>
      </c>
      <c r="C20" s="16">
        <f t="shared" si="4"/>
        <v>31.119230769230764</v>
      </c>
      <c r="D20" s="30">
        <v>13</v>
      </c>
      <c r="E20" s="30">
        <v>0</v>
      </c>
      <c r="F20" s="33">
        <v>404.54999999999995</v>
      </c>
      <c r="G20" s="31">
        <v>-30.35</v>
      </c>
      <c r="H20" s="32">
        <f t="shared" si="1"/>
        <v>7.5021628970461024E-2</v>
      </c>
      <c r="I20" s="32">
        <f t="shared" si="2"/>
        <v>0.23668837670010559</v>
      </c>
      <c r="J20" s="33">
        <f t="shared" si="5"/>
        <v>95.752282794027707</v>
      </c>
      <c r="K20" s="33">
        <f t="shared" si="3"/>
        <v>7.3655602149252086</v>
      </c>
      <c r="L20" s="30">
        <v>40</v>
      </c>
      <c r="M20" s="34">
        <f t="shared" si="6"/>
        <v>0.32500000000000001</v>
      </c>
      <c r="N20" s="30">
        <v>83</v>
      </c>
      <c r="O20" s="35">
        <f t="shared" ref="O20:P20" si="28">D20/7</f>
        <v>1.8571428571428572</v>
      </c>
      <c r="P20" s="35">
        <f t="shared" si="28"/>
        <v>0</v>
      </c>
      <c r="Q20" s="30">
        <f t="shared" si="8"/>
        <v>44</v>
      </c>
      <c r="R20" s="30"/>
      <c r="S20" s="36">
        <v>1.01910828025477</v>
      </c>
      <c r="T20" s="29">
        <v>932</v>
      </c>
      <c r="U20" s="37">
        <v>700</v>
      </c>
      <c r="V20" s="38" t="s">
        <v>872</v>
      </c>
      <c r="W20" s="29">
        <v>1</v>
      </c>
      <c r="X20" s="39">
        <f t="shared" si="9"/>
        <v>7.6923076923076927E-2</v>
      </c>
      <c r="Y20" s="40">
        <f t="shared" si="10"/>
        <v>4.3357142857142863</v>
      </c>
      <c r="Z20" s="29">
        <v>6</v>
      </c>
      <c r="AA20" s="29" t="s">
        <v>58</v>
      </c>
      <c r="AB20" s="41">
        <f t="shared" si="11"/>
        <v>-0.69</v>
      </c>
      <c r="AC20" s="42">
        <v>0.21355837268518521</v>
      </c>
      <c r="AD20" s="40">
        <f t="shared" si="12"/>
        <v>-3.8312372059722226</v>
      </c>
      <c r="AE20" s="40">
        <v>-7.32</v>
      </c>
      <c r="AF20" s="40">
        <v>-9.1364599999999996</v>
      </c>
      <c r="AG20" s="40">
        <v>0</v>
      </c>
    </row>
    <row r="21" spans="1:33" ht="15.75" customHeight="1" x14ac:dyDescent="0.2">
      <c r="A21" s="29" t="s">
        <v>49</v>
      </c>
      <c r="B21" s="29" t="s">
        <v>452</v>
      </c>
      <c r="C21" s="16">
        <f t="shared" si="4"/>
        <v>29.166000000000015</v>
      </c>
      <c r="D21" s="30">
        <v>35</v>
      </c>
      <c r="E21" s="30">
        <v>0</v>
      </c>
      <c r="F21" s="33">
        <v>1020.8100000000005</v>
      </c>
      <c r="G21" s="31">
        <v>-11.540000000000001</v>
      </c>
      <c r="H21" s="32">
        <f t="shared" si="1"/>
        <v>1.1304748190162708E-2</v>
      </c>
      <c r="I21" s="32">
        <f t="shared" si="2"/>
        <v>0.2643562764856397</v>
      </c>
      <c r="J21" s="33">
        <f t="shared" si="5"/>
        <v>269.85753059930602</v>
      </c>
      <c r="K21" s="33">
        <f t="shared" si="3"/>
        <v>7.710215159980172</v>
      </c>
      <c r="L21" s="30">
        <v>20</v>
      </c>
      <c r="M21" s="34">
        <f t="shared" si="6"/>
        <v>1.75</v>
      </c>
      <c r="N21" s="30">
        <v>46</v>
      </c>
      <c r="O21" s="35">
        <f t="shared" ref="O21:P21" si="29">D21/7</f>
        <v>5</v>
      </c>
      <c r="P21" s="35">
        <f t="shared" si="29"/>
        <v>0</v>
      </c>
      <c r="Q21" s="30">
        <f t="shared" si="8"/>
        <v>9</v>
      </c>
      <c r="R21" s="30"/>
      <c r="S21" s="36">
        <v>1.6752136752136699</v>
      </c>
      <c r="T21" s="29">
        <v>932</v>
      </c>
      <c r="U21" s="37">
        <v>700</v>
      </c>
      <c r="V21" s="38" t="s">
        <v>872</v>
      </c>
      <c r="W21" s="29">
        <v>2</v>
      </c>
      <c r="X21" s="39">
        <f t="shared" si="9"/>
        <v>5.7142857142857141E-2</v>
      </c>
      <c r="Y21" s="40">
        <f t="shared" si="10"/>
        <v>3.8466666666666671</v>
      </c>
      <c r="Z21" s="29">
        <v>1</v>
      </c>
      <c r="AA21" s="29" t="s">
        <v>58</v>
      </c>
      <c r="AB21" s="41">
        <f t="shared" si="11"/>
        <v>-0.69</v>
      </c>
      <c r="AC21" s="42">
        <v>0.21355837268518521</v>
      </c>
      <c r="AD21" s="40">
        <f t="shared" si="12"/>
        <v>-10.314869400694446</v>
      </c>
      <c r="AE21" s="40">
        <v>-7.32</v>
      </c>
      <c r="AF21" s="40">
        <v>-9.1364599999999996</v>
      </c>
      <c r="AG21" s="40">
        <v>0</v>
      </c>
    </row>
    <row r="22" spans="1:33" ht="15.75" customHeight="1" x14ac:dyDescent="0.2">
      <c r="A22" s="29" t="s">
        <v>50</v>
      </c>
      <c r="B22" s="29" t="s">
        <v>462</v>
      </c>
      <c r="C22" s="16">
        <f t="shared" si="4"/>
        <v>29.989333333333327</v>
      </c>
      <c r="D22" s="30">
        <v>15</v>
      </c>
      <c r="E22" s="30">
        <v>2</v>
      </c>
      <c r="F22" s="31">
        <v>449.83999999999992</v>
      </c>
      <c r="G22" s="31">
        <v>-13.300000000000002</v>
      </c>
      <c r="H22" s="32">
        <f t="shared" si="1"/>
        <v>2.9566067935265884E-2</v>
      </c>
      <c r="I22" s="32">
        <f t="shared" si="2"/>
        <v>0.26186297724839186</v>
      </c>
      <c r="J22" s="33">
        <f t="shared" si="5"/>
        <v>117.79644168541657</v>
      </c>
      <c r="K22" s="33">
        <f t="shared" si="3"/>
        <v>7.8530961123611043</v>
      </c>
      <c r="L22" s="30">
        <v>37</v>
      </c>
      <c r="M22" s="34">
        <f t="shared" si="6"/>
        <v>0.40540540540540543</v>
      </c>
      <c r="N22" s="30">
        <v>28</v>
      </c>
      <c r="O22" s="35">
        <f t="shared" ref="O22:P22" si="30">D22/7</f>
        <v>2.1428571428571428</v>
      </c>
      <c r="P22" s="35">
        <f t="shared" si="30"/>
        <v>0.2857142857142857</v>
      </c>
      <c r="Q22" s="30">
        <f t="shared" si="8"/>
        <v>11</v>
      </c>
      <c r="R22" s="30"/>
      <c r="S22" s="36">
        <v>2.5297297297297199</v>
      </c>
      <c r="T22" s="29">
        <v>932</v>
      </c>
      <c r="U22" s="37">
        <v>700</v>
      </c>
      <c r="V22" s="38" t="s">
        <v>872</v>
      </c>
      <c r="W22" s="29">
        <v>0</v>
      </c>
      <c r="X22" s="39">
        <f t="shared" si="9"/>
        <v>0</v>
      </c>
      <c r="Y22" s="40">
        <f t="shared" si="10"/>
        <v>6.6500000000000012</v>
      </c>
      <c r="Z22" s="29">
        <v>2</v>
      </c>
      <c r="AA22" s="29" t="s">
        <v>58</v>
      </c>
      <c r="AB22" s="41">
        <f t="shared" si="11"/>
        <v>-0.69</v>
      </c>
      <c r="AC22" s="42">
        <v>0.21355837268518521</v>
      </c>
      <c r="AD22" s="40">
        <f t="shared" si="12"/>
        <v>-4.420658314583334</v>
      </c>
      <c r="AE22" s="40">
        <v>-7.32</v>
      </c>
      <c r="AF22" s="40">
        <v>-9.1364599999999996</v>
      </c>
      <c r="AG22" s="40">
        <v>0</v>
      </c>
    </row>
    <row r="23" spans="1:33" ht="15.75" customHeight="1" x14ac:dyDescent="0.2">
      <c r="A23" s="29" t="s">
        <v>51</v>
      </c>
      <c r="B23" s="29" t="s">
        <v>752</v>
      </c>
      <c r="C23" s="16">
        <f t="shared" si="4"/>
        <v>26.643333333333334</v>
      </c>
      <c r="D23" s="30">
        <v>21</v>
      </c>
      <c r="E23" s="30">
        <v>0</v>
      </c>
      <c r="F23" s="33">
        <v>559.51</v>
      </c>
      <c r="G23" s="31">
        <v>-48.469999999999992</v>
      </c>
      <c r="H23" s="32">
        <f t="shared" si="1"/>
        <v>8.6629372129184451E-2</v>
      </c>
      <c r="I23" s="32">
        <f t="shared" si="2"/>
        <v>0.13465160293754058</v>
      </c>
      <c r="J23" s="33">
        <f t="shared" si="5"/>
        <v>75.338918359583332</v>
      </c>
      <c r="K23" s="33">
        <f t="shared" si="3"/>
        <v>3.5875675409325396</v>
      </c>
      <c r="L23" s="30">
        <v>53</v>
      </c>
      <c r="M23" s="34">
        <f t="shared" si="6"/>
        <v>0.39622641509433965</v>
      </c>
      <c r="N23" s="30">
        <v>4</v>
      </c>
      <c r="O23" s="35">
        <f t="shared" ref="O23:P23" si="31">D23/7</f>
        <v>3</v>
      </c>
      <c r="P23" s="35">
        <f t="shared" si="31"/>
        <v>0</v>
      </c>
      <c r="Q23" s="30">
        <f t="shared" si="8"/>
        <v>1</v>
      </c>
      <c r="R23" s="30"/>
      <c r="S23" s="36">
        <v>3.2704402515723201</v>
      </c>
      <c r="T23" s="29">
        <v>932</v>
      </c>
      <c r="U23" s="37">
        <v>700</v>
      </c>
      <c r="V23" s="38" t="s">
        <v>873</v>
      </c>
      <c r="W23" s="29">
        <v>0</v>
      </c>
      <c r="X23" s="39">
        <f t="shared" si="9"/>
        <v>0</v>
      </c>
      <c r="Y23" s="40">
        <f t="shared" si="10"/>
        <v>12.117499999999998</v>
      </c>
      <c r="Z23" s="29">
        <v>4</v>
      </c>
      <c r="AA23" s="29" t="s">
        <v>58</v>
      </c>
      <c r="AB23" s="41">
        <f t="shared" si="11"/>
        <v>-0.69</v>
      </c>
      <c r="AC23" s="42">
        <v>0.21355837268518521</v>
      </c>
      <c r="AD23" s="40">
        <f t="shared" si="12"/>
        <v>-6.1889216404166678</v>
      </c>
      <c r="AE23" s="40">
        <v>-7.32</v>
      </c>
      <c r="AF23" s="40">
        <v>-9.1364599999999996</v>
      </c>
      <c r="AG23" s="40">
        <v>0</v>
      </c>
    </row>
    <row r="24" spans="1:33" ht="15.75" customHeight="1" x14ac:dyDescent="0.2">
      <c r="A24" s="29" t="s">
        <v>52</v>
      </c>
      <c r="B24" s="29" t="s">
        <v>179</v>
      </c>
      <c r="C24" s="16">
        <f t="shared" si="4"/>
        <v>24.95</v>
      </c>
      <c r="D24" s="30">
        <v>1</v>
      </c>
      <c r="E24" s="30">
        <v>0</v>
      </c>
      <c r="F24" s="33">
        <v>24.95</v>
      </c>
      <c r="G24" s="33">
        <v>0</v>
      </c>
      <c r="H24" s="32">
        <f t="shared" si="1"/>
        <v>0</v>
      </c>
      <c r="I24" s="32">
        <f t="shared" si="2"/>
        <v>0.17861039862502784</v>
      </c>
      <c r="J24" s="33">
        <f t="shared" si="5"/>
        <v>4.4563294456944442</v>
      </c>
      <c r="K24" s="33">
        <f t="shared" si="3"/>
        <v>4.4563294456944442</v>
      </c>
      <c r="L24" s="30">
        <v>15</v>
      </c>
      <c r="M24" s="34">
        <f t="shared" si="6"/>
        <v>6.6666666666666666E-2</v>
      </c>
      <c r="N24" s="30">
        <v>0</v>
      </c>
      <c r="O24" s="35">
        <f t="shared" ref="O24:P24" si="32">D24/7</f>
        <v>0.14285714285714285</v>
      </c>
      <c r="P24" s="35">
        <f t="shared" si="32"/>
        <v>0</v>
      </c>
      <c r="Q24" s="30">
        <f t="shared" si="8"/>
        <v>0</v>
      </c>
      <c r="R24" s="30"/>
      <c r="S24" s="36">
        <v>2.0350877192982399</v>
      </c>
      <c r="T24" s="29">
        <v>932</v>
      </c>
      <c r="U24" s="37">
        <v>700</v>
      </c>
      <c r="V24" s="38" t="s">
        <v>873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42">
        <v>0.21355837268518521</v>
      </c>
      <c r="AD24" s="40">
        <f t="shared" si="12"/>
        <v>-0.29471055430555559</v>
      </c>
      <c r="AE24" s="40">
        <v>-7.32</v>
      </c>
      <c r="AF24" s="40">
        <v>-9.1364599999999996</v>
      </c>
      <c r="AG24" s="40">
        <v>0</v>
      </c>
    </row>
    <row r="25" spans="1:33" ht="15.75" customHeight="1" x14ac:dyDescent="0.2">
      <c r="A25" s="29" t="s">
        <v>53</v>
      </c>
      <c r="B25" s="15" t="s">
        <v>643</v>
      </c>
      <c r="C25" s="16">
        <f t="shared" si="4"/>
        <v>32.092857142857142</v>
      </c>
      <c r="D25" s="30">
        <v>7</v>
      </c>
      <c r="E25" s="30">
        <v>0</v>
      </c>
      <c r="F25" s="33">
        <v>224.65</v>
      </c>
      <c r="G25" s="33">
        <v>0</v>
      </c>
      <c r="H25" s="32">
        <f t="shared" si="1"/>
        <v>0</v>
      </c>
      <c r="I25" s="32">
        <f t="shared" si="2"/>
        <v>0.32793022977903896</v>
      </c>
      <c r="J25" s="33">
        <f t="shared" si="5"/>
        <v>73.669526119861104</v>
      </c>
      <c r="K25" s="33">
        <f t="shared" si="3"/>
        <v>10.524218017123015</v>
      </c>
      <c r="L25" s="30">
        <v>41</v>
      </c>
      <c r="M25" s="34">
        <f t="shared" si="6"/>
        <v>0.17073170731707318</v>
      </c>
      <c r="N25" s="30">
        <v>722</v>
      </c>
      <c r="O25" s="35">
        <f t="shared" ref="O25:P25" si="33">D25/7</f>
        <v>1</v>
      </c>
      <c r="P25" s="35">
        <f t="shared" si="33"/>
        <v>0</v>
      </c>
      <c r="Q25" s="30">
        <f t="shared" si="8"/>
        <v>722</v>
      </c>
      <c r="R25" s="30"/>
      <c r="S25" s="36">
        <v>0.6124604012671595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0.21355837268518521</v>
      </c>
      <c r="AD25" s="40">
        <f t="shared" si="12"/>
        <v>-2.0629738801388893</v>
      </c>
      <c r="AE25" s="40">
        <v>-7.32</v>
      </c>
      <c r="AF25" s="40">
        <v>-9.14</v>
      </c>
      <c r="AG25" s="40">
        <v>0</v>
      </c>
    </row>
    <row r="26" spans="1:33" ht="15.75" customHeight="1" x14ac:dyDescent="0.2">
      <c r="A26" s="15" t="s">
        <v>54</v>
      </c>
      <c r="B26" s="51" t="s">
        <v>874</v>
      </c>
      <c r="C26" s="16">
        <f t="shared" si="4"/>
        <v>31.213999999999999</v>
      </c>
      <c r="D26" s="17">
        <v>20</v>
      </c>
      <c r="E26" s="17">
        <v>1</v>
      </c>
      <c r="F26" s="18">
        <v>624.28</v>
      </c>
      <c r="G26" s="18">
        <v>-13.58</v>
      </c>
      <c r="H26" s="32">
        <f t="shared" si="1"/>
        <v>2.1753059524572307E-2</v>
      </c>
      <c r="I26" s="32">
        <f t="shared" si="2"/>
        <v>0.29607642230071246</v>
      </c>
      <c r="J26" s="33">
        <f t="shared" si="5"/>
        <v>184.83458891388878</v>
      </c>
      <c r="K26" s="33">
        <f t="shared" si="3"/>
        <v>9.241729445694439</v>
      </c>
      <c r="L26" s="17">
        <v>43</v>
      </c>
      <c r="M26" s="34">
        <f t="shared" si="6"/>
        <v>0.46511627906976744</v>
      </c>
      <c r="N26" s="17">
        <v>702</v>
      </c>
      <c r="O26" s="35">
        <f t="shared" ref="O26:P26" si="34">D26/7</f>
        <v>2.8571428571428572</v>
      </c>
      <c r="P26" s="35">
        <f t="shared" si="34"/>
        <v>0.14285714285714285</v>
      </c>
      <c r="Q26" s="30">
        <f t="shared" si="8"/>
        <v>234</v>
      </c>
      <c r="R26" s="30"/>
      <c r="S26" s="22">
        <v>0.70691547749725581</v>
      </c>
      <c r="T26" s="15">
        <v>232</v>
      </c>
      <c r="U26" s="23" t="s">
        <v>56</v>
      </c>
      <c r="V26" s="1" t="s">
        <v>56</v>
      </c>
      <c r="W26" s="15">
        <v>1</v>
      </c>
      <c r="X26" s="39">
        <f t="shared" si="9"/>
        <v>0.05</v>
      </c>
      <c r="Y26" s="40">
        <f t="shared" si="10"/>
        <v>3.395</v>
      </c>
      <c r="Z26" s="15">
        <v>3</v>
      </c>
      <c r="AA26" s="29" t="s">
        <v>58</v>
      </c>
      <c r="AB26" s="41">
        <f t="shared" si="11"/>
        <v>-0.69</v>
      </c>
      <c r="AC26" s="42">
        <v>0.21355837268518521</v>
      </c>
      <c r="AD26" s="40">
        <f t="shared" si="12"/>
        <v>-5.8942110861111114</v>
      </c>
      <c r="AE26" s="26">
        <v>-7.18</v>
      </c>
      <c r="AF26" s="26">
        <v>-9.1364599999999996</v>
      </c>
      <c r="AG26" s="26">
        <v>0</v>
      </c>
    </row>
    <row r="27" spans="1:33" ht="15.75" customHeight="1" x14ac:dyDescent="0.2">
      <c r="A27" s="15" t="s">
        <v>74</v>
      </c>
      <c r="B27" s="15" t="s">
        <v>479</v>
      </c>
      <c r="C27" s="16">
        <f t="shared" si="4"/>
        <v>25.945333333333334</v>
      </c>
      <c r="D27" s="17">
        <v>45</v>
      </c>
      <c r="E27" s="17">
        <v>5</v>
      </c>
      <c r="F27" s="18">
        <v>1167.54</v>
      </c>
      <c r="G27" s="18">
        <v>-111.51</v>
      </c>
      <c r="H27" s="32">
        <f t="shared" si="1"/>
        <v>9.5508505061925084E-2</v>
      </c>
      <c r="I27" s="32">
        <f t="shared" si="2"/>
        <v>0.11425417977649592</v>
      </c>
      <c r="J27" s="33">
        <f t="shared" si="5"/>
        <v>133.39632505625005</v>
      </c>
      <c r="K27" s="33">
        <f t="shared" si="3"/>
        <v>2.9643627790277787</v>
      </c>
      <c r="L27" s="17">
        <v>84</v>
      </c>
      <c r="M27" s="34">
        <f t="shared" si="6"/>
        <v>0.5357142857142857</v>
      </c>
      <c r="N27" s="17">
        <v>634</v>
      </c>
      <c r="O27" s="35">
        <f t="shared" ref="O27:P27" si="35">D27/7</f>
        <v>6.4285714285714288</v>
      </c>
      <c r="P27" s="35">
        <f t="shared" si="35"/>
        <v>0.7142857142857143</v>
      </c>
      <c r="Q27" s="30">
        <f t="shared" si="8"/>
        <v>88</v>
      </c>
      <c r="R27" s="30"/>
      <c r="S27" s="22">
        <v>1.0374064837905239</v>
      </c>
      <c r="T27" s="15">
        <v>232</v>
      </c>
      <c r="U27" s="23" t="s">
        <v>56</v>
      </c>
      <c r="V27" s="1" t="s">
        <v>56</v>
      </c>
      <c r="W27" s="15">
        <v>5</v>
      </c>
      <c r="X27" s="39">
        <f t="shared" si="9"/>
        <v>0.1111111111111111</v>
      </c>
      <c r="Y27" s="40">
        <f t="shared" si="10"/>
        <v>4.288846153846154</v>
      </c>
      <c r="Z27" s="15">
        <v>21</v>
      </c>
      <c r="AA27" s="29" t="s">
        <v>58</v>
      </c>
      <c r="AB27" s="41">
        <f t="shared" si="11"/>
        <v>-0.69</v>
      </c>
      <c r="AC27" s="42">
        <v>0.21355837268518521</v>
      </c>
      <c r="AD27" s="40">
        <f t="shared" si="12"/>
        <v>-13.261974943750001</v>
      </c>
      <c r="AE27" s="26">
        <v>-7.18</v>
      </c>
      <c r="AF27" s="26">
        <v>-9.1364599999999996</v>
      </c>
      <c r="AG27" s="26">
        <v>0</v>
      </c>
    </row>
    <row r="28" spans="1:33" ht="15.75" customHeight="1" x14ac:dyDescent="0.2">
      <c r="A28" s="15" t="s">
        <v>75</v>
      </c>
      <c r="B28" s="15" t="s">
        <v>452</v>
      </c>
      <c r="C28" s="16">
        <f t="shared" si="4"/>
        <v>25.33126984126984</v>
      </c>
      <c r="D28" s="17">
        <v>63</v>
      </c>
      <c r="E28" s="17">
        <v>3</v>
      </c>
      <c r="F28" s="18">
        <v>1595.87</v>
      </c>
      <c r="G28" s="18">
        <v>-129.83000000000001</v>
      </c>
      <c r="H28" s="32">
        <f t="shared" si="1"/>
        <v>8.1353744352610183E-2</v>
      </c>
      <c r="I28" s="32">
        <f t="shared" si="2"/>
        <v>9.9690675898961037E-2</v>
      </c>
      <c r="J28" s="33">
        <f t="shared" si="5"/>
        <v>159.09335894687493</v>
      </c>
      <c r="K28" s="33">
        <f t="shared" si="3"/>
        <v>2.5252914118551577</v>
      </c>
      <c r="L28" s="17">
        <v>99</v>
      </c>
      <c r="M28" s="34">
        <f t="shared" si="6"/>
        <v>0.63636363636363635</v>
      </c>
      <c r="N28" s="17">
        <v>591</v>
      </c>
      <c r="O28" s="35">
        <f t="shared" ref="O28:P28" si="36">D28/7</f>
        <v>9</v>
      </c>
      <c r="P28" s="35">
        <f t="shared" si="36"/>
        <v>0.42857142857142855</v>
      </c>
      <c r="Q28" s="30">
        <f t="shared" si="8"/>
        <v>62</v>
      </c>
      <c r="R28" s="30"/>
      <c r="S28" s="22">
        <v>1.1506228765571911</v>
      </c>
      <c r="T28" s="15">
        <v>232</v>
      </c>
      <c r="U28" s="23" t="s">
        <v>56</v>
      </c>
      <c r="V28" s="1" t="s">
        <v>56</v>
      </c>
      <c r="W28" s="15">
        <v>9</v>
      </c>
      <c r="X28" s="39">
        <f t="shared" si="9"/>
        <v>0.14285714285714285</v>
      </c>
      <c r="Y28" s="40">
        <f t="shared" si="10"/>
        <v>4.9934615384615393</v>
      </c>
      <c r="Z28" s="15">
        <v>17</v>
      </c>
      <c r="AA28" s="29" t="s">
        <v>58</v>
      </c>
      <c r="AB28" s="41">
        <f t="shared" si="11"/>
        <v>-0.69</v>
      </c>
      <c r="AC28" s="42">
        <v>0.23843065393518523</v>
      </c>
      <c r="AD28" s="40">
        <f t="shared" si="12"/>
        <v>-20.729161053125001</v>
      </c>
      <c r="AE28" s="26">
        <v>-7.48</v>
      </c>
      <c r="AF28" s="26">
        <v>-9.1364599999999996</v>
      </c>
      <c r="AG28" s="26">
        <v>0</v>
      </c>
    </row>
    <row r="29" spans="1:33" ht="15.75" customHeight="1" x14ac:dyDescent="0.2">
      <c r="A29" s="15" t="s">
        <v>77</v>
      </c>
      <c r="B29" s="15" t="s">
        <v>506</v>
      </c>
      <c r="C29" s="16">
        <f t="shared" si="4"/>
        <v>24.63512195121951</v>
      </c>
      <c r="D29" s="17">
        <v>41</v>
      </c>
      <c r="E29" s="17">
        <v>1</v>
      </c>
      <c r="F29" s="18">
        <v>1010.04</v>
      </c>
      <c r="G29" s="18">
        <v>-102.95</v>
      </c>
      <c r="H29" s="32">
        <f t="shared" si="1"/>
        <v>0.10192665637004476</v>
      </c>
      <c r="I29" s="32">
        <f t="shared" si="2"/>
        <v>6.0214183201009054E-2</v>
      </c>
      <c r="J29" s="33">
        <f t="shared" si="5"/>
        <v>60.81873360034718</v>
      </c>
      <c r="K29" s="33">
        <f t="shared" si="3"/>
        <v>1.4833837463499313</v>
      </c>
      <c r="L29" s="17">
        <v>125</v>
      </c>
      <c r="M29" s="34">
        <f t="shared" si="6"/>
        <v>0.32800000000000001</v>
      </c>
      <c r="N29" s="17">
        <v>543</v>
      </c>
      <c r="O29" s="35">
        <f t="shared" ref="O29:P29" si="37">D29/7</f>
        <v>5.8571428571428568</v>
      </c>
      <c r="P29" s="35">
        <f t="shared" si="37"/>
        <v>0.14285714285714285</v>
      </c>
      <c r="Q29" s="30">
        <f t="shared" si="8"/>
        <v>90</v>
      </c>
      <c r="R29" s="30"/>
      <c r="S29" s="22">
        <v>1.4823815309842041</v>
      </c>
      <c r="T29" s="15">
        <v>232</v>
      </c>
      <c r="U29" s="23" t="s">
        <v>56</v>
      </c>
      <c r="V29" s="1" t="s">
        <v>56</v>
      </c>
      <c r="W29" s="15">
        <v>2</v>
      </c>
      <c r="X29" s="39">
        <f t="shared" si="9"/>
        <v>4.878048780487805E-2</v>
      </c>
      <c r="Y29" s="40">
        <f t="shared" si="10"/>
        <v>4.1180000000000003</v>
      </c>
      <c r="Z29" s="15">
        <v>23</v>
      </c>
      <c r="AA29" s="29" t="s">
        <v>58</v>
      </c>
      <c r="AB29" s="41">
        <f t="shared" si="11"/>
        <v>-0.69</v>
      </c>
      <c r="AC29" s="42">
        <v>0.23843065393518523</v>
      </c>
      <c r="AD29" s="40">
        <f t="shared" si="12"/>
        <v>-13.490406399652779</v>
      </c>
      <c r="AE29" s="26">
        <v>-7.48</v>
      </c>
      <c r="AF29" s="26">
        <v>-9.1364599999999996</v>
      </c>
      <c r="AG29" s="26">
        <v>0</v>
      </c>
    </row>
    <row r="30" spans="1:33" ht="15.75" customHeight="1" x14ac:dyDescent="0.2">
      <c r="A30" s="15" t="s">
        <v>78</v>
      </c>
      <c r="B30" s="15" t="s">
        <v>506</v>
      </c>
      <c r="C30" s="16">
        <f t="shared" si="4"/>
        <v>23.22461538461539</v>
      </c>
      <c r="D30" s="17">
        <v>26</v>
      </c>
      <c r="E30" s="17">
        <v>2</v>
      </c>
      <c r="F30" s="18">
        <v>603.84000000000015</v>
      </c>
      <c r="G30" s="18">
        <v>-37.15</v>
      </c>
      <c r="H30" s="32">
        <f t="shared" si="1"/>
        <v>6.1522919978802312E-2</v>
      </c>
      <c r="I30" s="32">
        <f t="shared" si="2"/>
        <v>9.0819646825824607E-2</v>
      </c>
      <c r="J30" s="33">
        <f t="shared" si="5"/>
        <v>54.840535539305947</v>
      </c>
      <c r="K30" s="33">
        <f t="shared" si="3"/>
        <v>2.1092513668963826</v>
      </c>
      <c r="L30" s="17">
        <v>71</v>
      </c>
      <c r="M30" s="34">
        <f t="shared" si="6"/>
        <v>0.36619718309859156</v>
      </c>
      <c r="N30" s="17">
        <v>502</v>
      </c>
      <c r="O30" s="35">
        <f t="shared" ref="O30:P30" si="38">D30/7</f>
        <v>3.7142857142857144</v>
      </c>
      <c r="P30" s="35">
        <f t="shared" si="38"/>
        <v>0.2857142857142857</v>
      </c>
      <c r="Q30" s="30">
        <f t="shared" si="8"/>
        <v>125</v>
      </c>
      <c r="R30" s="30"/>
      <c r="S30" s="22">
        <v>0.8725289706884799</v>
      </c>
      <c r="T30" s="29">
        <v>232</v>
      </c>
      <c r="U30" s="37" t="s">
        <v>56</v>
      </c>
      <c r="V30" s="38" t="s">
        <v>56</v>
      </c>
      <c r="W30" s="15">
        <v>4</v>
      </c>
      <c r="X30" s="39">
        <f t="shared" si="9"/>
        <v>0.15384615384615385</v>
      </c>
      <c r="Y30" s="40">
        <f t="shared" si="10"/>
        <v>4.1277777777777773</v>
      </c>
      <c r="Z30" s="15">
        <v>5</v>
      </c>
      <c r="AA30" s="29" t="s">
        <v>58</v>
      </c>
      <c r="AB30" s="41">
        <f t="shared" si="11"/>
        <v>-0.69</v>
      </c>
      <c r="AC30" s="42">
        <v>0.23843065393518523</v>
      </c>
      <c r="AD30" s="40">
        <f t="shared" si="12"/>
        <v>-8.5548918631944453</v>
      </c>
      <c r="AE30" s="26">
        <v>-7.48</v>
      </c>
      <c r="AF30" s="26">
        <v>-8.3937912537499901</v>
      </c>
      <c r="AG30" s="26">
        <v>0</v>
      </c>
    </row>
    <row r="31" spans="1:33" ht="15.75" customHeight="1" x14ac:dyDescent="0.2">
      <c r="A31" s="15" t="s">
        <v>55</v>
      </c>
      <c r="B31" s="15" t="s">
        <v>875</v>
      </c>
      <c r="C31" s="16">
        <f t="shared" si="4"/>
        <v>25.167846153846181</v>
      </c>
      <c r="D31" s="17">
        <v>65</v>
      </c>
      <c r="E31" s="17">
        <v>0</v>
      </c>
      <c r="F31" s="18">
        <v>1635.9100000000017</v>
      </c>
      <c r="G31" s="43">
        <v>-280.77000000000004</v>
      </c>
      <c r="H31" s="32">
        <f t="shared" si="1"/>
        <v>0.1716292461076708</v>
      </c>
      <c r="I31" s="32">
        <f t="shared" si="2"/>
        <v>3.4580043430424187E-2</v>
      </c>
      <c r="J31" s="33">
        <f t="shared" si="5"/>
        <v>56.569838848265292</v>
      </c>
      <c r="K31" s="33">
        <f t="shared" si="3"/>
        <v>0.87030521305023523</v>
      </c>
      <c r="L31" s="17">
        <v>186</v>
      </c>
      <c r="M31" s="34">
        <f t="shared" si="6"/>
        <v>0.34946236559139787</v>
      </c>
      <c r="N31" s="17">
        <v>442</v>
      </c>
      <c r="O31" s="35">
        <f t="shared" ref="O31:P31" si="39">D31/7</f>
        <v>9.2857142857142865</v>
      </c>
      <c r="P31" s="35">
        <f t="shared" si="39"/>
        <v>0</v>
      </c>
      <c r="Q31" s="30">
        <f t="shared" si="8"/>
        <v>47</v>
      </c>
      <c r="R31" s="30"/>
      <c r="S31" s="22">
        <v>1.0074074074074</v>
      </c>
      <c r="T31" s="15">
        <v>232</v>
      </c>
      <c r="U31" s="23" t="s">
        <v>56</v>
      </c>
      <c r="V31" s="1" t="s">
        <v>876</v>
      </c>
      <c r="W31" s="15">
        <v>13</v>
      </c>
      <c r="X31" s="39">
        <f t="shared" si="9"/>
        <v>0.2</v>
      </c>
      <c r="Y31" s="40">
        <f t="shared" si="10"/>
        <v>6.2393333333333345</v>
      </c>
      <c r="Z31" s="15">
        <v>32</v>
      </c>
      <c r="AA31" s="15" t="s">
        <v>58</v>
      </c>
      <c r="AB31" s="41">
        <f t="shared" si="11"/>
        <v>-0.69</v>
      </c>
      <c r="AC31" s="28">
        <v>0.23843065393518523</v>
      </c>
      <c r="AD31" s="40">
        <f t="shared" si="12"/>
        <v>-21.387229657986115</v>
      </c>
      <c r="AE31" s="44">
        <v>-7.48</v>
      </c>
      <c r="AF31" s="44">
        <v>-8.393791253749999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25.402978723404257</v>
      </c>
      <c r="D32" s="17">
        <v>47</v>
      </c>
      <c r="E32" s="17">
        <v>1</v>
      </c>
      <c r="F32" s="18">
        <v>1193.94</v>
      </c>
      <c r="G32" s="18">
        <v>-174.09</v>
      </c>
      <c r="H32" s="32">
        <f t="shared" si="1"/>
        <v>0.14581134730388462</v>
      </c>
      <c r="I32" s="32">
        <f t="shared" si="2"/>
        <v>6.6356934904194809E-2</v>
      </c>
      <c r="J32" s="33">
        <f t="shared" si="5"/>
        <v>79.226198859514355</v>
      </c>
      <c r="K32" s="33">
        <f t="shared" si="3"/>
        <v>1.685663805521582</v>
      </c>
      <c r="L32" s="17">
        <v>152</v>
      </c>
      <c r="M32" s="34">
        <f t="shared" si="6"/>
        <v>0.30921052631578949</v>
      </c>
      <c r="N32" s="17">
        <v>379</v>
      </c>
      <c r="O32" s="35">
        <f t="shared" ref="O32:P32" si="40">D32/7</f>
        <v>6.7142857142857144</v>
      </c>
      <c r="P32" s="35">
        <f t="shared" si="40"/>
        <v>0.14285714285714285</v>
      </c>
      <c r="Q32" s="30">
        <f t="shared" si="8"/>
        <v>55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1.45950864422202</v>
      </c>
      <c r="T32" s="15">
        <f ca="1">IFERROR(__xludf.DUMMYFUNCTION("IFERROR(VLOOKUP($B$2,IMPORTRANGE(""https://docs.google.com/spreadsheets/d/1KiWZV1ko8G7lnRucBRBd29jj3Be6ltMfljMDqzOkQmI/edit#gid=1381463014"",""Lookup!A:D""),4,FALSE),"""")"),232)</f>
        <v>232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232 At Factory 50-75 days from Earliest Arrival")</f>
        <v>No Transit, But 232 At Factory 50-75 days from Earliest Arrival</v>
      </c>
      <c r="W32" s="15">
        <v>7</v>
      </c>
      <c r="X32" s="39">
        <f t="shared" si="9"/>
        <v>0.14893617021276595</v>
      </c>
      <c r="Y32" s="40">
        <f t="shared" si="10"/>
        <v>5.1202941176470587</v>
      </c>
      <c r="Z32" s="15">
        <v>27</v>
      </c>
      <c r="AA32" s="15" t="s">
        <v>58</v>
      </c>
      <c r="AB32" s="41">
        <f t="shared" si="11"/>
        <v>-0.69</v>
      </c>
      <c r="AC32" s="28">
        <v>0.23843065393518523</v>
      </c>
      <c r="AD32" s="40">
        <f t="shared" si="12"/>
        <v>-15.464612214236112</v>
      </c>
      <c r="AE32" s="26">
        <v>-7.48</v>
      </c>
      <c r="AF32" s="26">
        <v>-8.3937912537499901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60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Info!B1:BJ7000""),3,FALSE),"""")"),"Professional Cornhole Bags - Set of 8 Regulation All Weather Two Sided Bean Bags for Pro Corn Hole Game - 4 Yellow &amp; 4 Black")</f>
        <v>Professional Cornhole Bags - Set of 8 Regulation All Weather Two Sided Bean Bags for Pro Corn Hole Game - 4 Yellow &amp; 4 Black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Info!B1:BJ7000""),2,FALSE),"""")"),"B07ZTN4RPR")</f>
        <v>B07ZTN4RPR</v>
      </c>
      <c r="B2" s="47" t="s">
        <v>877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18.32210735735293</v>
      </c>
      <c r="D3" s="5">
        <f>SUM(D4:D99765)</f>
        <v>546</v>
      </c>
      <c r="E3" s="5"/>
      <c r="F3" s="6">
        <f t="shared" ref="F3:G3" si="0">SUM(F4:F99765)</f>
        <v>15615.500000000007</v>
      </c>
      <c r="G3" s="6">
        <f t="shared" si="0"/>
        <v>-671.18000000000006</v>
      </c>
      <c r="H3" s="7">
        <f t="shared" ref="H3:H32" si="1">G3/F3*-1</f>
        <v>4.2981652844929705E-2</v>
      </c>
      <c r="I3" s="8">
        <f t="shared" ref="I3:I32" si="2">J3/F3</f>
        <v>0.23646421035428047</v>
      </c>
      <c r="J3" s="6">
        <f>SUM(J4:J99765)</f>
        <v>3692.5068767872685</v>
      </c>
      <c r="K3" s="6">
        <f t="shared" ref="K3:K32" si="3">J3/D3</f>
        <v>6.7628331076689898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4 - April
4 - May
12.5 - June
9.5 - July
3.5 - Aug
3 - Sept
2 - Oct
2.5 - Nov
2.5 - Dec
1 - Jan
1.5 - Feb")</f>
        <v>3 - March
4 - April
4 - May
12.5 - June
9.5 - July
3.5 - Aug
3 - Sept
2 - Oct
2.5 - Nov
2.5 - Dec
1 -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QTY-55")</f>
        <v>Del QTY-55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43</v>
      </c>
      <c r="X3" s="7">
        <f>W3/D3</f>
        <v>7.8754578754578752E-2</v>
      </c>
      <c r="Y3" s="6"/>
      <c r="Z3" s="5"/>
      <c r="AA3" s="5"/>
      <c r="AB3" s="5"/>
      <c r="AC3" s="5"/>
      <c r="AD3" s="6">
        <f>SUM(AD4:AD99765)</f>
        <v>-168.01083260763886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487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>
        <v>2.7706013363028901</v>
      </c>
      <c r="T4" s="15">
        <v>976</v>
      </c>
      <c r="U4" s="23">
        <v>176</v>
      </c>
      <c r="V4" s="24" t="s">
        <v>878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-7.132597435897436</v>
      </c>
      <c r="AG4" s="26">
        <v>0</v>
      </c>
    </row>
    <row r="5" spans="1:33" ht="15.75" customHeight="1" x14ac:dyDescent="0.2">
      <c r="A5" s="29" t="s">
        <v>33</v>
      </c>
      <c r="B5" s="15" t="s">
        <v>487</v>
      </c>
      <c r="C5" s="16">
        <f t="shared" si="4"/>
        <v>30.85</v>
      </c>
      <c r="D5" s="30">
        <v>1</v>
      </c>
      <c r="E5" s="30">
        <v>0</v>
      </c>
      <c r="F5" s="31">
        <v>30.85</v>
      </c>
      <c r="G5" s="31">
        <v>0</v>
      </c>
      <c r="H5" s="32">
        <f t="shared" si="1"/>
        <v>0</v>
      </c>
      <c r="I5" s="32">
        <f t="shared" si="2"/>
        <v>0.37154497776669576</v>
      </c>
      <c r="J5" s="33">
        <f t="shared" si="5"/>
        <v>11.462162564102565</v>
      </c>
      <c r="K5" s="33">
        <f t="shared" si="3"/>
        <v>11.462162564102565</v>
      </c>
      <c r="L5" s="30">
        <v>7</v>
      </c>
      <c r="M5" s="34">
        <f t="shared" si="6"/>
        <v>0.14285714285714285</v>
      </c>
      <c r="N5" s="30">
        <v>0</v>
      </c>
      <c r="O5" s="35">
        <f t="shared" ref="O5:P5" si="13">D5/7</f>
        <v>0.14285714285714285</v>
      </c>
      <c r="P5" s="35">
        <f t="shared" si="13"/>
        <v>0</v>
      </c>
      <c r="Q5" s="30">
        <f t="shared" si="8"/>
        <v>0</v>
      </c>
      <c r="R5" s="30"/>
      <c r="S5" s="36" t="e">
        <v>#N/A</v>
      </c>
      <c r="T5" s="29">
        <v>976</v>
      </c>
      <c r="U5" s="37">
        <v>176</v>
      </c>
      <c r="V5" s="38" t="s">
        <v>879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58</v>
      </c>
      <c r="AB5" s="41">
        <f t="shared" si="11"/>
        <v>-0.69</v>
      </c>
      <c r="AC5" s="42">
        <v>0.223</v>
      </c>
      <c r="AD5" s="40">
        <f t="shared" si="12"/>
        <v>-0.30773999999999996</v>
      </c>
      <c r="AE5" s="40">
        <v>-7.32</v>
      </c>
      <c r="AF5" s="40">
        <v>-7.132597435897436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976</v>
      </c>
      <c r="U6" s="37">
        <v>176</v>
      </c>
      <c r="V6" s="38" t="s">
        <v>880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-7.132597435897436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976</v>
      </c>
      <c r="U7" s="37">
        <v>176</v>
      </c>
      <c r="V7" s="38" t="s">
        <v>880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-7.132597435897436</v>
      </c>
      <c r="AG7" s="40">
        <v>0</v>
      </c>
    </row>
    <row r="8" spans="1:33" ht="15.75" customHeight="1" x14ac:dyDescent="0.2">
      <c r="A8" s="29" t="s">
        <v>36</v>
      </c>
      <c r="B8" s="29" t="s">
        <v>881</v>
      </c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1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976</v>
      </c>
      <c r="U8" s="37">
        <v>176</v>
      </c>
      <c r="V8" s="38" t="s">
        <v>882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-7.13</v>
      </c>
      <c r="AG8" s="40">
        <v>0</v>
      </c>
    </row>
    <row r="9" spans="1:33" ht="15.75" customHeight="1" x14ac:dyDescent="0.2">
      <c r="A9" s="29" t="s">
        <v>37</v>
      </c>
      <c r="B9" s="29" t="s">
        <v>179</v>
      </c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1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>
        <v>4.3333333333333304</v>
      </c>
      <c r="T9" s="29">
        <v>976</v>
      </c>
      <c r="U9" s="37">
        <v>176</v>
      </c>
      <c r="V9" s="38" t="s">
        <v>883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58</v>
      </c>
      <c r="AB9" s="41">
        <f t="shared" si="11"/>
        <v>-0.69</v>
      </c>
      <c r="AC9" s="42">
        <v>0.22297978009259259</v>
      </c>
      <c r="AD9" s="40">
        <f t="shared" si="12"/>
        <v>0</v>
      </c>
      <c r="AE9" s="40">
        <v>-7.32</v>
      </c>
      <c r="AF9" s="40">
        <v>-7.4858025641025598</v>
      </c>
      <c r="AG9" s="40">
        <v>0</v>
      </c>
    </row>
    <row r="10" spans="1:33" ht="15.75" customHeight="1" x14ac:dyDescent="0.2">
      <c r="A10" s="29" t="s">
        <v>38</v>
      </c>
      <c r="B10" s="29" t="s">
        <v>179</v>
      </c>
      <c r="C10" s="16">
        <f t="shared" si="4"/>
        <v>29.99</v>
      </c>
      <c r="D10" s="30">
        <v>1</v>
      </c>
      <c r="E10" s="30">
        <v>0</v>
      </c>
      <c r="F10" s="31">
        <v>29.99</v>
      </c>
      <c r="G10" s="31">
        <v>0</v>
      </c>
      <c r="H10" s="32">
        <f t="shared" si="1"/>
        <v>0</v>
      </c>
      <c r="I10" s="32">
        <f t="shared" si="2"/>
        <v>0.34604819404366993</v>
      </c>
      <c r="J10" s="33">
        <f t="shared" si="5"/>
        <v>10.37798533936966</v>
      </c>
      <c r="K10" s="33">
        <f t="shared" si="3"/>
        <v>10.37798533936966</v>
      </c>
      <c r="L10" s="30">
        <v>9</v>
      </c>
      <c r="M10" s="34">
        <f t="shared" si="6"/>
        <v>0.1111111111111111</v>
      </c>
      <c r="N10" s="30">
        <v>0</v>
      </c>
      <c r="O10" s="35">
        <f t="shared" ref="O10:P10" si="18">D10/7</f>
        <v>0.14285714285714285</v>
      </c>
      <c r="P10" s="35">
        <f t="shared" si="18"/>
        <v>0</v>
      </c>
      <c r="Q10" s="30">
        <f t="shared" si="8"/>
        <v>0</v>
      </c>
      <c r="R10" s="30"/>
      <c r="S10" s="36" t="e">
        <v>#N/A</v>
      </c>
      <c r="T10" s="29">
        <v>1056</v>
      </c>
      <c r="U10" s="37">
        <v>176</v>
      </c>
      <c r="V10" s="38" t="s">
        <v>884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58</v>
      </c>
      <c r="AB10" s="41">
        <f t="shared" si="11"/>
        <v>-0.69</v>
      </c>
      <c r="AC10" s="42">
        <v>0.22297978009259259</v>
      </c>
      <c r="AD10" s="40">
        <f t="shared" si="12"/>
        <v>-0.30771209652777776</v>
      </c>
      <c r="AE10" s="40">
        <v>-7.32</v>
      </c>
      <c r="AF10" s="40">
        <v>-7.4858025641025598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1628</v>
      </c>
      <c r="U11" s="37">
        <v>176</v>
      </c>
      <c r="V11" s="38" t="s">
        <v>885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-7.4858025641025598</v>
      </c>
      <c r="AG11" s="40">
        <v>0</v>
      </c>
    </row>
    <row r="12" spans="1:33" ht="15.75" customHeight="1" x14ac:dyDescent="0.2">
      <c r="A12" s="29" t="s">
        <v>40</v>
      </c>
      <c r="B12" s="29" t="s">
        <v>886</v>
      </c>
      <c r="C12" s="16">
        <f t="shared" si="4"/>
        <v>29.99</v>
      </c>
      <c r="D12" s="30">
        <v>3</v>
      </c>
      <c r="E12" s="30">
        <v>0</v>
      </c>
      <c r="F12" s="31">
        <v>89.97</v>
      </c>
      <c r="G12" s="31">
        <v>0</v>
      </c>
      <c r="H12" s="32">
        <f t="shared" si="1"/>
        <v>0</v>
      </c>
      <c r="I12" s="32">
        <f t="shared" si="2"/>
        <v>0.3431412421537236</v>
      </c>
      <c r="J12" s="33">
        <f t="shared" si="5"/>
        <v>30.872417556570511</v>
      </c>
      <c r="K12" s="33">
        <f t="shared" si="3"/>
        <v>10.29080585219017</v>
      </c>
      <c r="L12" s="30">
        <v>0</v>
      </c>
      <c r="M12" s="34" t="str">
        <f t="shared" si="6"/>
        <v>-</v>
      </c>
      <c r="N12" s="30">
        <v>35</v>
      </c>
      <c r="O12" s="35">
        <f t="shared" ref="O12:P12" si="20">D12/7</f>
        <v>0.42857142857142855</v>
      </c>
      <c r="P12" s="35">
        <f t="shared" si="20"/>
        <v>0</v>
      </c>
      <c r="Q12" s="30">
        <f t="shared" si="8"/>
        <v>81</v>
      </c>
      <c r="R12" s="30"/>
      <c r="S12" s="36">
        <v>2.7593582887700498</v>
      </c>
      <c r="T12" s="29">
        <v>652</v>
      </c>
      <c r="U12" s="37">
        <v>188</v>
      </c>
      <c r="V12" s="38" t="s">
        <v>887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58</v>
      </c>
      <c r="AB12" s="41">
        <f t="shared" si="11"/>
        <v>-0.69</v>
      </c>
      <c r="AC12" s="42">
        <v>0.22297978009259259</v>
      </c>
      <c r="AD12" s="40">
        <f t="shared" si="12"/>
        <v>-0.92313628958333327</v>
      </c>
      <c r="AE12" s="40">
        <v>-7.32</v>
      </c>
      <c r="AF12" s="40">
        <v>-7.5729820512820503</v>
      </c>
      <c r="AG12" s="40">
        <v>0</v>
      </c>
    </row>
    <row r="13" spans="1:33" ht="15.75" customHeight="1" x14ac:dyDescent="0.2">
      <c r="A13" s="29" t="s">
        <v>41</v>
      </c>
      <c r="B13" s="29" t="s">
        <v>888</v>
      </c>
      <c r="C13" s="16">
        <f t="shared" si="4"/>
        <v>30.542499999999997</v>
      </c>
      <c r="D13" s="30">
        <v>8</v>
      </c>
      <c r="E13" s="30">
        <v>0</v>
      </c>
      <c r="F13" s="33">
        <v>244.33999999999997</v>
      </c>
      <c r="G13" s="31">
        <v>0</v>
      </c>
      <c r="H13" s="32">
        <f t="shared" si="1"/>
        <v>0</v>
      </c>
      <c r="I13" s="32">
        <f t="shared" si="2"/>
        <v>0.34580381119660208</v>
      </c>
      <c r="J13" s="33">
        <f t="shared" si="5"/>
        <v>84.493703227777743</v>
      </c>
      <c r="K13" s="33">
        <f t="shared" si="3"/>
        <v>10.561712903472218</v>
      </c>
      <c r="L13" s="30">
        <v>18</v>
      </c>
      <c r="M13" s="34">
        <f t="shared" si="6"/>
        <v>0.44444444444444442</v>
      </c>
      <c r="N13" s="30">
        <v>26</v>
      </c>
      <c r="O13" s="35">
        <f t="shared" ref="O13:P13" si="21">D13/7</f>
        <v>1.1428571428571428</v>
      </c>
      <c r="P13" s="35">
        <f t="shared" si="21"/>
        <v>0</v>
      </c>
      <c r="Q13" s="30">
        <f t="shared" si="8"/>
        <v>22</v>
      </c>
      <c r="R13" s="30"/>
      <c r="S13" s="36">
        <v>2.9112426035502899</v>
      </c>
      <c r="T13" s="29">
        <v>652</v>
      </c>
      <c r="U13" s="37">
        <v>188</v>
      </c>
      <c r="V13" s="38" t="s">
        <v>889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58</v>
      </c>
      <c r="AB13" s="41">
        <f t="shared" si="11"/>
        <v>-0.69</v>
      </c>
      <c r="AC13" s="42">
        <v>0.22297978009259259</v>
      </c>
      <c r="AD13" s="40">
        <f t="shared" si="12"/>
        <v>-2.4616967722222221</v>
      </c>
      <c r="AE13" s="40">
        <v>-7.32</v>
      </c>
      <c r="AF13" s="40">
        <v>-7.7717000000000001</v>
      </c>
      <c r="AG13" s="40">
        <v>0</v>
      </c>
    </row>
    <row r="14" spans="1:33" ht="15.75" customHeight="1" x14ac:dyDescent="0.2">
      <c r="A14" s="29" t="s">
        <v>42</v>
      </c>
      <c r="B14" s="29" t="s">
        <v>179</v>
      </c>
      <c r="C14" s="16">
        <f t="shared" si="4"/>
        <v>33.391764705882352</v>
      </c>
      <c r="D14" s="30">
        <v>17</v>
      </c>
      <c r="E14" s="30">
        <v>1</v>
      </c>
      <c r="F14" s="33">
        <v>567.66</v>
      </c>
      <c r="G14" s="31">
        <v>0</v>
      </c>
      <c r="H14" s="32">
        <f t="shared" si="1"/>
        <v>0</v>
      </c>
      <c r="I14" s="32">
        <f t="shared" si="2"/>
        <v>0.38882604791429332</v>
      </c>
      <c r="J14" s="33">
        <f t="shared" si="5"/>
        <v>220.72099435902774</v>
      </c>
      <c r="K14" s="33">
        <f t="shared" si="3"/>
        <v>12.98358790347222</v>
      </c>
      <c r="L14" s="30">
        <v>41</v>
      </c>
      <c r="M14" s="34">
        <f t="shared" si="6"/>
        <v>0.41463414634146339</v>
      </c>
      <c r="N14" s="30">
        <v>7</v>
      </c>
      <c r="O14" s="35">
        <f t="shared" ref="O14:P14" si="22">D14/7</f>
        <v>2.4285714285714284</v>
      </c>
      <c r="P14" s="35">
        <f t="shared" si="22"/>
        <v>0.14285714285714285</v>
      </c>
      <c r="Q14" s="30">
        <f t="shared" si="8"/>
        <v>2</v>
      </c>
      <c r="R14" s="30"/>
      <c r="S14" s="36">
        <v>4.4800000000000004</v>
      </c>
      <c r="T14" s="29">
        <v>652</v>
      </c>
      <c r="U14" s="37">
        <v>188</v>
      </c>
      <c r="V14" s="38" t="s">
        <v>889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58</v>
      </c>
      <c r="AB14" s="41">
        <f t="shared" si="11"/>
        <v>-0.69</v>
      </c>
      <c r="AC14" s="42">
        <v>0.22297978009259259</v>
      </c>
      <c r="AD14" s="40">
        <f t="shared" si="12"/>
        <v>-5.2311056409722223</v>
      </c>
      <c r="AE14" s="40">
        <v>-7.32</v>
      </c>
      <c r="AF14" s="40">
        <v>-7.7717000000000001</v>
      </c>
      <c r="AG14" s="40">
        <v>0</v>
      </c>
    </row>
    <row r="15" spans="1:33" ht="15.75" customHeight="1" x14ac:dyDescent="0.2">
      <c r="A15" s="29" t="s">
        <v>43</v>
      </c>
      <c r="B15" s="15" t="s">
        <v>487</v>
      </c>
      <c r="C15" s="16">
        <f t="shared" si="4"/>
        <v>34.4</v>
      </c>
      <c r="D15" s="30">
        <v>2</v>
      </c>
      <c r="E15" s="30">
        <v>1</v>
      </c>
      <c r="F15" s="33">
        <v>68.8</v>
      </c>
      <c r="G15" s="31">
        <v>0</v>
      </c>
      <c r="H15" s="32">
        <f t="shared" si="1"/>
        <v>0</v>
      </c>
      <c r="I15" s="32">
        <f t="shared" si="2"/>
        <v>0.4023426716125646</v>
      </c>
      <c r="J15" s="33">
        <f t="shared" si="5"/>
        <v>27.681175806944442</v>
      </c>
      <c r="K15" s="33">
        <f t="shared" si="3"/>
        <v>13.840587903472221</v>
      </c>
      <c r="L15" s="30">
        <v>18</v>
      </c>
      <c r="M15" s="34">
        <f t="shared" si="6"/>
        <v>0.1111111111111111</v>
      </c>
      <c r="N15" s="30">
        <v>0</v>
      </c>
      <c r="O15" s="35">
        <f t="shared" ref="O15:P15" si="23">D15/7</f>
        <v>0.2857142857142857</v>
      </c>
      <c r="P15" s="35">
        <f t="shared" si="23"/>
        <v>0.14285714285714285</v>
      </c>
      <c r="Q15" s="30">
        <f t="shared" si="8"/>
        <v>0</v>
      </c>
      <c r="R15" s="30"/>
      <c r="S15" s="36">
        <v>6.2666666666666604</v>
      </c>
      <c r="T15" s="29">
        <v>652</v>
      </c>
      <c r="U15" s="37">
        <v>188</v>
      </c>
      <c r="V15" s="38" t="s">
        <v>889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58</v>
      </c>
      <c r="AB15" s="41">
        <f t="shared" si="11"/>
        <v>-0.69</v>
      </c>
      <c r="AC15" s="42">
        <v>0.22297978009259259</v>
      </c>
      <c r="AD15" s="40">
        <f t="shared" si="12"/>
        <v>-0.61542419305555551</v>
      </c>
      <c r="AE15" s="40">
        <v>-7.32</v>
      </c>
      <c r="AF15" s="40">
        <v>-7.7717000000000001</v>
      </c>
      <c r="AG15" s="40">
        <v>0</v>
      </c>
    </row>
    <row r="16" spans="1:33" ht="15.75" customHeight="1" x14ac:dyDescent="0.2">
      <c r="A16" s="29" t="s">
        <v>44</v>
      </c>
      <c r="B16" s="29"/>
      <c r="C16" s="16">
        <f t="shared" si="4"/>
        <v>34.08</v>
      </c>
      <c r="D16" s="30">
        <v>1</v>
      </c>
      <c r="E16" s="30">
        <v>0</v>
      </c>
      <c r="F16" s="33">
        <v>34.08</v>
      </c>
      <c r="G16" s="31">
        <v>0</v>
      </c>
      <c r="H16" s="32">
        <f t="shared" si="1"/>
        <v>0</v>
      </c>
      <c r="I16" s="32">
        <f t="shared" si="2"/>
        <v>0.35809354176855102</v>
      </c>
      <c r="J16" s="33">
        <f t="shared" si="5"/>
        <v>12.203827903472218</v>
      </c>
      <c r="K16" s="33">
        <f t="shared" si="3"/>
        <v>12.203827903472218</v>
      </c>
      <c r="L16" s="30">
        <v>3</v>
      </c>
      <c r="M16" s="34">
        <f t="shared" si="6"/>
        <v>0.33333333333333331</v>
      </c>
      <c r="N16" s="30">
        <v>0</v>
      </c>
      <c r="O16" s="35">
        <f t="shared" ref="O16:P16" si="24">D16/7</f>
        <v>0.14285714285714285</v>
      </c>
      <c r="P16" s="35">
        <f t="shared" si="24"/>
        <v>0</v>
      </c>
      <c r="Q16" s="30">
        <f t="shared" si="8"/>
        <v>0</v>
      </c>
      <c r="R16" s="30"/>
      <c r="S16" s="36">
        <v>7.4285714285714199</v>
      </c>
      <c r="T16" s="29">
        <v>652</v>
      </c>
      <c r="U16" s="37">
        <v>188</v>
      </c>
      <c r="V16" s="38" t="s">
        <v>890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58</v>
      </c>
      <c r="AB16" s="41">
        <f t="shared" si="11"/>
        <v>-0.69</v>
      </c>
      <c r="AC16" s="42">
        <v>0.22297978009259259</v>
      </c>
      <c r="AD16" s="40">
        <f t="shared" si="12"/>
        <v>-0.30771209652777776</v>
      </c>
      <c r="AE16" s="40">
        <v>-7.32</v>
      </c>
      <c r="AF16" s="40">
        <v>-9.1364599999999996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>
        <v>2.9787234042553101</v>
      </c>
      <c r="T17" s="29">
        <v>652</v>
      </c>
      <c r="U17" s="37">
        <v>188</v>
      </c>
      <c r="V17" s="38" t="s">
        <v>891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-9.1364599999999996</v>
      </c>
      <c r="AG17" s="40">
        <v>0</v>
      </c>
    </row>
    <row r="18" spans="1:33" ht="15.75" customHeight="1" x14ac:dyDescent="0.2">
      <c r="A18" s="29" t="s">
        <v>46</v>
      </c>
      <c r="B18" s="29" t="s">
        <v>127</v>
      </c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1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>
        <v>4.8571428571428497</v>
      </c>
      <c r="T18" s="29">
        <v>1412</v>
      </c>
      <c r="U18" s="37">
        <v>188</v>
      </c>
      <c r="V18" s="38" t="s">
        <v>892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-9.1364599999999996</v>
      </c>
      <c r="AG18" s="40">
        <v>0</v>
      </c>
    </row>
    <row r="19" spans="1:33" ht="15.75" customHeight="1" x14ac:dyDescent="0.2">
      <c r="A19" s="29" t="s">
        <v>47</v>
      </c>
      <c r="B19" s="29" t="s">
        <v>179</v>
      </c>
      <c r="C19" s="16">
        <f t="shared" si="4"/>
        <v>34.950000000000003</v>
      </c>
      <c r="D19" s="30">
        <v>2</v>
      </c>
      <c r="E19" s="30">
        <v>0</v>
      </c>
      <c r="F19" s="33">
        <v>69.900000000000006</v>
      </c>
      <c r="G19" s="31">
        <v>0</v>
      </c>
      <c r="H19" s="32">
        <f t="shared" si="1"/>
        <v>0</v>
      </c>
      <c r="I19" s="32">
        <f t="shared" si="2"/>
        <v>0.37033842356143704</v>
      </c>
      <c r="J19" s="33">
        <f t="shared" si="5"/>
        <v>25.88665580694445</v>
      </c>
      <c r="K19" s="33">
        <f t="shared" si="3"/>
        <v>12.943327903472225</v>
      </c>
      <c r="L19" s="30">
        <v>16</v>
      </c>
      <c r="M19" s="34">
        <f t="shared" si="6"/>
        <v>0.125</v>
      </c>
      <c r="N19" s="30">
        <v>0</v>
      </c>
      <c r="O19" s="35">
        <f t="shared" ref="O19:P19" si="27">D19/7</f>
        <v>0.2857142857142857</v>
      </c>
      <c r="P19" s="35">
        <f t="shared" si="27"/>
        <v>0</v>
      </c>
      <c r="Q19" s="30">
        <f t="shared" si="8"/>
        <v>0</v>
      </c>
      <c r="R19" s="30"/>
      <c r="S19" s="36" t="e">
        <v>#N/A</v>
      </c>
      <c r="T19" s="29">
        <v>1412</v>
      </c>
      <c r="U19" s="37">
        <v>188</v>
      </c>
      <c r="V19" s="38" t="s">
        <v>893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58</v>
      </c>
      <c r="AB19" s="41">
        <f t="shared" si="11"/>
        <v>-0.69</v>
      </c>
      <c r="AC19" s="42">
        <v>0.22297978009259259</v>
      </c>
      <c r="AD19" s="40">
        <f t="shared" si="12"/>
        <v>-0.61542419305555551</v>
      </c>
      <c r="AE19" s="40">
        <v>-7.32</v>
      </c>
      <c r="AF19" s="40">
        <v>-9.1364599999999996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1412</v>
      </c>
      <c r="U20" s="37">
        <v>188</v>
      </c>
      <c r="V20" s="38" t="s">
        <v>894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-9.1364599999999996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1812</v>
      </c>
      <c r="U21" s="37">
        <v>188</v>
      </c>
      <c r="V21" s="38" t="s">
        <v>895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-9.1364599999999996</v>
      </c>
      <c r="AG21" s="40">
        <v>0</v>
      </c>
    </row>
    <row r="22" spans="1:33" ht="15.75" customHeight="1" x14ac:dyDescent="0.2">
      <c r="A22" s="29" t="s">
        <v>50</v>
      </c>
      <c r="B22" s="29" t="s">
        <v>896</v>
      </c>
      <c r="C22" s="16">
        <f t="shared" si="4"/>
        <v>34.950000000000003</v>
      </c>
      <c r="D22" s="30">
        <v>1</v>
      </c>
      <c r="E22" s="30">
        <v>0</v>
      </c>
      <c r="F22" s="31">
        <v>34.950000000000003</v>
      </c>
      <c r="G22" s="31">
        <v>0</v>
      </c>
      <c r="H22" s="32">
        <f t="shared" si="1"/>
        <v>0</v>
      </c>
      <c r="I22" s="32">
        <f t="shared" si="2"/>
        <v>0.37033842356143704</v>
      </c>
      <c r="J22" s="33">
        <f t="shared" si="5"/>
        <v>12.943327903472225</v>
      </c>
      <c r="K22" s="33">
        <f t="shared" si="3"/>
        <v>12.943327903472225</v>
      </c>
      <c r="L22" s="30">
        <v>0</v>
      </c>
      <c r="M22" s="34" t="str">
        <f t="shared" si="6"/>
        <v>-</v>
      </c>
      <c r="N22" s="30">
        <v>188</v>
      </c>
      <c r="O22" s="35">
        <f t="shared" ref="O22:P22" si="30">D22/7</f>
        <v>0.14285714285714285</v>
      </c>
      <c r="P22" s="35">
        <f t="shared" si="30"/>
        <v>0</v>
      </c>
      <c r="Q22" s="30">
        <f t="shared" si="8"/>
        <v>1316</v>
      </c>
      <c r="R22" s="30"/>
      <c r="S22" s="36">
        <v>0.67289719626168198</v>
      </c>
      <c r="T22" s="29">
        <v>1624</v>
      </c>
      <c r="U22" s="37">
        <v>464</v>
      </c>
      <c r="V22" s="38" t="s">
        <v>897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58</v>
      </c>
      <c r="AB22" s="41">
        <f t="shared" si="11"/>
        <v>-0.69</v>
      </c>
      <c r="AC22" s="42">
        <v>0.22297978009259259</v>
      </c>
      <c r="AD22" s="40">
        <f t="shared" si="12"/>
        <v>-0.30771209652777776</v>
      </c>
      <c r="AE22" s="40">
        <v>-7.32</v>
      </c>
      <c r="AF22" s="40">
        <v>-9.1364599999999996</v>
      </c>
      <c r="AG22" s="40">
        <v>0</v>
      </c>
    </row>
    <row r="23" spans="1:33" ht="15.75" customHeight="1" x14ac:dyDescent="0.2">
      <c r="A23" s="29" t="s">
        <v>51</v>
      </c>
      <c r="B23" s="29" t="s">
        <v>452</v>
      </c>
      <c r="C23" s="16">
        <f t="shared" si="4"/>
        <v>26.558000000000007</v>
      </c>
      <c r="D23" s="30">
        <v>25</v>
      </c>
      <c r="E23" s="30">
        <v>4</v>
      </c>
      <c r="F23" s="33">
        <v>663.95000000000016</v>
      </c>
      <c r="G23" s="31">
        <v>0</v>
      </c>
      <c r="H23" s="32">
        <f t="shared" si="1"/>
        <v>0</v>
      </c>
      <c r="I23" s="32">
        <f t="shared" si="2"/>
        <v>0.21877128938445004</v>
      </c>
      <c r="J23" s="33">
        <f t="shared" si="5"/>
        <v>145.25319758680564</v>
      </c>
      <c r="K23" s="33">
        <f t="shared" si="3"/>
        <v>5.8101279034722255</v>
      </c>
      <c r="L23" s="30">
        <v>42</v>
      </c>
      <c r="M23" s="34">
        <f t="shared" si="6"/>
        <v>0.59523809523809523</v>
      </c>
      <c r="N23" s="30">
        <v>163</v>
      </c>
      <c r="O23" s="35">
        <f t="shared" ref="O23:P23" si="31">D23/7</f>
        <v>3.5714285714285716</v>
      </c>
      <c r="P23" s="35">
        <f t="shared" si="31"/>
        <v>0.5714285714285714</v>
      </c>
      <c r="Q23" s="30">
        <f t="shared" si="8"/>
        <v>39</v>
      </c>
      <c r="R23" s="30"/>
      <c r="S23" s="36">
        <v>0.90256410256410202</v>
      </c>
      <c r="T23" s="29">
        <v>1624</v>
      </c>
      <c r="U23" s="37">
        <v>464</v>
      </c>
      <c r="V23" s="38" t="s">
        <v>898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58</v>
      </c>
      <c r="AB23" s="41">
        <f t="shared" si="11"/>
        <v>-0.69</v>
      </c>
      <c r="AC23" s="42">
        <v>0.22297978009259259</v>
      </c>
      <c r="AD23" s="40">
        <f t="shared" si="12"/>
        <v>-7.6928024131944444</v>
      </c>
      <c r="AE23" s="40">
        <v>-7.32</v>
      </c>
      <c r="AF23" s="40">
        <v>-9.1364599999999996</v>
      </c>
      <c r="AG23" s="40">
        <v>0</v>
      </c>
    </row>
    <row r="24" spans="1:33" ht="15.75" customHeight="1" x14ac:dyDescent="0.2">
      <c r="A24" s="29" t="s">
        <v>52</v>
      </c>
      <c r="B24" s="29" t="s">
        <v>452</v>
      </c>
      <c r="C24" s="16">
        <f t="shared" si="4"/>
        <v>23.581379310344833</v>
      </c>
      <c r="D24" s="30">
        <v>29</v>
      </c>
      <c r="E24" s="30">
        <v>6</v>
      </c>
      <c r="F24" s="33">
        <v>683.86000000000013</v>
      </c>
      <c r="G24" s="33">
        <v>0</v>
      </c>
      <c r="H24" s="32">
        <f t="shared" si="1"/>
        <v>0</v>
      </c>
      <c r="I24" s="32">
        <f t="shared" si="2"/>
        <v>0.13909281022533046</v>
      </c>
      <c r="J24" s="33">
        <f t="shared" si="5"/>
        <v>95.120009200694511</v>
      </c>
      <c r="K24" s="33">
        <f t="shared" si="3"/>
        <v>3.280000317265328</v>
      </c>
      <c r="L24" s="30">
        <v>60</v>
      </c>
      <c r="M24" s="34">
        <f t="shared" si="6"/>
        <v>0.48333333333333334</v>
      </c>
      <c r="N24" s="30">
        <v>118</v>
      </c>
      <c r="O24" s="35">
        <f t="shared" ref="O24:P24" si="32">D24/7</f>
        <v>4.1428571428571432</v>
      </c>
      <c r="P24" s="35">
        <f t="shared" si="32"/>
        <v>0.8571428571428571</v>
      </c>
      <c r="Q24" s="30">
        <f t="shared" si="8"/>
        <v>23</v>
      </c>
      <c r="R24" s="30"/>
      <c r="S24" s="36">
        <v>2.0263157894736801</v>
      </c>
      <c r="T24" s="29">
        <v>1624</v>
      </c>
      <c r="U24" s="37">
        <v>464</v>
      </c>
      <c r="V24" s="38" t="s">
        <v>898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42">
        <v>0.22297978009259259</v>
      </c>
      <c r="AD24" s="40">
        <f t="shared" si="12"/>
        <v>-8.9236507993055554</v>
      </c>
      <c r="AE24" s="40">
        <v>-7.32</v>
      </c>
      <c r="AF24" s="40">
        <v>-9.1364599999999996</v>
      </c>
      <c r="AG24" s="40">
        <v>0</v>
      </c>
    </row>
    <row r="25" spans="1:33" ht="15.75" customHeight="1" x14ac:dyDescent="0.2">
      <c r="A25" s="29" t="s">
        <v>53</v>
      </c>
      <c r="B25" s="15" t="s">
        <v>899</v>
      </c>
      <c r="C25" s="16">
        <f t="shared" si="4"/>
        <v>27.87689655172414</v>
      </c>
      <c r="D25" s="30">
        <v>29</v>
      </c>
      <c r="E25" s="30">
        <v>1</v>
      </c>
      <c r="F25" s="33">
        <v>808.43000000000006</v>
      </c>
      <c r="G25" s="33">
        <v>-0.16</v>
      </c>
      <c r="H25" s="32">
        <f t="shared" si="1"/>
        <v>1.9791447620696906E-4</v>
      </c>
      <c r="I25" s="32">
        <f t="shared" si="2"/>
        <v>0.24831073710858642</v>
      </c>
      <c r="J25" s="33">
        <f t="shared" si="5"/>
        <v>200.74184920069453</v>
      </c>
      <c r="K25" s="33">
        <f t="shared" si="3"/>
        <v>6.922132731058432</v>
      </c>
      <c r="L25" s="30">
        <v>77</v>
      </c>
      <c r="M25" s="34">
        <f t="shared" si="6"/>
        <v>0.37662337662337664</v>
      </c>
      <c r="N25" s="30">
        <v>544</v>
      </c>
      <c r="O25" s="35">
        <f t="shared" ref="O25:P25" si="33">D25/7</f>
        <v>4.1428571428571432</v>
      </c>
      <c r="P25" s="35">
        <f t="shared" si="33"/>
        <v>0.14285714285714285</v>
      </c>
      <c r="Q25" s="30">
        <f t="shared" si="8"/>
        <v>126</v>
      </c>
      <c r="R25" s="30"/>
      <c r="S25" s="36">
        <v>0.79344262295081969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0.22297978009259259</v>
      </c>
      <c r="AD25" s="40">
        <f t="shared" si="12"/>
        <v>-8.9236507993055554</v>
      </c>
      <c r="AE25" s="40">
        <v>-7.32</v>
      </c>
      <c r="AF25" s="40">
        <v>-9.14</v>
      </c>
      <c r="AG25" s="40">
        <v>0</v>
      </c>
    </row>
    <row r="26" spans="1:33" ht="15.75" customHeight="1" x14ac:dyDescent="0.2">
      <c r="A26" s="15" t="s">
        <v>54</v>
      </c>
      <c r="B26" s="51" t="s">
        <v>900</v>
      </c>
      <c r="C26" s="16">
        <f t="shared" si="4"/>
        <v>33.464615384615385</v>
      </c>
      <c r="D26" s="17">
        <v>52</v>
      </c>
      <c r="E26" s="17">
        <v>1</v>
      </c>
      <c r="F26" s="18">
        <v>1740.16</v>
      </c>
      <c r="G26" s="18">
        <v>-11.75</v>
      </c>
      <c r="H26" s="32">
        <f t="shared" si="1"/>
        <v>6.7522526664214782E-3</v>
      </c>
      <c r="I26" s="32">
        <f t="shared" si="2"/>
        <v>0.34647908869331295</v>
      </c>
      <c r="J26" s="33">
        <f t="shared" si="5"/>
        <v>602.92905098055553</v>
      </c>
      <c r="K26" s="33">
        <f t="shared" si="3"/>
        <v>11.594789441933759</v>
      </c>
      <c r="L26" s="17">
        <v>77</v>
      </c>
      <c r="M26" s="34">
        <f t="shared" si="6"/>
        <v>0.67532467532467533</v>
      </c>
      <c r="N26" s="17">
        <v>505</v>
      </c>
      <c r="O26" s="35">
        <f t="shared" ref="O26:P26" si="34">D26/7</f>
        <v>7.4285714285714288</v>
      </c>
      <c r="P26" s="35">
        <f t="shared" si="34"/>
        <v>0.14285714285714285</v>
      </c>
      <c r="Q26" s="30">
        <f t="shared" si="8"/>
        <v>66</v>
      </c>
      <c r="R26" s="30"/>
      <c r="S26" s="22">
        <v>1.098039215686275</v>
      </c>
      <c r="T26" s="15">
        <v>1160</v>
      </c>
      <c r="U26" s="23">
        <v>400</v>
      </c>
      <c r="V26" s="1" t="s">
        <v>787</v>
      </c>
      <c r="W26" s="15">
        <v>0</v>
      </c>
      <c r="X26" s="39">
        <f t="shared" si="9"/>
        <v>0</v>
      </c>
      <c r="Y26" s="40">
        <f t="shared" si="10"/>
        <v>5.875</v>
      </c>
      <c r="Z26" s="15">
        <v>2</v>
      </c>
      <c r="AA26" s="29" t="s">
        <v>58</v>
      </c>
      <c r="AB26" s="41">
        <f t="shared" si="11"/>
        <v>-0.69</v>
      </c>
      <c r="AC26" s="42">
        <v>0.22297978009259259</v>
      </c>
      <c r="AD26" s="40">
        <f t="shared" si="12"/>
        <v>-16.001029019444445</v>
      </c>
      <c r="AE26" s="26">
        <v>-7.18</v>
      </c>
      <c r="AF26" s="26">
        <v>-9.1364599999999996</v>
      </c>
      <c r="AG26" s="26">
        <v>0</v>
      </c>
    </row>
    <row r="27" spans="1:33" ht="15.75" customHeight="1" x14ac:dyDescent="0.2">
      <c r="A27" s="15" t="s">
        <v>74</v>
      </c>
      <c r="B27" s="15" t="s">
        <v>535</v>
      </c>
      <c r="C27" s="16">
        <f t="shared" si="4"/>
        <v>29.8386</v>
      </c>
      <c r="D27" s="17">
        <v>50</v>
      </c>
      <c r="E27" s="17">
        <v>1</v>
      </c>
      <c r="F27" s="18">
        <v>1491.93</v>
      </c>
      <c r="G27" s="18">
        <v>-88.2</v>
      </c>
      <c r="H27" s="32">
        <f t="shared" si="1"/>
        <v>5.9118055136635095E-2</v>
      </c>
      <c r="I27" s="32">
        <f t="shared" si="2"/>
        <v>0.23374548080245791</v>
      </c>
      <c r="J27" s="33">
        <f t="shared" si="5"/>
        <v>348.73189517361106</v>
      </c>
      <c r="K27" s="33">
        <f t="shared" si="3"/>
        <v>6.974637903472221</v>
      </c>
      <c r="L27" s="17">
        <v>119</v>
      </c>
      <c r="M27" s="34">
        <f t="shared" si="6"/>
        <v>0.42016806722689076</v>
      </c>
      <c r="N27" s="17">
        <v>326</v>
      </c>
      <c r="O27" s="35">
        <f t="shared" ref="O27:P27" si="35">D27/7</f>
        <v>7.1428571428571432</v>
      </c>
      <c r="P27" s="35">
        <f t="shared" si="35"/>
        <v>0.14285714285714285</v>
      </c>
      <c r="Q27" s="30">
        <f t="shared" si="8"/>
        <v>44</v>
      </c>
      <c r="R27" s="30"/>
      <c r="S27" s="22">
        <v>1.4234592445328029</v>
      </c>
      <c r="T27" s="15">
        <v>400</v>
      </c>
      <c r="U27" s="23">
        <v>400</v>
      </c>
      <c r="V27" s="1" t="s">
        <v>787</v>
      </c>
      <c r="W27" s="15">
        <v>4</v>
      </c>
      <c r="X27" s="39">
        <f t="shared" si="9"/>
        <v>0.08</v>
      </c>
      <c r="Y27" s="40">
        <f t="shared" si="10"/>
        <v>11.025</v>
      </c>
      <c r="Z27" s="15">
        <v>4</v>
      </c>
      <c r="AA27" s="29" t="s">
        <v>58</v>
      </c>
      <c r="AB27" s="41">
        <f t="shared" si="11"/>
        <v>-0.69</v>
      </c>
      <c r="AC27" s="42">
        <v>0.22297978009259259</v>
      </c>
      <c r="AD27" s="40">
        <f t="shared" si="12"/>
        <v>-15.385604826388889</v>
      </c>
      <c r="AE27" s="26">
        <v>-7.18</v>
      </c>
      <c r="AF27" s="26">
        <v>-9.1364599999999996</v>
      </c>
      <c r="AG27" s="26">
        <v>0</v>
      </c>
    </row>
    <row r="28" spans="1:33" ht="15.75" customHeight="1" x14ac:dyDescent="0.2">
      <c r="A28" s="15" t="s">
        <v>75</v>
      </c>
      <c r="B28" s="15" t="s">
        <v>901</v>
      </c>
      <c r="C28" s="16">
        <f t="shared" si="4"/>
        <v>28.492957746478872</v>
      </c>
      <c r="D28" s="17">
        <v>71</v>
      </c>
      <c r="E28" s="17">
        <v>0</v>
      </c>
      <c r="F28" s="18">
        <v>2023</v>
      </c>
      <c r="G28" s="18">
        <v>-100.73</v>
      </c>
      <c r="H28" s="32">
        <f t="shared" si="1"/>
        <v>4.9792387543252596E-2</v>
      </c>
      <c r="I28" s="32">
        <f t="shared" si="2"/>
        <v>0.21675916023061184</v>
      </c>
      <c r="J28" s="33">
        <f t="shared" si="5"/>
        <v>438.50378114652773</v>
      </c>
      <c r="K28" s="33">
        <f t="shared" si="3"/>
        <v>6.1761095936130666</v>
      </c>
      <c r="L28" s="17">
        <v>139</v>
      </c>
      <c r="M28" s="34">
        <f t="shared" si="6"/>
        <v>0.51079136690647486</v>
      </c>
      <c r="N28" s="17">
        <v>375</v>
      </c>
      <c r="O28" s="35">
        <f t="shared" ref="O28:P28" si="36">D28/7</f>
        <v>10.142857142857142</v>
      </c>
      <c r="P28" s="35">
        <f t="shared" si="36"/>
        <v>0</v>
      </c>
      <c r="Q28" s="30">
        <f t="shared" si="8"/>
        <v>36</v>
      </c>
      <c r="R28" s="30"/>
      <c r="S28" s="22">
        <v>1.720588235294118</v>
      </c>
      <c r="T28" s="15">
        <v>400</v>
      </c>
      <c r="U28" s="23">
        <v>400</v>
      </c>
      <c r="V28" s="1" t="s">
        <v>787</v>
      </c>
      <c r="W28" s="15">
        <v>8</v>
      </c>
      <c r="X28" s="39">
        <f t="shared" si="9"/>
        <v>0.11267605633802817</v>
      </c>
      <c r="Y28" s="40">
        <f t="shared" si="10"/>
        <v>4.3795652173913044</v>
      </c>
      <c r="Z28" s="15">
        <v>15</v>
      </c>
      <c r="AA28" s="29" t="s">
        <v>58</v>
      </c>
      <c r="AB28" s="41">
        <f t="shared" si="11"/>
        <v>-0.69</v>
      </c>
      <c r="AC28" s="42">
        <v>0.22297978009259259</v>
      </c>
      <c r="AD28" s="40">
        <f t="shared" si="12"/>
        <v>-21.847558853472222</v>
      </c>
      <c r="AE28" s="26">
        <v>-7.18</v>
      </c>
      <c r="AF28" s="26">
        <v>-9.1364599999999996</v>
      </c>
      <c r="AG28" s="26">
        <v>0</v>
      </c>
    </row>
    <row r="29" spans="1:33" ht="15.75" customHeight="1" x14ac:dyDescent="0.2">
      <c r="A29" s="15" t="s">
        <v>77</v>
      </c>
      <c r="B29" s="15" t="s">
        <v>902</v>
      </c>
      <c r="C29" s="16">
        <f t="shared" si="4"/>
        <v>27.174626865671641</v>
      </c>
      <c r="D29" s="17">
        <v>67</v>
      </c>
      <c r="E29" s="17">
        <v>0</v>
      </c>
      <c r="F29" s="18">
        <v>1820.7</v>
      </c>
      <c r="G29" s="18">
        <v>-184.12</v>
      </c>
      <c r="H29" s="32">
        <f t="shared" si="1"/>
        <v>0.10112594057230735</v>
      </c>
      <c r="I29" s="32">
        <f t="shared" si="2"/>
        <v>0.1371205962171905</v>
      </c>
      <c r="J29" s="33">
        <f t="shared" si="5"/>
        <v>249.65546953263876</v>
      </c>
      <c r="K29" s="33">
        <f t="shared" si="3"/>
        <v>3.7262010378005783</v>
      </c>
      <c r="L29" s="17">
        <v>195</v>
      </c>
      <c r="M29" s="34">
        <f t="shared" si="6"/>
        <v>0.34358974358974359</v>
      </c>
      <c r="N29" s="17">
        <v>307</v>
      </c>
      <c r="O29" s="35">
        <f t="shared" ref="O29:P29" si="37">D29/7</f>
        <v>9.5714285714285712</v>
      </c>
      <c r="P29" s="35">
        <f t="shared" si="37"/>
        <v>0</v>
      </c>
      <c r="Q29" s="30">
        <f t="shared" si="8"/>
        <v>32</v>
      </c>
      <c r="R29" s="30"/>
      <c r="S29" s="22">
        <v>2.7963800904977369</v>
      </c>
      <c r="T29" s="15">
        <v>400</v>
      </c>
      <c r="U29" s="23">
        <v>400</v>
      </c>
      <c r="V29" s="1" t="s">
        <v>787</v>
      </c>
      <c r="W29" s="15">
        <v>14</v>
      </c>
      <c r="X29" s="39">
        <f t="shared" si="9"/>
        <v>0.20895522388059701</v>
      </c>
      <c r="Y29" s="40">
        <f t="shared" si="10"/>
        <v>3.8358333333333334</v>
      </c>
      <c r="Z29" s="15">
        <v>34</v>
      </c>
      <c r="AA29" s="29" t="s">
        <v>58</v>
      </c>
      <c r="AB29" s="41">
        <f t="shared" si="11"/>
        <v>-0.69</v>
      </c>
      <c r="AC29" s="42">
        <v>0.22297978009259259</v>
      </c>
      <c r="AD29" s="40">
        <f t="shared" si="12"/>
        <v>-20.616710467361109</v>
      </c>
      <c r="AE29" s="26">
        <v>-7.18</v>
      </c>
      <c r="AF29" s="26">
        <v>-9.1364599999999996</v>
      </c>
      <c r="AG29" s="26">
        <v>0</v>
      </c>
    </row>
    <row r="30" spans="1:33" ht="15.75" customHeight="1" x14ac:dyDescent="0.2">
      <c r="A30" s="15" t="s">
        <v>78</v>
      </c>
      <c r="B30" s="15" t="s">
        <v>452</v>
      </c>
      <c r="C30" s="16">
        <f t="shared" si="4"/>
        <v>27.935454545454583</v>
      </c>
      <c r="D30" s="17">
        <v>66</v>
      </c>
      <c r="E30" s="17">
        <v>0</v>
      </c>
      <c r="F30" s="18">
        <v>1843.7400000000025</v>
      </c>
      <c r="G30" s="18">
        <v>-70.459999999999994</v>
      </c>
      <c r="H30" s="32">
        <f t="shared" si="1"/>
        <v>3.8215800492477192E-2</v>
      </c>
      <c r="I30" s="32">
        <f t="shared" si="2"/>
        <v>0.24327713174399254</v>
      </c>
      <c r="J30" s="33">
        <f t="shared" si="5"/>
        <v>448.53977888166941</v>
      </c>
      <c r="K30" s="33">
        <f t="shared" si="3"/>
        <v>6.7960572557828698</v>
      </c>
      <c r="L30" s="17">
        <v>109</v>
      </c>
      <c r="M30" s="34">
        <f t="shared" si="6"/>
        <v>0.60550458715596334</v>
      </c>
      <c r="N30" s="17">
        <v>238</v>
      </c>
      <c r="O30" s="35">
        <f t="shared" ref="O30:P30" si="38">D30/7</f>
        <v>9.4285714285714288</v>
      </c>
      <c r="P30" s="35">
        <f t="shared" si="38"/>
        <v>0</v>
      </c>
      <c r="Q30" s="30">
        <f t="shared" si="8"/>
        <v>25</v>
      </c>
      <c r="R30" s="30"/>
      <c r="S30" s="22">
        <v>1.665094339622641</v>
      </c>
      <c r="T30" s="29">
        <v>400</v>
      </c>
      <c r="U30" s="37">
        <v>400</v>
      </c>
      <c r="V30" s="38" t="s">
        <v>787</v>
      </c>
      <c r="W30" s="15">
        <v>4</v>
      </c>
      <c r="X30" s="39">
        <f t="shared" si="9"/>
        <v>6.0606060606060608E-2</v>
      </c>
      <c r="Y30" s="40">
        <f t="shared" si="10"/>
        <v>4.6973333333333329</v>
      </c>
      <c r="Z30" s="15">
        <v>11</v>
      </c>
      <c r="AA30" s="29" t="s">
        <v>58</v>
      </c>
      <c r="AB30" s="41">
        <f t="shared" si="11"/>
        <v>-0.69</v>
      </c>
      <c r="AC30" s="42">
        <v>0.22297978009259259</v>
      </c>
      <c r="AD30" s="40">
        <f t="shared" si="12"/>
        <v>-20.308998370833333</v>
      </c>
      <c r="AE30" s="26">
        <v>-7.18</v>
      </c>
      <c r="AF30" s="26">
        <v>-8.3937912537499901</v>
      </c>
      <c r="AG30" s="26">
        <v>0</v>
      </c>
    </row>
    <row r="31" spans="1:33" ht="15.75" customHeight="1" x14ac:dyDescent="0.2">
      <c r="A31" s="15" t="s">
        <v>55</v>
      </c>
      <c r="B31" s="15" t="s">
        <v>903</v>
      </c>
      <c r="C31" s="16">
        <f t="shared" si="4"/>
        <v>28.10814285714287</v>
      </c>
      <c r="D31" s="17">
        <v>70</v>
      </c>
      <c r="E31" s="17">
        <v>0</v>
      </c>
      <c r="F31" s="18">
        <v>1967.5700000000008</v>
      </c>
      <c r="G31" s="43">
        <v>-150.37000000000003</v>
      </c>
      <c r="H31" s="32">
        <f t="shared" si="1"/>
        <v>7.6424218706323016E-2</v>
      </c>
      <c r="I31" s="32">
        <f t="shared" si="2"/>
        <v>0.20856145676166854</v>
      </c>
      <c r="J31" s="33">
        <f t="shared" si="5"/>
        <v>410.35926548055636</v>
      </c>
      <c r="K31" s="33">
        <f t="shared" si="3"/>
        <v>5.8622752211508056</v>
      </c>
      <c r="L31" s="17">
        <v>173</v>
      </c>
      <c r="M31" s="34">
        <f t="shared" si="6"/>
        <v>0.40462427745664742</v>
      </c>
      <c r="N31" s="17">
        <v>160</v>
      </c>
      <c r="O31" s="35">
        <f t="shared" ref="O31:P31" si="39">D31/7</f>
        <v>10</v>
      </c>
      <c r="P31" s="35">
        <f t="shared" si="39"/>
        <v>0</v>
      </c>
      <c r="Q31" s="30">
        <f t="shared" si="8"/>
        <v>16</v>
      </c>
      <c r="R31" s="30"/>
      <c r="S31" s="22">
        <v>1.9109131403118</v>
      </c>
      <c r="T31" s="15">
        <v>-120</v>
      </c>
      <c r="U31" s="23">
        <v>120</v>
      </c>
      <c r="V31" s="1" t="s">
        <v>904</v>
      </c>
      <c r="W31" s="15">
        <v>11</v>
      </c>
      <c r="X31" s="39">
        <f t="shared" si="9"/>
        <v>0.15714285714285714</v>
      </c>
      <c r="Y31" s="40">
        <f t="shared" si="10"/>
        <v>4.2962857142857152</v>
      </c>
      <c r="Z31" s="15">
        <v>24</v>
      </c>
      <c r="AA31" s="15" t="s">
        <v>58</v>
      </c>
      <c r="AB31" s="41">
        <f t="shared" si="11"/>
        <v>-0.69</v>
      </c>
      <c r="AC31" s="28">
        <v>0.22297978009259259</v>
      </c>
      <c r="AD31" s="40">
        <f t="shared" si="12"/>
        <v>-21.539846756944442</v>
      </c>
      <c r="AE31" s="44">
        <v>-7.18</v>
      </c>
      <c r="AF31" s="44">
        <v>-8.393791253749999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27.482745098039214</v>
      </c>
      <c r="D32" s="17">
        <v>51</v>
      </c>
      <c r="E32" s="17">
        <v>5</v>
      </c>
      <c r="F32" s="18">
        <v>1401.62</v>
      </c>
      <c r="G32" s="18">
        <v>-65.39</v>
      </c>
      <c r="H32" s="32">
        <f t="shared" si="1"/>
        <v>4.6653158488035279E-2</v>
      </c>
      <c r="I32" s="32">
        <f t="shared" si="2"/>
        <v>0.22547504254779022</v>
      </c>
      <c r="J32" s="33">
        <f t="shared" si="5"/>
        <v>316.03032913583371</v>
      </c>
      <c r="K32" s="33">
        <f t="shared" si="3"/>
        <v>6.1966731203104652</v>
      </c>
      <c r="L32" s="17">
        <v>147</v>
      </c>
      <c r="M32" s="34">
        <f t="shared" si="6"/>
        <v>0.34693877551020408</v>
      </c>
      <c r="N32" s="17">
        <v>99</v>
      </c>
      <c r="O32" s="35">
        <f t="shared" ref="O32:P32" si="40">D32/7</f>
        <v>7.2857142857142856</v>
      </c>
      <c r="P32" s="35">
        <f t="shared" si="40"/>
        <v>0.7142857142857143</v>
      </c>
      <c r="Q32" s="30">
        <f t="shared" si="8"/>
        <v>12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3.0519877675840981</v>
      </c>
      <c r="T32" s="15">
        <f ca="1">IFERROR(__xludf.DUMMYFUNCTION("IFERROR(VLOOKUP($B$2,IMPORTRANGE(""https://docs.google.com/spreadsheets/d/1KiWZV1ko8G7lnRucBRBd29jj3Be6ltMfljMDqzOkQmI/edit#gid=1381463014"",""Lookup!A:D""),4,FALSE),"""")"),-120)</f>
        <v>-120</v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S210718   - 120 units 09/17")</f>
        <v>| S210718   - 120 units 09/17</v>
      </c>
      <c r="W32" s="15">
        <v>2</v>
      </c>
      <c r="X32" s="39">
        <f t="shared" si="9"/>
        <v>3.9215686274509803E-2</v>
      </c>
      <c r="Y32" s="40">
        <f t="shared" si="10"/>
        <v>3.8464705882352943</v>
      </c>
      <c r="Z32" s="15">
        <v>15</v>
      </c>
      <c r="AA32" s="15" t="s">
        <v>58</v>
      </c>
      <c r="AB32" s="41">
        <f t="shared" si="11"/>
        <v>-0.69</v>
      </c>
      <c r="AC32" s="28">
        <v>0.22297978009259259</v>
      </c>
      <c r="AD32" s="40">
        <f t="shared" si="12"/>
        <v>-15.693316922916665</v>
      </c>
      <c r="AE32" s="26">
        <v>-7.18</v>
      </c>
      <c r="AF32" s="26">
        <v>-8.3937912537499901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81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Info!B1:BJ7000""),3,FALSE),"""")"),"Professional Cornhole Bags - Set of 8 Regulation All Weather Two Sided Bean Bags for Pro Corn Hole Game - 4 Yellow &amp; 4 Blue")</f>
        <v>Professional Cornhole Bags - Set of 8 Regulation All Weather Two Sided Bean Bags for Pro Corn Hole Game - 4 Yellow &amp; 4 Blue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Info!B1:BJ7000""),2,FALSE),"""")"),"B07ZTMCTBD")</f>
        <v>B07ZTMCTBD</v>
      </c>
      <c r="B2" s="47" t="s">
        <v>905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18.322107357352941</v>
      </c>
      <c r="D3" s="5">
        <f>SUM(D4:D99765)</f>
        <v>620</v>
      </c>
      <c r="E3" s="5"/>
      <c r="F3" s="6">
        <f t="shared" ref="F3:G3" si="0">SUM(F4:F99765)</f>
        <v>19122.660000000007</v>
      </c>
      <c r="G3" s="6">
        <f t="shared" si="0"/>
        <v>-44.78</v>
      </c>
      <c r="H3" s="7">
        <f t="shared" ref="H3:H32" si="1">G3/F3*-1</f>
        <v>2.3417244253675995E-3</v>
      </c>
      <c r="I3" s="8">
        <f t="shared" ref="I3:I32" si="2">J3/F3</f>
        <v>0.30914661683956751</v>
      </c>
      <c r="J3" s="6">
        <f>SUM(J4:J99765)</f>
        <v>5911.705643973326</v>
      </c>
      <c r="K3" s="6">
        <f t="shared" ref="K3:K32" si="3">J3/D3</f>
        <v>9.5350091031827837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Sheet!a1:g5000""),2,FALSE),"""")"),"3.5 - March
6 - April
4 - May
9.5 - June
8.5 - July
7 - Aug
5 - Sept
2.5 - Oct
2 - Nov
3.5 - Dec
1.5 - Jan
2 - Feb")</f>
        <v>3.5 - March
6 - April
4 - May
9.5 - June
8.5 - July
7 - Aug
5 - Sept
2.5 - Oct
2 - Nov
3.5 - Dec
1.5 -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QTY-60")</f>
        <v>US QTY-60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</v>
      </c>
      <c r="X3" s="7">
        <f>W3/D3</f>
        <v>3.2258064516129032E-3</v>
      </c>
      <c r="Y3" s="6"/>
      <c r="Z3" s="5"/>
      <c r="AA3" s="5"/>
      <c r="AB3" s="5"/>
      <c r="AC3" s="5"/>
      <c r="AD3" s="6">
        <f>SUM(AD4:AD99765)</f>
        <v>-221.62767668212501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Info!B2:BZ7000""),36,FALSE)),"""")*-1"),-8.39379125375)</f>
        <v>-8.3937912537500008</v>
      </c>
      <c r="AG3" s="6">
        <f>SUM(AG4:AG99765)</f>
        <v>0</v>
      </c>
    </row>
    <row r="4" spans="1:33" ht="15.75" customHeight="1" x14ac:dyDescent="0.2">
      <c r="A4" s="15" t="s">
        <v>32</v>
      </c>
      <c r="B4" s="15" t="s">
        <v>906</v>
      </c>
      <c r="C4" s="16">
        <f t="shared" ref="C4:C32" si="4">IFERROR(F4/D4," - ")</f>
        <v>21.990000000000006</v>
      </c>
      <c r="D4" s="17">
        <v>13</v>
      </c>
      <c r="E4" s="17">
        <v>2</v>
      </c>
      <c r="F4" s="18">
        <v>285.87000000000006</v>
      </c>
      <c r="G4" s="18">
        <v>0</v>
      </c>
      <c r="H4" s="19">
        <f t="shared" si="1"/>
        <v>0</v>
      </c>
      <c r="I4" s="19">
        <f t="shared" si="2"/>
        <v>0.18071696149947258</v>
      </c>
      <c r="J4" s="18">
        <f t="shared" ref="J4:J32" si="5">F4*0.85+G4+AF4*D4+D4*AE4+AG4+AD4</f>
        <v>51.661557783854235</v>
      </c>
      <c r="K4" s="18">
        <f t="shared" si="3"/>
        <v>3.9739659833734029</v>
      </c>
      <c r="L4" s="17">
        <v>27</v>
      </c>
      <c r="M4" s="20">
        <f t="shared" ref="M4:M32" si="6">IFERROR(D4/L4,"-")</f>
        <v>0.48148148148148145</v>
      </c>
      <c r="N4" s="17">
        <v>10</v>
      </c>
      <c r="O4" s="21">
        <f t="shared" ref="O4:P4" si="7">D4/7</f>
        <v>1.8571428571428572</v>
      </c>
      <c r="P4" s="21">
        <f t="shared" si="7"/>
        <v>0.2857142857142857</v>
      </c>
      <c r="Q4" s="17">
        <f t="shared" ref="Q4:Q32" si="8">ROUNDDOWN(N4/(O4+P4),0)</f>
        <v>4</v>
      </c>
      <c r="R4" s="17"/>
      <c r="S4" s="22">
        <v>1.8552437223042799</v>
      </c>
      <c r="T4" s="15">
        <v>1252</v>
      </c>
      <c r="U4" s="23">
        <v>100</v>
      </c>
      <c r="V4" s="24" t="s">
        <v>907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0.1919830295138889</v>
      </c>
      <c r="AD4" s="26">
        <f t="shared" ref="AD4:AD32" si="12">IFERROR(AB4*AC4*D4*2,0)</f>
        <v>-3.4441755494791666</v>
      </c>
      <c r="AE4" s="26">
        <v>-7.32</v>
      </c>
      <c r="AF4" s="26">
        <v>-7.132597435897436</v>
      </c>
      <c r="AG4" s="26">
        <v>0</v>
      </c>
    </row>
    <row r="5" spans="1:33" ht="15.75" customHeight="1" x14ac:dyDescent="0.2">
      <c r="A5" s="29" t="s">
        <v>33</v>
      </c>
      <c r="B5" s="29" t="s">
        <v>487</v>
      </c>
      <c r="C5" s="16">
        <f t="shared" si="4"/>
        <v>25.020000000000003</v>
      </c>
      <c r="D5" s="30">
        <v>8</v>
      </c>
      <c r="E5" s="30">
        <v>0</v>
      </c>
      <c r="F5" s="31">
        <v>200.16000000000003</v>
      </c>
      <c r="G5" s="31">
        <v>0</v>
      </c>
      <c r="H5" s="32">
        <f t="shared" si="1"/>
        <v>0</v>
      </c>
      <c r="I5" s="32">
        <f t="shared" si="2"/>
        <v>0.26175695397658766</v>
      </c>
      <c r="J5" s="33">
        <f t="shared" si="5"/>
        <v>52.393271907953789</v>
      </c>
      <c r="K5" s="33">
        <f t="shared" si="3"/>
        <v>6.5491589884942236</v>
      </c>
      <c r="L5" s="30">
        <v>33</v>
      </c>
      <c r="M5" s="34">
        <f t="shared" si="6"/>
        <v>0.24242424242424243</v>
      </c>
      <c r="N5" s="30">
        <v>3</v>
      </c>
      <c r="O5" s="35">
        <f t="shared" ref="O5:P5" si="13">D5/7</f>
        <v>1.1428571428571428</v>
      </c>
      <c r="P5" s="35">
        <f t="shared" si="13"/>
        <v>0</v>
      </c>
      <c r="Q5" s="30">
        <f t="shared" si="8"/>
        <v>2</v>
      </c>
      <c r="R5" s="30"/>
      <c r="S5" s="36">
        <v>2.03533568904593</v>
      </c>
      <c r="T5" s="29">
        <v>1252</v>
      </c>
      <c r="U5" s="37">
        <v>100</v>
      </c>
      <c r="V5" s="38" t="s">
        <v>908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58</v>
      </c>
      <c r="AB5" s="41">
        <f t="shared" si="11"/>
        <v>-0.69</v>
      </c>
      <c r="AC5" s="42">
        <v>0.19220548957126307</v>
      </c>
      <c r="AD5" s="40">
        <f t="shared" si="12"/>
        <v>-2.121948604866744</v>
      </c>
      <c r="AE5" s="40">
        <v>-7.32</v>
      </c>
      <c r="AF5" s="40">
        <v>-7.132597435897436</v>
      </c>
      <c r="AG5" s="40">
        <v>0</v>
      </c>
    </row>
    <row r="6" spans="1:33" ht="15.75" customHeight="1" x14ac:dyDescent="0.2">
      <c r="A6" s="29" t="s">
        <v>34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1252</v>
      </c>
      <c r="U6" s="37">
        <v>100</v>
      </c>
      <c r="V6" s="38" t="s">
        <v>909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-7.3332974358974363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1252</v>
      </c>
      <c r="U7" s="37">
        <v>100</v>
      </c>
      <c r="V7" s="38" t="s">
        <v>909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-7.3332974358974363</v>
      </c>
      <c r="AG7" s="40">
        <v>0</v>
      </c>
    </row>
    <row r="8" spans="1:33" ht="15.75" customHeight="1" x14ac:dyDescent="0.2">
      <c r="A8" s="29" t="s">
        <v>36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1252</v>
      </c>
      <c r="U8" s="37">
        <v>100</v>
      </c>
      <c r="V8" s="38" t="s">
        <v>910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-7.33</v>
      </c>
      <c r="AG8" s="40">
        <v>0</v>
      </c>
    </row>
    <row r="9" spans="1:33" ht="15.75" customHeight="1" x14ac:dyDescent="0.2">
      <c r="A9" s="29" t="s">
        <v>37</v>
      </c>
      <c r="B9" s="29" t="s">
        <v>487</v>
      </c>
      <c r="C9" s="16">
        <f t="shared" si="4"/>
        <v>25.37</v>
      </c>
      <c r="D9" s="30">
        <v>1</v>
      </c>
      <c r="E9" s="30">
        <v>0</v>
      </c>
      <c r="F9" s="31">
        <v>25.37</v>
      </c>
      <c r="G9" s="31">
        <v>0</v>
      </c>
      <c r="H9" s="32">
        <f t="shared" si="1"/>
        <v>0</v>
      </c>
      <c r="I9" s="32">
        <f t="shared" si="2"/>
        <v>0.24803917462708294</v>
      </c>
      <c r="J9" s="33">
        <f t="shared" si="5"/>
        <v>6.2927538602890944</v>
      </c>
      <c r="K9" s="33">
        <f t="shared" si="3"/>
        <v>6.2927538602890944</v>
      </c>
      <c r="L9" s="30">
        <v>2</v>
      </c>
      <c r="M9" s="34">
        <f t="shared" si="6"/>
        <v>0.5</v>
      </c>
      <c r="N9" s="30">
        <v>0</v>
      </c>
      <c r="O9" s="35">
        <f t="shared" ref="O9:P9" si="17">D9/7</f>
        <v>0.14285714285714285</v>
      </c>
      <c r="P9" s="35">
        <f t="shared" si="17"/>
        <v>0</v>
      </c>
      <c r="Q9" s="30">
        <f t="shared" si="8"/>
        <v>0</v>
      </c>
      <c r="R9" s="30"/>
      <c r="S9" s="36" t="e">
        <v>#N/A</v>
      </c>
      <c r="T9" s="29">
        <v>1252</v>
      </c>
      <c r="U9" s="37">
        <v>368</v>
      </c>
      <c r="V9" s="38" t="s">
        <v>911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58</v>
      </c>
      <c r="AB9" s="41">
        <f t="shared" si="11"/>
        <v>-0.69</v>
      </c>
      <c r="AC9" s="42">
        <v>0.19220548957126307</v>
      </c>
      <c r="AD9" s="40">
        <f t="shared" si="12"/>
        <v>-0.265243575608343</v>
      </c>
      <c r="AE9" s="40">
        <v>-7.32</v>
      </c>
      <c r="AF9" s="40">
        <v>-7.6865025641025602</v>
      </c>
      <c r="AG9" s="40">
        <v>0</v>
      </c>
    </row>
    <row r="10" spans="1:33" ht="15.75" customHeight="1" x14ac:dyDescent="0.2">
      <c r="A10" s="29" t="s">
        <v>38</v>
      </c>
      <c r="B10" s="29" t="s">
        <v>179</v>
      </c>
      <c r="C10" s="16">
        <f t="shared" si="4"/>
        <v>25.37</v>
      </c>
      <c r="D10" s="30">
        <v>1</v>
      </c>
      <c r="E10" s="30">
        <v>0</v>
      </c>
      <c r="F10" s="31">
        <v>25.37</v>
      </c>
      <c r="G10" s="31">
        <v>0</v>
      </c>
      <c r="H10" s="32">
        <f t="shared" si="1"/>
        <v>0</v>
      </c>
      <c r="I10" s="32">
        <f t="shared" si="2"/>
        <v>0.24803917462708294</v>
      </c>
      <c r="J10" s="33">
        <f t="shared" si="5"/>
        <v>6.2927538602890944</v>
      </c>
      <c r="K10" s="33">
        <f t="shared" si="3"/>
        <v>6.2927538602890944</v>
      </c>
      <c r="L10" s="30">
        <v>2</v>
      </c>
      <c r="M10" s="34">
        <f t="shared" si="6"/>
        <v>0.5</v>
      </c>
      <c r="N10" s="30">
        <v>0</v>
      </c>
      <c r="O10" s="35">
        <f t="shared" ref="O10:P10" si="18">D10/7</f>
        <v>0.14285714285714285</v>
      </c>
      <c r="P10" s="35">
        <f t="shared" si="18"/>
        <v>0</v>
      </c>
      <c r="Q10" s="30">
        <f t="shared" si="8"/>
        <v>0</v>
      </c>
      <c r="R10" s="30"/>
      <c r="S10" s="36" t="e">
        <v>#N/A</v>
      </c>
      <c r="T10" s="29">
        <v>1252</v>
      </c>
      <c r="U10" s="37">
        <v>100</v>
      </c>
      <c r="V10" s="38" t="s">
        <v>912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58</v>
      </c>
      <c r="AB10" s="41">
        <f t="shared" si="11"/>
        <v>-0.69</v>
      </c>
      <c r="AC10" s="42">
        <v>0.19220548957126307</v>
      </c>
      <c r="AD10" s="40">
        <f t="shared" si="12"/>
        <v>-0.265243575608343</v>
      </c>
      <c r="AE10" s="40">
        <v>-7.32</v>
      </c>
      <c r="AF10" s="40">
        <v>-7.6865025641025602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1884</v>
      </c>
      <c r="U11" s="37">
        <v>100</v>
      </c>
      <c r="V11" s="38" t="s">
        <v>913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-7.6865025641025602</v>
      </c>
      <c r="AG11" s="40">
        <v>0</v>
      </c>
    </row>
    <row r="12" spans="1:33" ht="15.75" customHeight="1" x14ac:dyDescent="0.2">
      <c r="A12" s="29" t="s">
        <v>40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1000</v>
      </c>
      <c r="U12" s="37">
        <v>368</v>
      </c>
      <c r="V12" s="38" t="s">
        <v>914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-7.7736820512820497</v>
      </c>
      <c r="AG12" s="40">
        <v>0</v>
      </c>
    </row>
    <row r="13" spans="1:33" ht="15.75" customHeight="1" x14ac:dyDescent="0.2">
      <c r="A13" s="29" t="s">
        <v>41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632</v>
      </c>
      <c r="U13" s="37">
        <v>632</v>
      </c>
      <c r="V13" s="38" t="s">
        <v>915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-7.9724000000000004</v>
      </c>
      <c r="AG13" s="40">
        <v>0</v>
      </c>
    </row>
    <row r="14" spans="1:33" ht="15.75" customHeight="1" x14ac:dyDescent="0.2">
      <c r="A14" s="29" t="s">
        <v>42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632</v>
      </c>
      <c r="U14" s="37">
        <v>632</v>
      </c>
      <c r="V14" s="38" t="s">
        <v>915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-7.9724000000000004</v>
      </c>
      <c r="AG14" s="40">
        <v>0</v>
      </c>
    </row>
    <row r="15" spans="1:33" ht="15.75" customHeight="1" x14ac:dyDescent="0.2">
      <c r="A15" s="29" t="s">
        <v>43</v>
      </c>
      <c r="B15" s="29" t="s">
        <v>916</v>
      </c>
      <c r="C15" s="16">
        <f t="shared" si="4"/>
        <v>25.37</v>
      </c>
      <c r="D15" s="30">
        <v>9</v>
      </c>
      <c r="E15" s="30">
        <v>0</v>
      </c>
      <c r="F15" s="33">
        <v>228.33</v>
      </c>
      <c r="G15" s="31">
        <v>0</v>
      </c>
      <c r="H15" s="32">
        <f t="shared" si="1"/>
        <v>0</v>
      </c>
      <c r="I15" s="32">
        <f t="shared" si="2"/>
        <v>0.23678216079112471</v>
      </c>
      <c r="J15" s="33">
        <f t="shared" si="5"/>
        <v>54.064470773437506</v>
      </c>
      <c r="K15" s="33">
        <f t="shared" si="3"/>
        <v>6.0071634192708343</v>
      </c>
      <c r="L15" s="30">
        <v>14</v>
      </c>
      <c r="M15" s="34">
        <f t="shared" si="6"/>
        <v>0.6428571428571429</v>
      </c>
      <c r="N15" s="30">
        <v>66</v>
      </c>
      <c r="O15" s="35">
        <f t="shared" ref="O15:P15" si="23">D15/7</f>
        <v>1.2857142857142858</v>
      </c>
      <c r="P15" s="35">
        <f t="shared" si="23"/>
        <v>0</v>
      </c>
      <c r="Q15" s="30">
        <f t="shared" si="8"/>
        <v>51</v>
      </c>
      <c r="R15" s="30"/>
      <c r="S15" s="36">
        <v>1.57037037037037</v>
      </c>
      <c r="T15" s="29">
        <v>632</v>
      </c>
      <c r="U15" s="37">
        <v>632</v>
      </c>
      <c r="V15" s="38" t="s">
        <v>915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58</v>
      </c>
      <c r="AB15" s="41">
        <f t="shared" si="11"/>
        <v>-0.69</v>
      </c>
      <c r="AC15" s="42">
        <v>0.1919830295138889</v>
      </c>
      <c r="AD15" s="40">
        <f t="shared" si="12"/>
        <v>-2.3844292265624998</v>
      </c>
      <c r="AE15" s="40">
        <v>-7.32</v>
      </c>
      <c r="AF15" s="40">
        <v>-7.9724000000000004</v>
      </c>
      <c r="AG15" s="40">
        <v>0</v>
      </c>
    </row>
    <row r="16" spans="1:33" ht="15.75" customHeight="1" x14ac:dyDescent="0.2">
      <c r="A16" s="29" t="s">
        <v>44</v>
      </c>
      <c r="B16" s="29" t="s">
        <v>917</v>
      </c>
      <c r="C16" s="16">
        <f t="shared" si="4"/>
        <v>27.914444444444442</v>
      </c>
      <c r="D16" s="30">
        <v>18</v>
      </c>
      <c r="E16" s="30">
        <v>0</v>
      </c>
      <c r="F16" s="33">
        <v>502.46</v>
      </c>
      <c r="G16" s="31">
        <v>-11.260000000000002</v>
      </c>
      <c r="H16" s="32">
        <f t="shared" si="1"/>
        <v>2.24097440592286E-2</v>
      </c>
      <c r="I16" s="32">
        <f t="shared" si="2"/>
        <v>0.21145926635951115</v>
      </c>
      <c r="J16" s="33">
        <f t="shared" si="5"/>
        <v>106.24982297499997</v>
      </c>
      <c r="K16" s="33">
        <f t="shared" si="3"/>
        <v>5.9027679430555544</v>
      </c>
      <c r="L16" s="30">
        <v>36</v>
      </c>
      <c r="M16" s="34">
        <f t="shared" si="6"/>
        <v>0.5</v>
      </c>
      <c r="N16" s="30">
        <v>47</v>
      </c>
      <c r="O16" s="35">
        <f t="shared" ref="O16:P16" si="24">D16/7</f>
        <v>2.5714285714285716</v>
      </c>
      <c r="P16" s="35">
        <f t="shared" si="24"/>
        <v>0</v>
      </c>
      <c r="Q16" s="30">
        <f t="shared" si="8"/>
        <v>18</v>
      </c>
      <c r="R16" s="30"/>
      <c r="S16" s="36">
        <v>1.9166666666666601</v>
      </c>
      <c r="T16" s="29">
        <v>632</v>
      </c>
      <c r="U16" s="37">
        <v>632</v>
      </c>
      <c r="V16" s="38" t="s">
        <v>918</v>
      </c>
      <c r="W16" s="29">
        <v>2</v>
      </c>
      <c r="X16" s="39">
        <f t="shared" si="9"/>
        <v>0.1111111111111111</v>
      </c>
      <c r="Y16" s="40">
        <f t="shared" si="10"/>
        <v>5.6300000000000008</v>
      </c>
      <c r="Z16" s="29">
        <v>0</v>
      </c>
      <c r="AA16" s="29" t="s">
        <v>58</v>
      </c>
      <c r="AB16" s="41">
        <f t="shared" si="11"/>
        <v>-0.69</v>
      </c>
      <c r="AC16" s="42">
        <v>0.26267701388888881</v>
      </c>
      <c r="AD16" s="40">
        <f t="shared" si="12"/>
        <v>-6.5248970249999978</v>
      </c>
      <c r="AE16" s="40">
        <v>-7.7</v>
      </c>
      <c r="AF16" s="40">
        <v>-9.1364599999999996</v>
      </c>
      <c r="AG16" s="40">
        <v>0</v>
      </c>
    </row>
    <row r="17" spans="1:33" ht="15.75" customHeight="1" x14ac:dyDescent="0.2">
      <c r="A17" s="29" t="s">
        <v>45</v>
      </c>
      <c r="B17" s="29" t="s">
        <v>919</v>
      </c>
      <c r="C17" s="16">
        <f t="shared" si="4"/>
        <v>28.978999999999992</v>
      </c>
      <c r="D17" s="30">
        <v>20</v>
      </c>
      <c r="E17" s="30">
        <v>1</v>
      </c>
      <c r="F17" s="33">
        <v>579.57999999999981</v>
      </c>
      <c r="G17" s="31">
        <v>-8.8699999999999992</v>
      </c>
      <c r="H17" s="32">
        <f t="shared" si="1"/>
        <v>1.5304185789709794E-2</v>
      </c>
      <c r="I17" s="32">
        <f t="shared" si="2"/>
        <v>0.24119865146600386</v>
      </c>
      <c r="J17" s="33">
        <f t="shared" si="5"/>
        <v>139.79391441666647</v>
      </c>
      <c r="K17" s="33">
        <f t="shared" si="3"/>
        <v>6.989695720833323</v>
      </c>
      <c r="L17" s="30">
        <v>42</v>
      </c>
      <c r="M17" s="34">
        <f t="shared" si="6"/>
        <v>0.47619047619047616</v>
      </c>
      <c r="N17" s="30">
        <v>21</v>
      </c>
      <c r="O17" s="35">
        <f t="shared" ref="O17:P17" si="25">D17/7</f>
        <v>2.8571428571428572</v>
      </c>
      <c r="P17" s="35">
        <f t="shared" si="25"/>
        <v>0.14285714285714285</v>
      </c>
      <c r="Q17" s="30">
        <f t="shared" si="8"/>
        <v>7</v>
      </c>
      <c r="R17" s="30"/>
      <c r="S17" s="36">
        <v>3.2615384615384602</v>
      </c>
      <c r="T17" s="29">
        <v>632</v>
      </c>
      <c r="U17" s="37">
        <v>632</v>
      </c>
      <c r="V17" s="38" t="s">
        <v>920</v>
      </c>
      <c r="W17" s="29">
        <v>0</v>
      </c>
      <c r="X17" s="39">
        <f t="shared" si="9"/>
        <v>0</v>
      </c>
      <c r="Y17" s="40">
        <f t="shared" si="10"/>
        <v>2.2174999999999998</v>
      </c>
      <c r="Z17" s="29">
        <v>4</v>
      </c>
      <c r="AA17" s="29" t="s">
        <v>58</v>
      </c>
      <c r="AB17" s="41">
        <f t="shared" si="11"/>
        <v>-0.69</v>
      </c>
      <c r="AC17" s="42">
        <v>0.26267701388888881</v>
      </c>
      <c r="AD17" s="40">
        <f t="shared" si="12"/>
        <v>-7.2498855833333309</v>
      </c>
      <c r="AE17" s="40">
        <v>-7.7</v>
      </c>
      <c r="AF17" s="40">
        <v>-9.1364599999999996</v>
      </c>
      <c r="AG17" s="40">
        <v>0</v>
      </c>
    </row>
    <row r="18" spans="1:33" ht="15.75" customHeight="1" x14ac:dyDescent="0.2">
      <c r="A18" s="29" t="s">
        <v>46</v>
      </c>
      <c r="B18" s="29" t="s">
        <v>179</v>
      </c>
      <c r="C18" s="16">
        <f t="shared" si="4"/>
        <v>38.290769230769229</v>
      </c>
      <c r="D18" s="30">
        <v>13</v>
      </c>
      <c r="E18" s="30">
        <v>0</v>
      </c>
      <c r="F18" s="33">
        <v>497.78</v>
      </c>
      <c r="G18" s="31">
        <v>0</v>
      </c>
      <c r="H18" s="32">
        <f t="shared" si="1"/>
        <v>0</v>
      </c>
      <c r="I18" s="32">
        <f t="shared" si="2"/>
        <v>0.40083288675887596</v>
      </c>
      <c r="J18" s="33">
        <f t="shared" si="5"/>
        <v>199.52659437083327</v>
      </c>
      <c r="K18" s="33">
        <f t="shared" si="3"/>
        <v>15.348199566987175</v>
      </c>
      <c r="L18" s="30">
        <v>47</v>
      </c>
      <c r="M18" s="34">
        <f t="shared" si="6"/>
        <v>0.27659574468085107</v>
      </c>
      <c r="N18" s="30">
        <v>9</v>
      </c>
      <c r="O18" s="35">
        <f t="shared" ref="O18:P18" si="26">D18/7</f>
        <v>1.8571428571428572</v>
      </c>
      <c r="P18" s="35">
        <f t="shared" si="26"/>
        <v>0</v>
      </c>
      <c r="Q18" s="30">
        <f t="shared" si="8"/>
        <v>4</v>
      </c>
      <c r="R18" s="30"/>
      <c r="S18" s="36">
        <v>6.1</v>
      </c>
      <c r="T18" s="29">
        <v>1084</v>
      </c>
      <c r="U18" s="37">
        <v>632</v>
      </c>
      <c r="V18" s="38" t="s">
        <v>920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58</v>
      </c>
      <c r="AB18" s="41">
        <f t="shared" si="11"/>
        <v>-0.69</v>
      </c>
      <c r="AC18" s="42">
        <v>0.26267701388888881</v>
      </c>
      <c r="AD18" s="40">
        <f t="shared" si="12"/>
        <v>-4.7124256291666651</v>
      </c>
      <c r="AE18" s="40">
        <v>-7.7</v>
      </c>
      <c r="AF18" s="40">
        <v>-9.1364599999999996</v>
      </c>
      <c r="AG18" s="40">
        <v>0</v>
      </c>
    </row>
    <row r="19" spans="1:33" ht="15.75" customHeight="1" x14ac:dyDescent="0.2">
      <c r="A19" s="29" t="s">
        <v>47</v>
      </c>
      <c r="B19" s="29" t="s">
        <v>921</v>
      </c>
      <c r="C19" s="16">
        <f t="shared" si="4"/>
        <v>38.44</v>
      </c>
      <c r="D19" s="30">
        <v>17</v>
      </c>
      <c r="E19" s="30">
        <v>2</v>
      </c>
      <c r="F19" s="33">
        <v>653.48</v>
      </c>
      <c r="G19" s="31">
        <v>0</v>
      </c>
      <c r="H19" s="32">
        <f t="shared" si="1"/>
        <v>0</v>
      </c>
      <c r="I19" s="32">
        <f t="shared" si="2"/>
        <v>0.40257663165539359</v>
      </c>
      <c r="J19" s="33">
        <f t="shared" si="5"/>
        <v>263.07577725416661</v>
      </c>
      <c r="K19" s="33">
        <f t="shared" si="3"/>
        <v>15.475045720833331</v>
      </c>
      <c r="L19" s="30">
        <v>37</v>
      </c>
      <c r="M19" s="34">
        <f t="shared" si="6"/>
        <v>0.45945945945945948</v>
      </c>
      <c r="N19" s="30">
        <v>65</v>
      </c>
      <c r="O19" s="35">
        <f t="shared" ref="O19:P19" si="27">D19/7</f>
        <v>2.4285714285714284</v>
      </c>
      <c r="P19" s="35">
        <f t="shared" si="27"/>
        <v>0.2857142857142857</v>
      </c>
      <c r="Q19" s="30">
        <f t="shared" si="8"/>
        <v>23</v>
      </c>
      <c r="R19" s="30"/>
      <c r="S19" s="36">
        <v>5.5319148936170199</v>
      </c>
      <c r="T19" s="29">
        <v>1084</v>
      </c>
      <c r="U19" s="37">
        <v>632</v>
      </c>
      <c r="V19" s="38" t="s">
        <v>920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58</v>
      </c>
      <c r="AB19" s="41">
        <f t="shared" si="11"/>
        <v>-0.69</v>
      </c>
      <c r="AC19" s="42">
        <v>0.26267701388888881</v>
      </c>
      <c r="AD19" s="40">
        <f t="shared" si="12"/>
        <v>-6.1624027458333313</v>
      </c>
      <c r="AE19" s="40">
        <v>-7.7</v>
      </c>
      <c r="AF19" s="40">
        <v>-9.1364599999999996</v>
      </c>
      <c r="AG19" s="40">
        <v>0</v>
      </c>
    </row>
    <row r="20" spans="1:33" ht="15.75" customHeight="1" x14ac:dyDescent="0.2">
      <c r="A20" s="29" t="s">
        <v>48</v>
      </c>
      <c r="B20" s="29" t="s">
        <v>462</v>
      </c>
      <c r="C20" s="16">
        <f t="shared" si="4"/>
        <v>36.883333333333333</v>
      </c>
      <c r="D20" s="30">
        <v>9</v>
      </c>
      <c r="E20" s="30">
        <v>0</v>
      </c>
      <c r="F20" s="33">
        <v>331.95</v>
      </c>
      <c r="G20" s="31">
        <v>0</v>
      </c>
      <c r="H20" s="32">
        <f t="shared" si="1"/>
        <v>0</v>
      </c>
      <c r="I20" s="32">
        <f t="shared" si="2"/>
        <v>0.38369306066425657</v>
      </c>
      <c r="J20" s="33">
        <f t="shared" si="5"/>
        <v>127.36691148749996</v>
      </c>
      <c r="K20" s="33">
        <f t="shared" si="3"/>
        <v>14.151879054166663</v>
      </c>
      <c r="L20" s="30">
        <v>32</v>
      </c>
      <c r="M20" s="34">
        <f t="shared" si="6"/>
        <v>0.28125</v>
      </c>
      <c r="N20" s="30">
        <v>111</v>
      </c>
      <c r="O20" s="35">
        <f t="shared" ref="O20:P20" si="28">D20/7</f>
        <v>1.2857142857142858</v>
      </c>
      <c r="P20" s="35">
        <f t="shared" si="28"/>
        <v>0</v>
      </c>
      <c r="Q20" s="30">
        <f t="shared" si="8"/>
        <v>86</v>
      </c>
      <c r="R20" s="30"/>
      <c r="S20" s="36">
        <v>1.9884393063583801</v>
      </c>
      <c r="T20" s="29">
        <v>1084</v>
      </c>
      <c r="U20" s="37">
        <v>632</v>
      </c>
      <c r="V20" s="38" t="s">
        <v>922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58</v>
      </c>
      <c r="AB20" s="41">
        <f t="shared" si="11"/>
        <v>-0.69</v>
      </c>
      <c r="AC20" s="42">
        <v>0.26267701388888881</v>
      </c>
      <c r="AD20" s="40">
        <f t="shared" si="12"/>
        <v>-3.2624485124999989</v>
      </c>
      <c r="AE20" s="40">
        <v>-7.7</v>
      </c>
      <c r="AF20" s="40">
        <v>-9.1364599999999996</v>
      </c>
      <c r="AG20" s="40">
        <v>0</v>
      </c>
    </row>
    <row r="21" spans="1:33" ht="15.75" customHeight="1" x14ac:dyDescent="0.2">
      <c r="A21" s="29" t="s">
        <v>49</v>
      </c>
      <c r="B21" s="29" t="s">
        <v>923</v>
      </c>
      <c r="C21" s="16">
        <f t="shared" si="4"/>
        <v>34.949999999999996</v>
      </c>
      <c r="D21" s="30">
        <v>17</v>
      </c>
      <c r="E21" s="30">
        <v>0</v>
      </c>
      <c r="F21" s="33">
        <v>594.15</v>
      </c>
      <c r="G21" s="31">
        <v>-6.96</v>
      </c>
      <c r="H21" s="32">
        <f t="shared" si="1"/>
        <v>1.1714213582428679E-2</v>
      </c>
      <c r="I21" s="32">
        <f t="shared" si="2"/>
        <v>0.34618409030407588</v>
      </c>
      <c r="J21" s="33">
        <f t="shared" si="5"/>
        <v>205.68527725416666</v>
      </c>
      <c r="K21" s="33">
        <f t="shared" si="3"/>
        <v>12.099133956127451</v>
      </c>
      <c r="L21" s="30">
        <v>17</v>
      </c>
      <c r="M21" s="34">
        <f t="shared" si="6"/>
        <v>1</v>
      </c>
      <c r="N21" s="30">
        <v>138</v>
      </c>
      <c r="O21" s="35">
        <f t="shared" ref="O21:P21" si="29">D21/7</f>
        <v>2.4285714285714284</v>
      </c>
      <c r="P21" s="35">
        <f t="shared" si="29"/>
        <v>0</v>
      </c>
      <c r="Q21" s="30">
        <f t="shared" si="8"/>
        <v>56</v>
      </c>
      <c r="R21" s="30"/>
      <c r="S21" s="36">
        <v>2.1521739130434701</v>
      </c>
      <c r="T21" s="29">
        <v>1084</v>
      </c>
      <c r="U21" s="37">
        <v>632</v>
      </c>
      <c r="V21" s="38" t="s">
        <v>922</v>
      </c>
      <c r="W21" s="29">
        <v>0</v>
      </c>
      <c r="X21" s="39">
        <f t="shared" si="9"/>
        <v>0</v>
      </c>
      <c r="Y21" s="40">
        <f t="shared" si="10"/>
        <v>6.96</v>
      </c>
      <c r="Z21" s="29">
        <v>1</v>
      </c>
      <c r="AA21" s="29" t="s">
        <v>58</v>
      </c>
      <c r="AB21" s="41">
        <f t="shared" si="11"/>
        <v>-0.69</v>
      </c>
      <c r="AC21" s="42">
        <v>0.26267701388888881</v>
      </c>
      <c r="AD21" s="40">
        <f t="shared" si="12"/>
        <v>-6.1624027458333313</v>
      </c>
      <c r="AE21" s="40">
        <v>-7.7</v>
      </c>
      <c r="AF21" s="40">
        <v>-9.1364599999999996</v>
      </c>
      <c r="AG21" s="40">
        <v>0</v>
      </c>
    </row>
    <row r="22" spans="1:33" ht="15.75" customHeight="1" x14ac:dyDescent="0.2">
      <c r="A22" s="29" t="s">
        <v>50</v>
      </c>
      <c r="B22" s="29" t="s">
        <v>452</v>
      </c>
      <c r="C22" s="16">
        <f t="shared" si="4"/>
        <v>33.509642857142872</v>
      </c>
      <c r="D22" s="30">
        <v>28</v>
      </c>
      <c r="E22" s="30">
        <v>1</v>
      </c>
      <c r="F22" s="31">
        <v>938.27000000000044</v>
      </c>
      <c r="G22" s="31">
        <v>0</v>
      </c>
      <c r="H22" s="32">
        <f t="shared" si="1"/>
        <v>0</v>
      </c>
      <c r="I22" s="32">
        <f t="shared" si="2"/>
        <v>0.33674611805059684</v>
      </c>
      <c r="J22" s="33">
        <f t="shared" si="5"/>
        <v>315.95878018333366</v>
      </c>
      <c r="K22" s="33">
        <f t="shared" si="3"/>
        <v>11.284242149404774</v>
      </c>
      <c r="L22" s="30">
        <v>50</v>
      </c>
      <c r="M22" s="34">
        <f t="shared" si="6"/>
        <v>0.56000000000000005</v>
      </c>
      <c r="N22" s="30">
        <v>116</v>
      </c>
      <c r="O22" s="35">
        <f t="shared" ref="O22:P22" si="30">D22/7</f>
        <v>4</v>
      </c>
      <c r="P22" s="35">
        <f t="shared" si="30"/>
        <v>0.14285714285714285</v>
      </c>
      <c r="Q22" s="30">
        <f t="shared" si="8"/>
        <v>28</v>
      </c>
      <c r="R22" s="30"/>
      <c r="S22" s="36">
        <v>2.9565217391304301</v>
      </c>
      <c r="T22" s="29">
        <v>1084</v>
      </c>
      <c r="U22" s="37">
        <v>632</v>
      </c>
      <c r="V22" s="38" t="s">
        <v>922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58</v>
      </c>
      <c r="AB22" s="41">
        <f t="shared" si="11"/>
        <v>-0.69</v>
      </c>
      <c r="AC22" s="42">
        <v>0.26267701388888881</v>
      </c>
      <c r="AD22" s="40">
        <f t="shared" si="12"/>
        <v>-10.149839816666663</v>
      </c>
      <c r="AE22" s="40">
        <v>-7.7</v>
      </c>
      <c r="AF22" s="40">
        <v>-9.1364599999999996</v>
      </c>
      <c r="AG22" s="40">
        <v>0</v>
      </c>
    </row>
    <row r="23" spans="1:33" ht="15.75" customHeight="1" x14ac:dyDescent="0.2">
      <c r="A23" s="29" t="s">
        <v>51</v>
      </c>
      <c r="B23" s="29" t="s">
        <v>924</v>
      </c>
      <c r="C23" s="16">
        <f t="shared" si="4"/>
        <v>26.651470588235313</v>
      </c>
      <c r="D23" s="30">
        <v>34</v>
      </c>
      <c r="E23" s="30">
        <v>1</v>
      </c>
      <c r="F23" s="33">
        <v>906.15000000000066</v>
      </c>
      <c r="G23" s="31">
        <v>0</v>
      </c>
      <c r="H23" s="32">
        <f t="shared" si="1"/>
        <v>0</v>
      </c>
      <c r="I23" s="32">
        <f t="shared" si="2"/>
        <v>0.20467147217164236</v>
      </c>
      <c r="J23" s="33">
        <f t="shared" si="5"/>
        <v>185.46305450833387</v>
      </c>
      <c r="K23" s="33">
        <f t="shared" si="3"/>
        <v>5.4547957208333493</v>
      </c>
      <c r="L23" s="30">
        <v>50</v>
      </c>
      <c r="M23" s="34">
        <f t="shared" si="6"/>
        <v>0.68</v>
      </c>
      <c r="N23" s="30">
        <v>92</v>
      </c>
      <c r="O23" s="35">
        <f t="shared" ref="O23:P23" si="31">D23/7</f>
        <v>4.8571428571428568</v>
      </c>
      <c r="P23" s="35">
        <f t="shared" si="31"/>
        <v>0.14285714285714285</v>
      </c>
      <c r="Q23" s="30">
        <f t="shared" si="8"/>
        <v>18</v>
      </c>
      <c r="R23" s="30"/>
      <c r="S23" s="36">
        <v>4.33082706766917</v>
      </c>
      <c r="T23" s="29">
        <v>1084</v>
      </c>
      <c r="U23" s="37">
        <v>632</v>
      </c>
      <c r="V23" s="38" t="s">
        <v>925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58</v>
      </c>
      <c r="AB23" s="41">
        <f t="shared" si="11"/>
        <v>-0.69</v>
      </c>
      <c r="AC23" s="42">
        <v>0.26267701388888881</v>
      </c>
      <c r="AD23" s="40">
        <f t="shared" si="12"/>
        <v>-12.324805491666663</v>
      </c>
      <c r="AE23" s="40">
        <v>-7.7</v>
      </c>
      <c r="AF23" s="40">
        <v>-9.1364599999999996</v>
      </c>
      <c r="AG23" s="40">
        <v>0</v>
      </c>
    </row>
    <row r="24" spans="1:33" ht="15.75" customHeight="1" x14ac:dyDescent="0.2">
      <c r="A24" s="29" t="s">
        <v>52</v>
      </c>
      <c r="B24" s="29" t="s">
        <v>926</v>
      </c>
      <c r="C24" s="16">
        <f t="shared" si="4"/>
        <v>24.479333333333347</v>
      </c>
      <c r="D24" s="30">
        <v>45</v>
      </c>
      <c r="E24" s="30">
        <v>4</v>
      </c>
      <c r="F24" s="33">
        <v>1101.5700000000006</v>
      </c>
      <c r="G24" s="33">
        <v>0</v>
      </c>
      <c r="H24" s="32">
        <f t="shared" si="1"/>
        <v>0</v>
      </c>
      <c r="I24" s="32">
        <f t="shared" si="2"/>
        <v>0.14740920453307588</v>
      </c>
      <c r="J24" s="33">
        <f t="shared" si="5"/>
        <v>162.38155743750048</v>
      </c>
      <c r="K24" s="33">
        <f t="shared" si="3"/>
        <v>3.6084790541666774</v>
      </c>
      <c r="L24" s="30">
        <v>78</v>
      </c>
      <c r="M24" s="34">
        <f t="shared" si="6"/>
        <v>0.57692307692307687</v>
      </c>
      <c r="N24" s="30">
        <v>51</v>
      </c>
      <c r="O24" s="35">
        <f t="shared" ref="O24:P24" si="32">D24/7</f>
        <v>6.4285714285714288</v>
      </c>
      <c r="P24" s="35">
        <f t="shared" si="32"/>
        <v>0.5714285714285714</v>
      </c>
      <c r="Q24" s="30">
        <f t="shared" si="8"/>
        <v>7</v>
      </c>
      <c r="R24" s="30"/>
      <c r="S24" s="36">
        <v>3.3244444444444401</v>
      </c>
      <c r="T24" s="29">
        <v>1084</v>
      </c>
      <c r="U24" s="37">
        <v>632</v>
      </c>
      <c r="V24" s="38" t="s">
        <v>925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42">
        <v>0.26267701388888881</v>
      </c>
      <c r="AD24" s="40">
        <f t="shared" si="12"/>
        <v>-16.312242562499996</v>
      </c>
      <c r="AE24" s="40">
        <v>-7.7</v>
      </c>
      <c r="AF24" s="40">
        <v>-9.1364599999999996</v>
      </c>
      <c r="AG24" s="40">
        <v>0</v>
      </c>
    </row>
    <row r="25" spans="1:33" ht="15.75" customHeight="1" x14ac:dyDescent="0.2">
      <c r="A25" s="29" t="s">
        <v>53</v>
      </c>
      <c r="B25" s="15"/>
      <c r="C25" s="16">
        <f t="shared" si="4"/>
        <v>26.783235294117645</v>
      </c>
      <c r="D25" s="30">
        <v>34</v>
      </c>
      <c r="E25" s="30">
        <v>2</v>
      </c>
      <c r="F25" s="33">
        <v>910.63</v>
      </c>
      <c r="G25" s="33">
        <v>0</v>
      </c>
      <c r="H25" s="32">
        <f t="shared" si="1"/>
        <v>0</v>
      </c>
      <c r="I25" s="32">
        <f t="shared" si="2"/>
        <v>0.20771410398112658</v>
      </c>
      <c r="J25" s="33">
        <f t="shared" si="5"/>
        <v>189.15069450833329</v>
      </c>
      <c r="K25" s="33">
        <f t="shared" si="3"/>
        <v>5.5632557208333324</v>
      </c>
      <c r="L25" s="30">
        <v>60</v>
      </c>
      <c r="M25" s="34">
        <f t="shared" si="6"/>
        <v>0.56666666666666665</v>
      </c>
      <c r="N25" s="30">
        <v>625</v>
      </c>
      <c r="O25" s="35">
        <f t="shared" ref="O25:P25" si="33">D25/7</f>
        <v>4.8571428571428568</v>
      </c>
      <c r="P25" s="35">
        <f t="shared" si="33"/>
        <v>0.2857142857142857</v>
      </c>
      <c r="Q25" s="30">
        <f t="shared" si="8"/>
        <v>121</v>
      </c>
      <c r="R25" s="30"/>
      <c r="S25" s="36">
        <v>1.1704957678355501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0.26267701388888881</v>
      </c>
      <c r="AD25" s="40">
        <f t="shared" si="12"/>
        <v>-12.324805491666663</v>
      </c>
      <c r="AE25" s="40">
        <v>-7.7</v>
      </c>
      <c r="AF25" s="40">
        <v>-9.14</v>
      </c>
      <c r="AG25" s="40">
        <v>0</v>
      </c>
    </row>
    <row r="26" spans="1:33" ht="15.75" customHeight="1" x14ac:dyDescent="0.2">
      <c r="A26" s="15" t="s">
        <v>54</v>
      </c>
      <c r="B26" s="51" t="s">
        <v>927</v>
      </c>
      <c r="C26" s="16">
        <f t="shared" si="4"/>
        <v>35.105490196078435</v>
      </c>
      <c r="D26" s="17">
        <v>51</v>
      </c>
      <c r="E26" s="17">
        <v>2</v>
      </c>
      <c r="F26" s="18">
        <v>1790.38</v>
      </c>
      <c r="G26" s="18">
        <v>0</v>
      </c>
      <c r="H26" s="32">
        <f t="shared" si="1"/>
        <v>0</v>
      </c>
      <c r="I26" s="32">
        <f t="shared" si="2"/>
        <v>0.37489043206609768</v>
      </c>
      <c r="J26" s="33">
        <f t="shared" si="5"/>
        <v>671.19633176249999</v>
      </c>
      <c r="K26" s="33">
        <f t="shared" si="3"/>
        <v>13.1607123875</v>
      </c>
      <c r="L26" s="17">
        <v>81</v>
      </c>
      <c r="M26" s="34">
        <f t="shared" si="6"/>
        <v>0.62962962962962965</v>
      </c>
      <c r="N26" s="17">
        <v>582</v>
      </c>
      <c r="O26" s="35">
        <f t="shared" ref="O26:P26" si="34">D26/7</f>
        <v>7.2857142857142856</v>
      </c>
      <c r="P26" s="35">
        <f t="shared" si="34"/>
        <v>0.2857142857142857</v>
      </c>
      <c r="Q26" s="30">
        <f t="shared" si="8"/>
        <v>76</v>
      </c>
      <c r="R26" s="30"/>
      <c r="S26" s="22">
        <v>1.45359477124183</v>
      </c>
      <c r="T26" s="15">
        <v>452</v>
      </c>
      <c r="U26" s="23" t="s">
        <v>56</v>
      </c>
      <c r="V26" s="1" t="s">
        <v>56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0.26267701388888881</v>
      </c>
      <c r="AD26" s="40">
        <f t="shared" si="12"/>
        <v>-18.487208237499992</v>
      </c>
      <c r="AE26" s="26">
        <v>-7.18</v>
      </c>
      <c r="AF26" s="26">
        <v>-9.1364599999999996</v>
      </c>
      <c r="AG26" s="26">
        <v>0</v>
      </c>
    </row>
    <row r="27" spans="1:33" ht="15.75" customHeight="1" x14ac:dyDescent="0.2">
      <c r="A27" s="15" t="s">
        <v>74</v>
      </c>
      <c r="B27" s="15" t="s">
        <v>395</v>
      </c>
      <c r="C27" s="16">
        <f t="shared" si="4"/>
        <v>34.240476190476187</v>
      </c>
      <c r="D27" s="17">
        <v>42</v>
      </c>
      <c r="E27" s="17">
        <v>0</v>
      </c>
      <c r="F27" s="18">
        <v>1438.1</v>
      </c>
      <c r="G27" s="18">
        <v>-15.96</v>
      </c>
      <c r="H27" s="32">
        <f t="shared" si="1"/>
        <v>1.1097976496766568E-2</v>
      </c>
      <c r="I27" s="32">
        <f t="shared" si="2"/>
        <v>0.35178980618524436</v>
      </c>
      <c r="J27" s="33">
        <f t="shared" si="5"/>
        <v>505.9089202749999</v>
      </c>
      <c r="K27" s="33">
        <f t="shared" si="3"/>
        <v>12.045450482738094</v>
      </c>
      <c r="L27" s="17">
        <v>90</v>
      </c>
      <c r="M27" s="34">
        <f t="shared" si="6"/>
        <v>0.46666666666666667</v>
      </c>
      <c r="N27" s="17">
        <v>378</v>
      </c>
      <c r="O27" s="35">
        <f t="shared" ref="O27:P27" si="35">D27/7</f>
        <v>6</v>
      </c>
      <c r="P27" s="35">
        <f t="shared" si="35"/>
        <v>0</v>
      </c>
      <c r="Q27" s="30">
        <f t="shared" si="8"/>
        <v>63</v>
      </c>
      <c r="R27" s="30"/>
      <c r="S27" s="22">
        <v>2.83982683982684</v>
      </c>
      <c r="T27" s="15">
        <v>120</v>
      </c>
      <c r="U27" s="23" t="s">
        <v>56</v>
      </c>
      <c r="V27" s="1" t="s">
        <v>56</v>
      </c>
      <c r="W27" s="15">
        <v>0</v>
      </c>
      <c r="X27" s="39">
        <f t="shared" si="9"/>
        <v>0</v>
      </c>
      <c r="Y27" s="40">
        <f t="shared" si="10"/>
        <v>7.98</v>
      </c>
      <c r="Z27" s="15">
        <v>2</v>
      </c>
      <c r="AA27" s="29" t="s">
        <v>58</v>
      </c>
      <c r="AB27" s="41">
        <f t="shared" si="11"/>
        <v>-0.69</v>
      </c>
      <c r="AC27" s="42">
        <v>0.26267701388888881</v>
      </c>
      <c r="AD27" s="40">
        <f t="shared" si="12"/>
        <v>-15.224759724999995</v>
      </c>
      <c r="AE27" s="26">
        <v>-7.18</v>
      </c>
      <c r="AF27" s="26">
        <v>-9.1364599999999996</v>
      </c>
      <c r="AG27" s="26">
        <v>0</v>
      </c>
    </row>
    <row r="28" spans="1:33" ht="15.75" customHeight="1" x14ac:dyDescent="0.2">
      <c r="A28" s="15" t="s">
        <v>75</v>
      </c>
      <c r="B28" s="15" t="s">
        <v>928</v>
      </c>
      <c r="C28" s="16">
        <f t="shared" si="4"/>
        <v>33.993174603174609</v>
      </c>
      <c r="D28" s="17">
        <v>63</v>
      </c>
      <c r="E28" s="17">
        <v>0</v>
      </c>
      <c r="F28" s="18">
        <v>2141.5700000000002</v>
      </c>
      <c r="G28" s="18">
        <v>0</v>
      </c>
      <c r="H28" s="32">
        <f t="shared" si="1"/>
        <v>0</v>
      </c>
      <c r="I28" s="32">
        <f t="shared" si="2"/>
        <v>0.35934402350261729</v>
      </c>
      <c r="J28" s="33">
        <f t="shared" si="5"/>
        <v>769.56038041250019</v>
      </c>
      <c r="K28" s="33">
        <f t="shared" si="3"/>
        <v>12.215244133531749</v>
      </c>
      <c r="L28" s="17">
        <v>119</v>
      </c>
      <c r="M28" s="34">
        <f t="shared" si="6"/>
        <v>0.52941176470588236</v>
      </c>
      <c r="N28" s="17">
        <v>458</v>
      </c>
      <c r="O28" s="35">
        <f t="shared" ref="O28:P28" si="36">D28/7</f>
        <v>9</v>
      </c>
      <c r="P28" s="35">
        <f t="shared" si="36"/>
        <v>0</v>
      </c>
      <c r="Q28" s="30">
        <f t="shared" si="8"/>
        <v>50</v>
      </c>
      <c r="R28" s="30"/>
      <c r="S28" s="22">
        <v>2.262924667651403</v>
      </c>
      <c r="T28" s="15">
        <v>120</v>
      </c>
      <c r="U28" s="23" t="s">
        <v>56</v>
      </c>
      <c r="V28" s="1" t="s">
        <v>56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0.26267701388888881</v>
      </c>
      <c r="AD28" s="40">
        <f t="shared" si="12"/>
        <v>-22.837139587499991</v>
      </c>
      <c r="AE28" s="26">
        <v>-7.18</v>
      </c>
      <c r="AF28" s="26">
        <v>-9.1364599999999996</v>
      </c>
      <c r="AG28" s="26">
        <v>0</v>
      </c>
    </row>
    <row r="29" spans="1:33" ht="15.75" customHeight="1" x14ac:dyDescent="0.2">
      <c r="A29" s="15" t="s">
        <v>77</v>
      </c>
      <c r="B29" s="15" t="s">
        <v>929</v>
      </c>
      <c r="C29" s="16">
        <f t="shared" si="4"/>
        <v>32.092553191489358</v>
      </c>
      <c r="D29" s="17">
        <v>47</v>
      </c>
      <c r="E29" s="17">
        <v>2</v>
      </c>
      <c r="F29" s="18">
        <v>1508.35</v>
      </c>
      <c r="G29" s="18">
        <v>0</v>
      </c>
      <c r="H29" s="32">
        <f t="shared" si="1"/>
        <v>0</v>
      </c>
      <c r="I29" s="32">
        <f t="shared" si="2"/>
        <v>0.33028584140230483</v>
      </c>
      <c r="J29" s="33">
        <f t="shared" si="5"/>
        <v>498.18664887916646</v>
      </c>
      <c r="K29" s="33">
        <f t="shared" si="3"/>
        <v>10.599715933599287</v>
      </c>
      <c r="L29" s="17">
        <v>100</v>
      </c>
      <c r="M29" s="34">
        <f t="shared" si="6"/>
        <v>0.47</v>
      </c>
      <c r="N29" s="17">
        <v>408</v>
      </c>
      <c r="O29" s="35">
        <f t="shared" ref="O29:P29" si="37">D29/7</f>
        <v>6.7142857142857144</v>
      </c>
      <c r="P29" s="35">
        <f t="shared" si="37"/>
        <v>0.2857142857142857</v>
      </c>
      <c r="Q29" s="30">
        <f t="shared" si="8"/>
        <v>58</v>
      </c>
      <c r="R29" s="30"/>
      <c r="S29" s="22">
        <v>2.664556962025316</v>
      </c>
      <c r="T29" s="15">
        <v>120</v>
      </c>
      <c r="U29" s="23" t="s">
        <v>56</v>
      </c>
      <c r="V29" s="1" t="s">
        <v>56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0.26267701388888881</v>
      </c>
      <c r="AD29" s="40">
        <f t="shared" si="12"/>
        <v>-17.037231120833326</v>
      </c>
      <c r="AE29" s="26">
        <v>-7.18</v>
      </c>
      <c r="AF29" s="26">
        <v>-9.1364599999999996</v>
      </c>
      <c r="AG29" s="26">
        <v>0</v>
      </c>
    </row>
    <row r="30" spans="1:33" ht="15.75" customHeight="1" x14ac:dyDescent="0.2">
      <c r="A30" s="15" t="s">
        <v>78</v>
      </c>
      <c r="B30" s="15" t="s">
        <v>930</v>
      </c>
      <c r="C30" s="16">
        <f t="shared" si="4"/>
        <v>29.233606557377072</v>
      </c>
      <c r="D30" s="17">
        <v>61</v>
      </c>
      <c r="E30" s="17">
        <v>1</v>
      </c>
      <c r="F30" s="18">
        <v>1783.2500000000014</v>
      </c>
      <c r="G30" s="18">
        <v>0</v>
      </c>
      <c r="H30" s="32">
        <f t="shared" si="1"/>
        <v>0</v>
      </c>
      <c r="I30" s="32">
        <f t="shared" si="2"/>
        <v>0.30486419878989718</v>
      </c>
      <c r="J30" s="33">
        <f t="shared" si="5"/>
        <v>543.64908249208452</v>
      </c>
      <c r="K30" s="33">
        <f t="shared" si="3"/>
        <v>8.9122800408538438</v>
      </c>
      <c r="L30" s="17">
        <v>102</v>
      </c>
      <c r="M30" s="34">
        <f t="shared" si="6"/>
        <v>0.59803921568627449</v>
      </c>
      <c r="N30" s="17">
        <v>347</v>
      </c>
      <c r="O30" s="35">
        <f t="shared" ref="O30:P30" si="38">D30/7</f>
        <v>8.7142857142857135</v>
      </c>
      <c r="P30" s="35">
        <f t="shared" si="38"/>
        <v>0.14285714285714285</v>
      </c>
      <c r="Q30" s="30">
        <f t="shared" si="8"/>
        <v>39</v>
      </c>
      <c r="R30" s="30"/>
      <c r="S30" s="22">
        <v>1.45514950166113</v>
      </c>
      <c r="T30" s="29">
        <v>120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0.26267701388888881</v>
      </c>
      <c r="AD30" s="40">
        <f t="shared" si="12"/>
        <v>-22.112151029166661</v>
      </c>
      <c r="AE30" s="26">
        <v>-7.18</v>
      </c>
      <c r="AF30" s="26">
        <v>-8.3937912537500008</v>
      </c>
      <c r="AG30" s="26">
        <v>0</v>
      </c>
    </row>
    <row r="31" spans="1:33" ht="15.75" customHeight="1" x14ac:dyDescent="0.2">
      <c r="A31" s="15" t="s">
        <v>55</v>
      </c>
      <c r="B31" s="15" t="s">
        <v>931</v>
      </c>
      <c r="C31" s="16">
        <f t="shared" si="4"/>
        <v>29.640175438596511</v>
      </c>
      <c r="D31" s="17">
        <v>57</v>
      </c>
      <c r="E31" s="17">
        <v>1</v>
      </c>
      <c r="F31" s="18">
        <v>1689.4900000000011</v>
      </c>
      <c r="G31" s="43">
        <v>-1.73</v>
      </c>
      <c r="H31" s="32">
        <f t="shared" si="1"/>
        <v>1.0239776500600766E-3</v>
      </c>
      <c r="I31" s="32">
        <f t="shared" si="2"/>
        <v>0.31131774951242724</v>
      </c>
      <c r="J31" s="33">
        <f t="shared" si="5"/>
        <v>525.9682246237511</v>
      </c>
      <c r="K31" s="33">
        <f t="shared" si="3"/>
        <v>9.2275127126973882</v>
      </c>
      <c r="L31" s="17">
        <v>113</v>
      </c>
      <c r="M31" s="34">
        <f t="shared" si="6"/>
        <v>0.50442477876106195</v>
      </c>
      <c r="N31" s="17">
        <v>262</v>
      </c>
      <c r="O31" s="35">
        <f t="shared" ref="O31:P31" si="39">D31/7</f>
        <v>8.1428571428571423</v>
      </c>
      <c r="P31" s="35">
        <f t="shared" si="39"/>
        <v>0.14285714285714285</v>
      </c>
      <c r="Q31" s="30">
        <f t="shared" si="8"/>
        <v>31</v>
      </c>
      <c r="R31" s="30"/>
      <c r="S31" s="22">
        <v>1.90661478599221</v>
      </c>
      <c r="T31" s="15" t="s">
        <v>56</v>
      </c>
      <c r="U31" s="23">
        <v>120</v>
      </c>
      <c r="V31" s="1" t="s">
        <v>904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0.26267701388888881</v>
      </c>
      <c r="AD31" s="40">
        <f t="shared" si="12"/>
        <v>-20.662173912499995</v>
      </c>
      <c r="AE31" s="44">
        <v>-7.18</v>
      </c>
      <c r="AF31" s="44">
        <v>-8.393791253749999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30.95</v>
      </c>
      <c r="D32" s="17">
        <v>32</v>
      </c>
      <c r="E32" s="17">
        <v>1</v>
      </c>
      <c r="F32" s="18">
        <v>990.4</v>
      </c>
      <c r="G32" s="18">
        <v>0</v>
      </c>
      <c r="H32" s="32">
        <f t="shared" si="1"/>
        <v>0</v>
      </c>
      <c r="I32" s="32">
        <f t="shared" si="2"/>
        <v>0.33509578245826588</v>
      </c>
      <c r="J32" s="33">
        <f t="shared" si="5"/>
        <v>331.87886294666652</v>
      </c>
      <c r="K32" s="33">
        <f t="shared" si="3"/>
        <v>10.371214467083329</v>
      </c>
      <c r="L32" s="17">
        <v>79</v>
      </c>
      <c r="M32" s="34">
        <f t="shared" si="6"/>
        <v>0.4050632911392405</v>
      </c>
      <c r="N32" s="17">
        <v>220</v>
      </c>
      <c r="O32" s="35">
        <f t="shared" ref="O32:P32" si="40">D32/7</f>
        <v>4.5714285714285712</v>
      </c>
      <c r="P32" s="35">
        <f t="shared" si="40"/>
        <v>0.14285714285714285</v>
      </c>
      <c r="Q32" s="30">
        <f t="shared" si="8"/>
        <v>46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2.5125148986889152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S210718   - 120 units 09/17")</f>
        <v>| S210718   - 120 units 09/17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0.26267701388888881</v>
      </c>
      <c r="AD32" s="40">
        <f t="shared" si="12"/>
        <v>-11.599816933333329</v>
      </c>
      <c r="AE32" s="26">
        <v>-7.18</v>
      </c>
      <c r="AF32" s="26">
        <v>-8.3937912537500008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84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Info!B1:BJ7000""),3,FALSE),"""")"),"Professional Cornhole Bags - Set of 8 Regulation All Weather Two Sided Bean Bags for Pro Corn Hole Game - 4 Yellow &amp; 4 Gray")</f>
        <v>Professional Cornhole Bags - Set of 8 Regulation All Weather Two Sided Bean Bags for Pro Corn Hole Game - 4 Yellow &amp; 4 Gray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Info!B1:BJ7000""),2,FALSE),"""")"),"B07ZTM9VC4")</f>
        <v>B07ZTM9VC4</v>
      </c>
      <c r="B2" s="47" t="s">
        <v>932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160.5" customHeight="1" x14ac:dyDescent="0.2">
      <c r="A3" s="62" t="s">
        <v>31</v>
      </c>
      <c r="B3" s="63"/>
      <c r="C3" s="4">
        <f>((AE32+AF32)/0.85)*-1</f>
        <v>18.32210735735293</v>
      </c>
      <c r="D3" s="5">
        <f>SUM(D4:D99765)</f>
        <v>470</v>
      </c>
      <c r="E3" s="5"/>
      <c r="F3" s="6">
        <f t="shared" ref="F3:G3" si="0">SUM(F4:F99765)</f>
        <v>12551.089999999998</v>
      </c>
      <c r="G3" s="6">
        <f t="shared" si="0"/>
        <v>-1944.2599999999998</v>
      </c>
      <c r="H3" s="7">
        <f t="shared" ref="H3:H32" si="1">G3/F3*-1</f>
        <v>0.15490766140630016</v>
      </c>
      <c r="I3" s="8">
        <f t="shared" ref="I3:I32" si="2">J3/F3</f>
        <v>7.9778246853323256E-2</v>
      </c>
      <c r="J3" s="6">
        <f>SUM(J4:J99765)</f>
        <v>1001.3039562982768</v>
      </c>
      <c r="K3" s="6">
        <f t="shared" ref="K3:K32" si="3">J3/D3</f>
        <v>2.1304339495708016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3 - April
2 - May
9 - June
7 - July
7 - Aug
5 - Sept
3 - Oct
3 - Nov
3.5 - Dec
1 - Jan
1.5 - Feb")</f>
        <v>2 - March
3 - April
2 - May
9 - June
7 - July
7 - Aug
5 - Sept
3 - Oct
3 - Nov
3.5 - Dec
1 -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QTY-70")</f>
        <v>Del QTY-70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QTY-116")</f>
        <v>US QTY-116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79</v>
      </c>
      <c r="X3" s="7">
        <f>W3/D3</f>
        <v>0.16808510638297872</v>
      </c>
      <c r="Y3" s="6"/>
      <c r="Z3" s="5"/>
      <c r="AA3" s="5"/>
      <c r="AB3" s="5"/>
      <c r="AC3" s="5"/>
      <c r="AD3" s="6">
        <f>SUM(AD4:AD99765)</f>
        <v>-135.33667979839007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SUM(AG4:AG99765)</f>
        <v>-76</v>
      </c>
    </row>
    <row r="4" spans="1:33" ht="15.75" customHeight="1" x14ac:dyDescent="0.2">
      <c r="A4" s="15" t="s">
        <v>32</v>
      </c>
      <c r="B4" s="15" t="s">
        <v>933</v>
      </c>
      <c r="C4" s="16">
        <f t="shared" ref="C4:C32" si="4">IFERROR(F4/D4," - ")</f>
        <v>20.089333333333336</v>
      </c>
      <c r="D4" s="17">
        <v>15</v>
      </c>
      <c r="E4" s="17">
        <v>1</v>
      </c>
      <c r="F4" s="18">
        <v>301.34000000000003</v>
      </c>
      <c r="G4" s="18">
        <v>0</v>
      </c>
      <c r="H4" s="19">
        <f t="shared" si="1"/>
        <v>0</v>
      </c>
      <c r="I4" s="19">
        <f t="shared" si="2"/>
        <v>0.12121167439284022</v>
      </c>
      <c r="J4" s="18">
        <f t="shared" ref="J4:J32" si="5">F4*0.85+G4+AF4*D4+D4*AE4+AG4+AD4</f>
        <v>36.525925961538476</v>
      </c>
      <c r="K4" s="18">
        <f t="shared" si="3"/>
        <v>2.4350617307692319</v>
      </c>
      <c r="L4" s="17">
        <v>29</v>
      </c>
      <c r="M4" s="20">
        <f t="shared" ref="M4:M32" si="6">IFERROR(D4/L4,"-")</f>
        <v>0.51724137931034486</v>
      </c>
      <c r="N4" s="17">
        <v>19</v>
      </c>
      <c r="O4" s="21">
        <f t="shared" ref="O4:P4" si="7">D4/7</f>
        <v>2.1428571428571428</v>
      </c>
      <c r="P4" s="21">
        <f t="shared" si="7"/>
        <v>0.14285714285714285</v>
      </c>
      <c r="Q4" s="17">
        <f t="shared" ref="Q4:Q32" si="8">ROUNDDOWN(N4/(O4+P4),0)</f>
        <v>8</v>
      </c>
      <c r="R4" s="17"/>
      <c r="S4" s="22">
        <v>2.2923976608187102</v>
      </c>
      <c r="T4" s="15">
        <v>704</v>
      </c>
      <c r="U4" s="23">
        <v>96</v>
      </c>
      <c r="V4" s="24" t="s">
        <v>934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58</v>
      </c>
      <c r="AB4" s="27">
        <f t="shared" ref="AB4:AB32" si="11">IF(OR(AA4="UsLargeStandardSize",AA4="UsSmallStandardSize"),-0.69,-0.48)</f>
        <v>-0.69</v>
      </c>
      <c r="AC4" s="28">
        <v>0.13643055555555558</v>
      </c>
      <c r="AD4" s="26">
        <f t="shared" ref="AD4:AD32" si="12">IFERROR(AB4*AC4*D4*2,0)</f>
        <v>-2.8241125000000005</v>
      </c>
      <c r="AE4" s="26">
        <v>-7.32</v>
      </c>
      <c r="AF4" s="26">
        <v>-7.132597435897436</v>
      </c>
      <c r="AG4" s="26">
        <v>0</v>
      </c>
    </row>
    <row r="5" spans="1:33" ht="15.75" customHeight="1" x14ac:dyDescent="0.2">
      <c r="A5" s="29" t="s">
        <v>33</v>
      </c>
      <c r="B5" s="29" t="s">
        <v>935</v>
      </c>
      <c r="C5" s="16">
        <f t="shared" si="4"/>
        <v>21.731249999999999</v>
      </c>
      <c r="D5" s="30">
        <v>8</v>
      </c>
      <c r="E5" s="30">
        <v>3</v>
      </c>
      <c r="F5" s="31">
        <v>173.85</v>
      </c>
      <c r="G5" s="31">
        <v>0</v>
      </c>
      <c r="H5" s="32">
        <f t="shared" si="1"/>
        <v>0</v>
      </c>
      <c r="I5" s="32">
        <f t="shared" si="2"/>
        <v>0.17626564210609019</v>
      </c>
      <c r="J5" s="33">
        <f t="shared" si="5"/>
        <v>30.643781880143781</v>
      </c>
      <c r="K5" s="33">
        <f t="shared" si="3"/>
        <v>3.8304727350179726</v>
      </c>
      <c r="L5" s="30">
        <v>38</v>
      </c>
      <c r="M5" s="34">
        <f t="shared" si="6"/>
        <v>0.21052631578947367</v>
      </c>
      <c r="N5" s="30">
        <v>11</v>
      </c>
      <c r="O5" s="35">
        <f t="shared" ref="O5:P5" si="13">D5/7</f>
        <v>1.1428571428571428</v>
      </c>
      <c r="P5" s="35">
        <f t="shared" si="13"/>
        <v>0.42857142857142855</v>
      </c>
      <c r="Q5" s="30">
        <f t="shared" si="8"/>
        <v>7</v>
      </c>
      <c r="R5" s="30"/>
      <c r="S5" s="36">
        <v>2.6666666666666599</v>
      </c>
      <c r="T5" s="29">
        <v>888</v>
      </c>
      <c r="U5" s="37">
        <v>96</v>
      </c>
      <c r="V5" s="38" t="s">
        <v>936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58</v>
      </c>
      <c r="AB5" s="41">
        <f t="shared" si="11"/>
        <v>-0.69</v>
      </c>
      <c r="AC5" s="42">
        <v>0.1365886442641947</v>
      </c>
      <c r="AD5" s="40">
        <f t="shared" si="12"/>
        <v>-1.5079386326767095</v>
      </c>
      <c r="AE5" s="40">
        <v>-7.32</v>
      </c>
      <c r="AF5" s="40">
        <v>-7.132597435897436</v>
      </c>
      <c r="AG5" s="40">
        <v>0</v>
      </c>
    </row>
    <row r="6" spans="1:33" ht="15.75" customHeight="1" x14ac:dyDescent="0.2">
      <c r="A6" s="29" t="s">
        <v>34</v>
      </c>
      <c r="B6" s="29" t="s">
        <v>487</v>
      </c>
      <c r="C6" s="16">
        <f t="shared" si="4"/>
        <v>28.834999999999997</v>
      </c>
      <c r="D6" s="30">
        <v>4</v>
      </c>
      <c r="E6" s="30">
        <v>2</v>
      </c>
      <c r="F6" s="31">
        <v>115.33999999999999</v>
      </c>
      <c r="G6" s="31">
        <v>0</v>
      </c>
      <c r="H6" s="32">
        <f t="shared" si="1"/>
        <v>0</v>
      </c>
      <c r="I6" s="32">
        <f t="shared" si="2"/>
        <v>0.34224588989138099</v>
      </c>
      <c r="J6" s="33">
        <f t="shared" si="5"/>
        <v>39.474640940071879</v>
      </c>
      <c r="K6" s="33">
        <f t="shared" si="3"/>
        <v>9.8686602350179697</v>
      </c>
      <c r="L6" s="30">
        <v>26</v>
      </c>
      <c r="M6" s="34">
        <f t="shared" si="6"/>
        <v>0.15384615384615385</v>
      </c>
      <c r="N6" s="30">
        <v>0</v>
      </c>
      <c r="O6" s="35">
        <f t="shared" ref="O6:P6" si="14">D6/7</f>
        <v>0.5714285714285714</v>
      </c>
      <c r="P6" s="35">
        <f t="shared" si="14"/>
        <v>0.2857142857142857</v>
      </c>
      <c r="Q6" s="30">
        <f t="shared" si="8"/>
        <v>0</v>
      </c>
      <c r="R6" s="30"/>
      <c r="S6" s="36">
        <v>3.2760180995475099</v>
      </c>
      <c r="T6" s="29">
        <v>888</v>
      </c>
      <c r="U6" s="37">
        <v>96</v>
      </c>
      <c r="V6" s="38" t="s">
        <v>937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58</v>
      </c>
      <c r="AB6" s="41">
        <f t="shared" si="11"/>
        <v>-0.69</v>
      </c>
      <c r="AC6" s="42">
        <v>0.1365886442641947</v>
      </c>
      <c r="AD6" s="40">
        <f t="shared" si="12"/>
        <v>-0.75396931633835473</v>
      </c>
      <c r="AE6" s="40">
        <v>-7.32</v>
      </c>
      <c r="AF6" s="40">
        <v>-7.132597435897436</v>
      </c>
      <c r="AG6" s="40">
        <v>0</v>
      </c>
    </row>
    <row r="7" spans="1:33" ht="15.75" customHeight="1" x14ac:dyDescent="0.2">
      <c r="A7" s="29" t="s">
        <v>35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888</v>
      </c>
      <c r="U7" s="37">
        <v>96</v>
      </c>
      <c r="V7" s="38" t="s">
        <v>938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-7.132597435897436</v>
      </c>
      <c r="AG7" s="40">
        <v>0</v>
      </c>
    </row>
    <row r="8" spans="1:33" ht="15.75" customHeight="1" x14ac:dyDescent="0.2">
      <c r="A8" s="29" t="s">
        <v>36</v>
      </c>
      <c r="B8" s="29" t="s">
        <v>179</v>
      </c>
      <c r="C8" s="16" t="str">
        <f t="shared" si="4"/>
        <v xml:space="preserve"> - </v>
      </c>
      <c r="D8" s="30">
        <v>0</v>
      </c>
      <c r="E8" s="30">
        <v>1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1</v>
      </c>
      <c r="O8" s="35">
        <f t="shared" ref="O8:P8" si="16">D8/7</f>
        <v>0</v>
      </c>
      <c r="P8" s="35">
        <f t="shared" si="16"/>
        <v>0.14285714285714285</v>
      </c>
      <c r="Q8" s="30">
        <f t="shared" si="8"/>
        <v>7</v>
      </c>
      <c r="R8" s="30"/>
      <c r="S8" s="36">
        <v>2.9541284403669699</v>
      </c>
      <c r="T8" s="29">
        <v>888</v>
      </c>
      <c r="U8" s="37">
        <v>96</v>
      </c>
      <c r="V8" s="38" t="s">
        <v>939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58</v>
      </c>
      <c r="AB8" s="41">
        <f t="shared" si="11"/>
        <v>-0.69</v>
      </c>
      <c r="AC8" s="42">
        <v>0.13643055555555558</v>
      </c>
      <c r="AD8" s="40">
        <f t="shared" si="12"/>
        <v>0</v>
      </c>
      <c r="AE8" s="40">
        <v>-7.32</v>
      </c>
      <c r="AF8" s="40">
        <v>-7.13</v>
      </c>
      <c r="AG8" s="40">
        <v>0</v>
      </c>
    </row>
    <row r="9" spans="1:33" ht="15.75" customHeight="1" x14ac:dyDescent="0.2">
      <c r="A9" s="29" t="s">
        <v>37</v>
      </c>
      <c r="B9" s="29" t="s">
        <v>487</v>
      </c>
      <c r="C9" s="16">
        <f t="shared" si="4"/>
        <v>30.36</v>
      </c>
      <c r="D9" s="30">
        <v>1</v>
      </c>
      <c r="E9" s="30">
        <v>0</v>
      </c>
      <c r="F9" s="31">
        <v>30.36</v>
      </c>
      <c r="G9" s="31">
        <v>0</v>
      </c>
      <c r="H9" s="32">
        <f t="shared" si="1"/>
        <v>0</v>
      </c>
      <c r="I9" s="32">
        <f t="shared" si="2"/>
        <v>0.35612395484949838</v>
      </c>
      <c r="J9" s="33">
        <f t="shared" si="5"/>
        <v>10.811923269230771</v>
      </c>
      <c r="K9" s="33">
        <f t="shared" si="3"/>
        <v>10.811923269230771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0.14285714285714285</v>
      </c>
      <c r="P9" s="35">
        <f t="shared" si="17"/>
        <v>0</v>
      </c>
      <c r="Q9" s="30">
        <f t="shared" si="8"/>
        <v>0</v>
      </c>
      <c r="R9" s="30"/>
      <c r="S9" s="36" t="e">
        <v>#N/A</v>
      </c>
      <c r="T9" s="29">
        <v>888</v>
      </c>
      <c r="U9" s="37">
        <v>96</v>
      </c>
      <c r="V9" s="38" t="s">
        <v>940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58</v>
      </c>
      <c r="AB9" s="41">
        <f t="shared" si="11"/>
        <v>-0.69</v>
      </c>
      <c r="AC9" s="42">
        <v>0.13643055555555558</v>
      </c>
      <c r="AD9" s="40">
        <f t="shared" si="12"/>
        <v>-0.18827416666666669</v>
      </c>
      <c r="AE9" s="40">
        <v>-7.32</v>
      </c>
      <c r="AF9" s="40">
        <v>-7.4858025641025598</v>
      </c>
      <c r="AG9" s="40">
        <v>0</v>
      </c>
    </row>
    <row r="10" spans="1:33" ht="15.75" customHeight="1" x14ac:dyDescent="0.2">
      <c r="A10" s="29" t="s">
        <v>38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968</v>
      </c>
      <c r="U10" s="37">
        <v>96</v>
      </c>
      <c r="V10" s="38" t="s">
        <v>941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-7.4858025641025598</v>
      </c>
      <c r="AG10" s="40">
        <v>0</v>
      </c>
    </row>
    <row r="11" spans="1:33" ht="15.75" customHeight="1" x14ac:dyDescent="0.2">
      <c r="A11" s="29" t="s">
        <v>39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1496</v>
      </c>
      <c r="U11" s="37">
        <v>96</v>
      </c>
      <c r="V11" s="38" t="s">
        <v>942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-7.4858025641025598</v>
      </c>
      <c r="AG11" s="40">
        <v>0</v>
      </c>
    </row>
    <row r="12" spans="1:33" ht="15.75" customHeight="1" x14ac:dyDescent="0.2">
      <c r="A12" s="29" t="s">
        <v>40</v>
      </c>
      <c r="B12" s="29" t="s">
        <v>943</v>
      </c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4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>
        <v>3.0429447852760698</v>
      </c>
      <c r="T12" s="29">
        <v>792</v>
      </c>
      <c r="U12" s="37">
        <v>184</v>
      </c>
      <c r="V12" s="38" t="s">
        <v>944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-7.5729820512820503</v>
      </c>
      <c r="AG12" s="40">
        <v>0</v>
      </c>
    </row>
    <row r="13" spans="1:33" ht="15.75" customHeight="1" x14ac:dyDescent="0.2">
      <c r="A13" s="29" t="s">
        <v>41</v>
      </c>
      <c r="B13" s="29" t="s">
        <v>127</v>
      </c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4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>
        <v>3.0849673202614301</v>
      </c>
      <c r="T13" s="29">
        <v>792</v>
      </c>
      <c r="U13" s="37">
        <v>184</v>
      </c>
      <c r="V13" s="38" t="s">
        <v>944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58</v>
      </c>
      <c r="AB13" s="41">
        <f t="shared" si="11"/>
        <v>-0.69</v>
      </c>
      <c r="AC13" s="42">
        <v>0.13643055555555558</v>
      </c>
      <c r="AD13" s="40">
        <f t="shared" si="12"/>
        <v>0</v>
      </c>
      <c r="AE13" s="40">
        <v>-7.32</v>
      </c>
      <c r="AF13" s="40">
        <v>-7.7717000000000001</v>
      </c>
      <c r="AG13" s="40">
        <v>0</v>
      </c>
    </row>
    <row r="14" spans="1:33" ht="15.75" customHeight="1" x14ac:dyDescent="0.2">
      <c r="A14" s="29" t="s">
        <v>42</v>
      </c>
      <c r="B14" s="29" t="s">
        <v>179</v>
      </c>
      <c r="C14" s="16">
        <f t="shared" si="4"/>
        <v>29.99</v>
      </c>
      <c r="D14" s="30">
        <v>4</v>
      </c>
      <c r="E14" s="30">
        <v>0</v>
      </c>
      <c r="F14" s="33">
        <v>119.96</v>
      </c>
      <c r="G14" s="31">
        <v>0</v>
      </c>
      <c r="H14" s="32">
        <f t="shared" si="1"/>
        <v>0</v>
      </c>
      <c r="I14" s="32">
        <f t="shared" si="2"/>
        <v>0.34049769367566968</v>
      </c>
      <c r="J14" s="33">
        <f t="shared" si="5"/>
        <v>40.846103333333332</v>
      </c>
      <c r="K14" s="33">
        <f t="shared" si="3"/>
        <v>10.211525833333333</v>
      </c>
      <c r="L14" s="30">
        <v>28</v>
      </c>
      <c r="M14" s="34">
        <f t="shared" si="6"/>
        <v>0.14285714285714285</v>
      </c>
      <c r="N14" s="30">
        <v>2</v>
      </c>
      <c r="O14" s="35">
        <f t="shared" ref="O14:P14" si="22">D14/7</f>
        <v>0.5714285714285714</v>
      </c>
      <c r="P14" s="35">
        <f t="shared" si="22"/>
        <v>0</v>
      </c>
      <c r="Q14" s="30">
        <f t="shared" si="8"/>
        <v>3</v>
      </c>
      <c r="R14" s="30"/>
      <c r="S14" s="36">
        <v>3.7117117117117102</v>
      </c>
      <c r="T14" s="29">
        <v>792</v>
      </c>
      <c r="U14" s="37">
        <v>184</v>
      </c>
      <c r="V14" s="38" t="s">
        <v>944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58</v>
      </c>
      <c r="AB14" s="41">
        <f t="shared" si="11"/>
        <v>-0.69</v>
      </c>
      <c r="AC14" s="42">
        <v>0.13643055555555558</v>
      </c>
      <c r="AD14" s="40">
        <f t="shared" si="12"/>
        <v>-0.75309666666666675</v>
      </c>
      <c r="AE14" s="40">
        <v>-7.32</v>
      </c>
      <c r="AF14" s="40">
        <v>-7.7717000000000001</v>
      </c>
      <c r="AG14" s="40">
        <v>0</v>
      </c>
    </row>
    <row r="15" spans="1:33" ht="15.75" customHeight="1" x14ac:dyDescent="0.2">
      <c r="A15" s="29" t="s">
        <v>43</v>
      </c>
      <c r="B15" s="29" t="s">
        <v>868</v>
      </c>
      <c r="C15" s="16">
        <f t="shared" si="4"/>
        <v>29.99</v>
      </c>
      <c r="D15" s="30">
        <v>5</v>
      </c>
      <c r="E15" s="30">
        <v>0</v>
      </c>
      <c r="F15" s="33">
        <v>149.94999999999999</v>
      </c>
      <c r="G15" s="31">
        <v>0</v>
      </c>
      <c r="H15" s="32">
        <f t="shared" si="1"/>
        <v>0</v>
      </c>
      <c r="I15" s="32">
        <f t="shared" si="2"/>
        <v>0.34049769367566962</v>
      </c>
      <c r="J15" s="33">
        <f t="shared" si="5"/>
        <v>51.057629166666658</v>
      </c>
      <c r="K15" s="33">
        <f t="shared" si="3"/>
        <v>10.211525833333331</v>
      </c>
      <c r="L15" s="30">
        <v>17</v>
      </c>
      <c r="M15" s="34">
        <f t="shared" si="6"/>
        <v>0.29411764705882354</v>
      </c>
      <c r="N15" s="30">
        <v>90</v>
      </c>
      <c r="O15" s="35">
        <f t="shared" ref="O15:P15" si="23">D15/7</f>
        <v>0.7142857142857143</v>
      </c>
      <c r="P15" s="35">
        <f t="shared" si="23"/>
        <v>0</v>
      </c>
      <c r="Q15" s="30">
        <f t="shared" si="8"/>
        <v>126</v>
      </c>
      <c r="R15" s="30"/>
      <c r="S15" s="36">
        <v>1.7254901960784299</v>
      </c>
      <c r="T15" s="29">
        <v>792</v>
      </c>
      <c r="U15" s="37">
        <v>184</v>
      </c>
      <c r="V15" s="38" t="s">
        <v>944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58</v>
      </c>
      <c r="AB15" s="41">
        <f t="shared" si="11"/>
        <v>-0.69</v>
      </c>
      <c r="AC15" s="42">
        <v>0.13643055555555558</v>
      </c>
      <c r="AD15" s="40">
        <f t="shared" si="12"/>
        <v>-0.94137083333333349</v>
      </c>
      <c r="AE15" s="40">
        <v>-7.32</v>
      </c>
      <c r="AF15" s="40">
        <v>-7.7717000000000001</v>
      </c>
      <c r="AG15" s="40">
        <v>0</v>
      </c>
    </row>
    <row r="16" spans="1:33" ht="15.75" customHeight="1" x14ac:dyDescent="0.2">
      <c r="A16" s="29" t="s">
        <v>44</v>
      </c>
      <c r="B16" s="29" t="s">
        <v>945</v>
      </c>
      <c r="C16" s="16">
        <f t="shared" si="4"/>
        <v>29.95</v>
      </c>
      <c r="D16" s="30">
        <v>4</v>
      </c>
      <c r="E16" s="30">
        <v>0</v>
      </c>
      <c r="F16" s="33">
        <v>119.8</v>
      </c>
      <c r="G16" s="31">
        <v>-33.03</v>
      </c>
      <c r="H16" s="32">
        <f t="shared" si="1"/>
        <v>0.27570951585976627</v>
      </c>
      <c r="I16" s="32">
        <f t="shared" si="2"/>
        <v>1.8539760712298254E-2</v>
      </c>
      <c r="J16" s="33">
        <f t="shared" si="5"/>
        <v>2.2210633333333307</v>
      </c>
      <c r="K16" s="33">
        <f t="shared" si="3"/>
        <v>0.55526583333333268</v>
      </c>
      <c r="L16" s="30">
        <v>39</v>
      </c>
      <c r="M16" s="34">
        <f t="shared" si="6"/>
        <v>0.10256410256410256</v>
      </c>
      <c r="N16" s="30">
        <v>84</v>
      </c>
      <c r="O16" s="35">
        <f t="shared" ref="O16:P16" si="24">D16/7</f>
        <v>0.5714285714285714</v>
      </c>
      <c r="P16" s="35">
        <f t="shared" si="24"/>
        <v>0</v>
      </c>
      <c r="Q16" s="30">
        <f t="shared" si="8"/>
        <v>147</v>
      </c>
      <c r="R16" s="30"/>
      <c r="S16" s="36">
        <v>1.51515151515151</v>
      </c>
      <c r="T16" s="29">
        <v>792</v>
      </c>
      <c r="U16" s="37">
        <v>184</v>
      </c>
      <c r="V16" s="38" t="s">
        <v>946</v>
      </c>
      <c r="W16" s="29">
        <v>1</v>
      </c>
      <c r="X16" s="39">
        <f t="shared" si="9"/>
        <v>0.25</v>
      </c>
      <c r="Y16" s="40">
        <f t="shared" si="10"/>
        <v>2.7524999999999999</v>
      </c>
      <c r="Z16" s="29">
        <v>11</v>
      </c>
      <c r="AA16" s="29" t="s">
        <v>58</v>
      </c>
      <c r="AB16" s="41">
        <f t="shared" si="11"/>
        <v>-0.69</v>
      </c>
      <c r="AC16" s="42">
        <v>0.13643055555555558</v>
      </c>
      <c r="AD16" s="40">
        <f t="shared" si="12"/>
        <v>-0.75309666666666675</v>
      </c>
      <c r="AE16" s="40">
        <v>-7.32</v>
      </c>
      <c r="AF16" s="40">
        <v>-9.1364599999999996</v>
      </c>
      <c r="AG16" s="40">
        <v>0</v>
      </c>
    </row>
    <row r="17" spans="1:33" ht="15.75" customHeight="1" x14ac:dyDescent="0.2">
      <c r="A17" s="29" t="s">
        <v>45</v>
      </c>
      <c r="B17" s="29" t="s">
        <v>947</v>
      </c>
      <c r="C17" s="16">
        <f t="shared" si="4"/>
        <v>31.61666666666666</v>
      </c>
      <c r="D17" s="30">
        <v>9</v>
      </c>
      <c r="E17" s="30">
        <v>1</v>
      </c>
      <c r="F17" s="33">
        <v>284.54999999999995</v>
      </c>
      <c r="G17" s="31">
        <v>-32.950000000000003</v>
      </c>
      <c r="H17" s="32">
        <f t="shared" si="1"/>
        <v>0.11579687225443686</v>
      </c>
      <c r="I17" s="32">
        <f t="shared" si="2"/>
        <v>0.18666277455631691</v>
      </c>
      <c r="J17" s="33">
        <f t="shared" si="5"/>
        <v>53.114892499999968</v>
      </c>
      <c r="K17" s="33">
        <f t="shared" si="3"/>
        <v>5.9016547222222187</v>
      </c>
      <c r="L17" s="30">
        <v>51</v>
      </c>
      <c r="M17" s="34">
        <f t="shared" si="6"/>
        <v>0.17647058823529413</v>
      </c>
      <c r="N17" s="30">
        <v>74</v>
      </c>
      <c r="O17" s="35">
        <f t="shared" ref="O17:P17" si="25">D17/7</f>
        <v>1.2857142857142858</v>
      </c>
      <c r="P17" s="35">
        <f t="shared" si="25"/>
        <v>0.14285714285714285</v>
      </c>
      <c r="Q17" s="30">
        <f t="shared" si="8"/>
        <v>51</v>
      </c>
      <c r="R17" s="30"/>
      <c r="S17" s="36">
        <v>1.52727272727272</v>
      </c>
      <c r="T17" s="29">
        <v>792</v>
      </c>
      <c r="U17" s="37">
        <v>184</v>
      </c>
      <c r="V17" s="38" t="s">
        <v>948</v>
      </c>
      <c r="W17" s="29">
        <v>4</v>
      </c>
      <c r="X17" s="39">
        <f t="shared" si="9"/>
        <v>0.44444444444444442</v>
      </c>
      <c r="Y17" s="40">
        <f t="shared" si="10"/>
        <v>1.7342105263157896</v>
      </c>
      <c r="Z17" s="29">
        <v>15</v>
      </c>
      <c r="AA17" s="29" t="s">
        <v>58</v>
      </c>
      <c r="AB17" s="41">
        <f t="shared" si="11"/>
        <v>-0.69</v>
      </c>
      <c r="AC17" s="42">
        <v>0.13643055555555558</v>
      </c>
      <c r="AD17" s="40">
        <f t="shared" si="12"/>
        <v>-1.6944675000000002</v>
      </c>
      <c r="AE17" s="40">
        <v>-7.32</v>
      </c>
      <c r="AF17" s="40">
        <v>-9.1364599999999996</v>
      </c>
      <c r="AG17" s="40">
        <v>-6</v>
      </c>
    </row>
    <row r="18" spans="1:33" ht="15.75" customHeight="1" x14ac:dyDescent="0.2">
      <c r="A18" s="29" t="s">
        <v>46</v>
      </c>
      <c r="B18" s="29" t="s">
        <v>949</v>
      </c>
      <c r="C18" s="16">
        <f t="shared" si="4"/>
        <v>35.240588235294119</v>
      </c>
      <c r="D18" s="30">
        <v>17</v>
      </c>
      <c r="E18" s="30">
        <v>0</v>
      </c>
      <c r="F18" s="33">
        <v>599.09</v>
      </c>
      <c r="G18" s="31">
        <v>-34.43</v>
      </c>
      <c r="H18" s="32">
        <f t="shared" si="1"/>
        <v>5.7470496920329163E-2</v>
      </c>
      <c r="I18" s="32">
        <f t="shared" si="2"/>
        <v>0.29350518146967342</v>
      </c>
      <c r="J18" s="33">
        <f t="shared" si="5"/>
        <v>175.83601916666666</v>
      </c>
      <c r="K18" s="33">
        <f t="shared" si="3"/>
        <v>10.343295245098039</v>
      </c>
      <c r="L18" s="30">
        <v>46</v>
      </c>
      <c r="M18" s="34">
        <f t="shared" si="6"/>
        <v>0.36956521739130432</v>
      </c>
      <c r="N18" s="30">
        <v>129</v>
      </c>
      <c r="O18" s="35">
        <f t="shared" ref="O18:P18" si="26">D18/7</f>
        <v>2.4285714285714284</v>
      </c>
      <c r="P18" s="35">
        <f t="shared" si="26"/>
        <v>0</v>
      </c>
      <c r="Q18" s="30">
        <f t="shared" si="8"/>
        <v>53</v>
      </c>
      <c r="R18" s="30"/>
      <c r="S18" s="36">
        <v>1.3684210526315701</v>
      </c>
      <c r="T18" s="29">
        <v>1048</v>
      </c>
      <c r="U18" s="37">
        <v>608</v>
      </c>
      <c r="V18" s="38" t="s">
        <v>950</v>
      </c>
      <c r="W18" s="29">
        <v>2</v>
      </c>
      <c r="X18" s="39">
        <f t="shared" si="9"/>
        <v>0.11764705882352941</v>
      </c>
      <c r="Y18" s="40">
        <f t="shared" si="10"/>
        <v>5.7383333333333333</v>
      </c>
      <c r="Z18" s="29">
        <v>4</v>
      </c>
      <c r="AA18" s="29" t="s">
        <v>58</v>
      </c>
      <c r="AB18" s="41">
        <f t="shared" si="11"/>
        <v>-0.69</v>
      </c>
      <c r="AC18" s="42">
        <v>0.13643055555555558</v>
      </c>
      <c r="AD18" s="40">
        <f t="shared" si="12"/>
        <v>-3.2006608333333335</v>
      </c>
      <c r="AE18" s="40">
        <v>-7.32</v>
      </c>
      <c r="AF18" s="40">
        <v>-9.1364599999999996</v>
      </c>
      <c r="AG18" s="40">
        <v>-16</v>
      </c>
    </row>
    <row r="19" spans="1:33" ht="15.75" customHeight="1" x14ac:dyDescent="0.2">
      <c r="A19" s="29" t="s">
        <v>47</v>
      </c>
      <c r="B19" s="29" t="s">
        <v>506</v>
      </c>
      <c r="C19" s="16">
        <f t="shared" si="4"/>
        <v>34.949999999999996</v>
      </c>
      <c r="D19" s="30">
        <v>10</v>
      </c>
      <c r="E19" s="30">
        <v>0</v>
      </c>
      <c r="F19" s="33">
        <v>349.49999999999994</v>
      </c>
      <c r="G19" s="31">
        <v>-13.09</v>
      </c>
      <c r="H19" s="32">
        <f t="shared" si="1"/>
        <v>3.7453505007153082E-2</v>
      </c>
      <c r="I19" s="32">
        <f t="shared" si="2"/>
        <v>0.31008654173223643</v>
      </c>
      <c r="J19" s="33">
        <f t="shared" si="5"/>
        <v>108.37524633541662</v>
      </c>
      <c r="K19" s="33">
        <f t="shared" si="3"/>
        <v>10.837524633541662</v>
      </c>
      <c r="L19" s="30">
        <v>26</v>
      </c>
      <c r="M19" s="34">
        <f t="shared" si="6"/>
        <v>0.38461538461538464</v>
      </c>
      <c r="N19" s="30">
        <v>118</v>
      </c>
      <c r="O19" s="35">
        <f t="shared" ref="O19:P19" si="27">D19/7</f>
        <v>1.4285714285714286</v>
      </c>
      <c r="P19" s="35">
        <f t="shared" si="27"/>
        <v>0</v>
      </c>
      <c r="Q19" s="30">
        <f t="shared" si="8"/>
        <v>82</v>
      </c>
      <c r="R19" s="30"/>
      <c r="S19" s="36">
        <v>0.83928571428571397</v>
      </c>
      <c r="T19" s="29">
        <v>864</v>
      </c>
      <c r="U19" s="37">
        <v>608</v>
      </c>
      <c r="V19" s="38" t="s">
        <v>951</v>
      </c>
      <c r="W19" s="29">
        <v>2</v>
      </c>
      <c r="X19" s="39">
        <f t="shared" si="9"/>
        <v>0.2</v>
      </c>
      <c r="Y19" s="40">
        <f t="shared" si="10"/>
        <v>4.3633333333333333</v>
      </c>
      <c r="Z19" s="29">
        <v>1</v>
      </c>
      <c r="AA19" s="29" t="s">
        <v>58</v>
      </c>
      <c r="AB19" s="41">
        <f t="shared" si="11"/>
        <v>-0.69</v>
      </c>
      <c r="AC19" s="42">
        <v>0.22066330902777778</v>
      </c>
      <c r="AD19" s="40">
        <f t="shared" si="12"/>
        <v>-3.0451536645833333</v>
      </c>
      <c r="AE19" s="40">
        <v>-7.32</v>
      </c>
      <c r="AF19" s="40">
        <v>-9.1364599999999996</v>
      </c>
      <c r="AG19" s="40">
        <v>-8</v>
      </c>
    </row>
    <row r="20" spans="1:33" ht="15.75" customHeight="1" x14ac:dyDescent="0.2">
      <c r="A20" s="29" t="s">
        <v>48</v>
      </c>
      <c r="B20" s="29" t="s">
        <v>452</v>
      </c>
      <c r="C20" s="16">
        <f t="shared" si="4"/>
        <v>32.037368421052626</v>
      </c>
      <c r="D20" s="30">
        <v>19</v>
      </c>
      <c r="E20" s="30">
        <v>2</v>
      </c>
      <c r="F20" s="33">
        <v>608.70999999999992</v>
      </c>
      <c r="G20" s="31">
        <v>-37.460000000000008</v>
      </c>
      <c r="H20" s="32">
        <f t="shared" si="1"/>
        <v>6.1539977986233202E-2</v>
      </c>
      <c r="I20" s="32">
        <f t="shared" si="2"/>
        <v>0.2488622957357223</v>
      </c>
      <c r="J20" s="33">
        <f t="shared" si="5"/>
        <v>151.48496803729151</v>
      </c>
      <c r="K20" s="33">
        <f t="shared" si="3"/>
        <v>7.97289305459429</v>
      </c>
      <c r="L20" s="30">
        <v>40</v>
      </c>
      <c r="M20" s="34">
        <f t="shared" si="6"/>
        <v>0.47499999999999998</v>
      </c>
      <c r="N20" s="30">
        <v>93</v>
      </c>
      <c r="O20" s="35">
        <f t="shared" ref="O20:P20" si="28">D20/7</f>
        <v>2.7142857142857144</v>
      </c>
      <c r="P20" s="35">
        <f t="shared" si="28"/>
        <v>0.2857142857142857</v>
      </c>
      <c r="Q20" s="30">
        <f t="shared" si="8"/>
        <v>31</v>
      </c>
      <c r="R20" s="30"/>
      <c r="S20" s="36">
        <v>1.3056994818652801</v>
      </c>
      <c r="T20" s="29">
        <v>864</v>
      </c>
      <c r="U20" s="37">
        <v>608</v>
      </c>
      <c r="V20" s="38" t="s">
        <v>952</v>
      </c>
      <c r="W20" s="29">
        <v>1</v>
      </c>
      <c r="X20" s="39">
        <f t="shared" si="9"/>
        <v>5.2631578947368418E-2</v>
      </c>
      <c r="Y20" s="40">
        <f t="shared" si="10"/>
        <v>5.3514285714285723</v>
      </c>
      <c r="Z20" s="29">
        <v>6</v>
      </c>
      <c r="AA20" s="29" t="s">
        <v>58</v>
      </c>
      <c r="AB20" s="41">
        <f t="shared" si="11"/>
        <v>-0.69</v>
      </c>
      <c r="AC20" s="42">
        <v>0.22066330902777778</v>
      </c>
      <c r="AD20" s="40">
        <f t="shared" si="12"/>
        <v>-5.7857919627083332</v>
      </c>
      <c r="AE20" s="40">
        <v>-7.32</v>
      </c>
      <c r="AF20" s="40">
        <v>-9.1364599999999996</v>
      </c>
      <c r="AG20" s="40">
        <v>-10</v>
      </c>
    </row>
    <row r="21" spans="1:33" ht="15.75" customHeight="1" x14ac:dyDescent="0.2">
      <c r="A21" s="29" t="s">
        <v>49</v>
      </c>
      <c r="B21" s="29" t="s">
        <v>953</v>
      </c>
      <c r="C21" s="16">
        <f t="shared" si="4"/>
        <v>28.422222222222214</v>
      </c>
      <c r="D21" s="30">
        <v>18</v>
      </c>
      <c r="E21" s="30">
        <v>0</v>
      </c>
      <c r="F21" s="33">
        <v>511.59999999999985</v>
      </c>
      <c r="G21" s="31">
        <v>-47.2</v>
      </c>
      <c r="H21" s="32">
        <f t="shared" si="1"/>
        <v>9.2259577795152495E-2</v>
      </c>
      <c r="I21" s="32">
        <f t="shared" si="2"/>
        <v>0.16411736396354554</v>
      </c>
      <c r="J21" s="33">
        <f t="shared" si="5"/>
        <v>83.962443403749873</v>
      </c>
      <c r="K21" s="33">
        <f t="shared" si="3"/>
        <v>4.6645801890972152</v>
      </c>
      <c r="L21" s="30">
        <v>28</v>
      </c>
      <c r="M21" s="34">
        <f t="shared" si="6"/>
        <v>0.6428571428571429</v>
      </c>
      <c r="N21" s="30">
        <v>79</v>
      </c>
      <c r="O21" s="35">
        <f t="shared" ref="O21:P21" si="29">D21/7</f>
        <v>2.5714285714285716</v>
      </c>
      <c r="P21" s="35">
        <f t="shared" si="29"/>
        <v>0</v>
      </c>
      <c r="Q21" s="30">
        <f t="shared" si="8"/>
        <v>30</v>
      </c>
      <c r="R21" s="30"/>
      <c r="S21" s="36">
        <v>1.8265895953757201</v>
      </c>
      <c r="T21" s="29">
        <v>864</v>
      </c>
      <c r="U21" s="37">
        <v>608</v>
      </c>
      <c r="V21" s="38" t="s">
        <v>952</v>
      </c>
      <c r="W21" s="29">
        <v>2</v>
      </c>
      <c r="X21" s="39">
        <f t="shared" si="9"/>
        <v>0.1111111111111111</v>
      </c>
      <c r="Y21" s="40">
        <f t="shared" si="10"/>
        <v>5.9</v>
      </c>
      <c r="Z21" s="29">
        <v>6</v>
      </c>
      <c r="AA21" s="29" t="s">
        <v>58</v>
      </c>
      <c r="AB21" s="41">
        <f t="shared" si="11"/>
        <v>-0.69</v>
      </c>
      <c r="AC21" s="42">
        <v>0.22066330902777778</v>
      </c>
      <c r="AD21" s="40">
        <f t="shared" si="12"/>
        <v>-5.4812765962499999</v>
      </c>
      <c r="AE21" s="40">
        <v>-7.32</v>
      </c>
      <c r="AF21" s="40">
        <v>-9.1364599999999996</v>
      </c>
      <c r="AG21" s="40">
        <v>-2</v>
      </c>
    </row>
    <row r="22" spans="1:33" ht="15.75" customHeight="1" x14ac:dyDescent="0.2">
      <c r="A22" s="29" t="s">
        <v>50</v>
      </c>
      <c r="B22" s="29" t="s">
        <v>738</v>
      </c>
      <c r="C22" s="16">
        <f t="shared" si="4"/>
        <v>31.768181818181812</v>
      </c>
      <c r="D22" s="30">
        <v>11</v>
      </c>
      <c r="E22" s="30">
        <v>0</v>
      </c>
      <c r="F22" s="31">
        <v>349.44999999999993</v>
      </c>
      <c r="G22" s="31">
        <v>-35.9</v>
      </c>
      <c r="H22" s="32">
        <f t="shared" si="1"/>
        <v>0.10273286593217916</v>
      </c>
      <c r="I22" s="32">
        <f t="shared" si="2"/>
        <v>0.21966453274848555</v>
      </c>
      <c r="J22" s="33">
        <f t="shared" si="5"/>
        <v>76.76177096895826</v>
      </c>
      <c r="K22" s="33">
        <f t="shared" si="3"/>
        <v>6.9783428153598415</v>
      </c>
      <c r="L22" s="30">
        <v>50</v>
      </c>
      <c r="M22" s="34">
        <f t="shared" si="6"/>
        <v>0.22</v>
      </c>
      <c r="N22" s="30">
        <v>63</v>
      </c>
      <c r="O22" s="35">
        <f t="shared" ref="O22:P22" si="30">D22/7</f>
        <v>1.5714285714285714</v>
      </c>
      <c r="P22" s="35">
        <f t="shared" si="30"/>
        <v>0</v>
      </c>
      <c r="Q22" s="30">
        <f t="shared" si="8"/>
        <v>40</v>
      </c>
      <c r="R22" s="30"/>
      <c r="S22" s="36">
        <v>1.8653846153846101</v>
      </c>
      <c r="T22" s="29">
        <v>864</v>
      </c>
      <c r="U22" s="37">
        <v>608</v>
      </c>
      <c r="V22" s="38" t="s">
        <v>952</v>
      </c>
      <c r="W22" s="29">
        <v>0</v>
      </c>
      <c r="X22" s="39">
        <f t="shared" si="9"/>
        <v>0</v>
      </c>
      <c r="Y22" s="40">
        <f t="shared" si="10"/>
        <v>7.18</v>
      </c>
      <c r="Z22" s="29">
        <v>5</v>
      </c>
      <c r="AA22" s="29" t="s">
        <v>58</v>
      </c>
      <c r="AB22" s="41">
        <f t="shared" si="11"/>
        <v>-0.69</v>
      </c>
      <c r="AC22" s="42">
        <v>0.22066330902777778</v>
      </c>
      <c r="AD22" s="40">
        <f t="shared" si="12"/>
        <v>-3.3496690310416666</v>
      </c>
      <c r="AE22" s="40">
        <v>-7.32</v>
      </c>
      <c r="AF22" s="40">
        <v>-9.1364599999999996</v>
      </c>
      <c r="AG22" s="40">
        <v>0</v>
      </c>
    </row>
    <row r="23" spans="1:33" ht="15.75" customHeight="1" x14ac:dyDescent="0.2">
      <c r="A23" s="29" t="s">
        <v>51</v>
      </c>
      <c r="B23" s="29" t="s">
        <v>535</v>
      </c>
      <c r="C23" s="16">
        <f t="shared" si="4"/>
        <v>21.958333333333332</v>
      </c>
      <c r="D23" s="30">
        <v>6</v>
      </c>
      <c r="E23" s="30">
        <v>1</v>
      </c>
      <c r="F23" s="33">
        <v>131.75</v>
      </c>
      <c r="G23" s="31">
        <v>-29.299999999999997</v>
      </c>
      <c r="H23" s="32">
        <f t="shared" si="1"/>
        <v>0.2223908918406072</v>
      </c>
      <c r="I23" s="32">
        <f t="shared" si="2"/>
        <v>-0.13569906792220116</v>
      </c>
      <c r="J23" s="33">
        <f t="shared" si="5"/>
        <v>-17.878352198750001</v>
      </c>
      <c r="K23" s="33">
        <f t="shared" si="3"/>
        <v>-2.9797253664583336</v>
      </c>
      <c r="L23" s="30">
        <v>42</v>
      </c>
      <c r="M23" s="34">
        <f t="shared" si="6"/>
        <v>0.14285714285714285</v>
      </c>
      <c r="N23" s="30">
        <v>57</v>
      </c>
      <c r="O23" s="35">
        <f t="shared" ref="O23:P23" si="31">D23/7</f>
        <v>0.8571428571428571</v>
      </c>
      <c r="P23" s="35">
        <f t="shared" si="31"/>
        <v>0.14285714285714285</v>
      </c>
      <c r="Q23" s="30">
        <f t="shared" si="8"/>
        <v>57</v>
      </c>
      <c r="R23" s="30"/>
      <c r="S23" s="36">
        <v>2.0307692307692302</v>
      </c>
      <c r="T23" s="29">
        <v>864</v>
      </c>
      <c r="U23" s="37">
        <v>608</v>
      </c>
      <c r="V23" s="38" t="s">
        <v>954</v>
      </c>
      <c r="W23" s="29">
        <v>0</v>
      </c>
      <c r="X23" s="39">
        <f t="shared" si="9"/>
        <v>0</v>
      </c>
      <c r="Y23" s="40">
        <f t="shared" si="10"/>
        <v>4.8833333333333329</v>
      </c>
      <c r="Z23" s="29">
        <v>6</v>
      </c>
      <c r="AA23" s="29" t="s">
        <v>58</v>
      </c>
      <c r="AB23" s="41">
        <f t="shared" si="11"/>
        <v>-0.69</v>
      </c>
      <c r="AC23" s="42">
        <v>0.22066330902777778</v>
      </c>
      <c r="AD23" s="40">
        <f t="shared" si="12"/>
        <v>-1.82709219875</v>
      </c>
      <c r="AE23" s="40">
        <v>-7.32</v>
      </c>
      <c r="AF23" s="40">
        <v>-9.1364599999999996</v>
      </c>
      <c r="AG23" s="40">
        <v>0</v>
      </c>
    </row>
    <row r="24" spans="1:33" ht="15.75" customHeight="1" x14ac:dyDescent="0.2">
      <c r="A24" s="29" t="s">
        <v>52</v>
      </c>
      <c r="B24" s="29" t="s">
        <v>535</v>
      </c>
      <c r="C24" s="16">
        <f t="shared" si="4"/>
        <v>22.780434782608694</v>
      </c>
      <c r="D24" s="30">
        <v>23</v>
      </c>
      <c r="E24" s="30">
        <v>1</v>
      </c>
      <c r="F24" s="33">
        <v>523.94999999999993</v>
      </c>
      <c r="G24" s="33">
        <v>-41</v>
      </c>
      <c r="H24" s="32">
        <f t="shared" si="1"/>
        <v>7.8251741578394901E-2</v>
      </c>
      <c r="I24" s="32">
        <f t="shared" si="2"/>
        <v>3.5986385287638575E-2</v>
      </c>
      <c r="J24" s="33">
        <f t="shared" si="5"/>
        <v>18.855066571458231</v>
      </c>
      <c r="K24" s="33">
        <f t="shared" si="3"/>
        <v>0.81978550310687959</v>
      </c>
      <c r="L24" s="30">
        <v>62</v>
      </c>
      <c r="M24" s="34">
        <f t="shared" si="6"/>
        <v>0.37096774193548387</v>
      </c>
      <c r="N24" s="30">
        <v>36</v>
      </c>
      <c r="O24" s="35">
        <f t="shared" ref="O24:P24" si="32">D24/7</f>
        <v>3.2857142857142856</v>
      </c>
      <c r="P24" s="35">
        <f t="shared" si="32"/>
        <v>0.14285714285714285</v>
      </c>
      <c r="Q24" s="30">
        <f t="shared" si="8"/>
        <v>10</v>
      </c>
      <c r="R24" s="30"/>
      <c r="S24" s="36">
        <v>1.75875486381322</v>
      </c>
      <c r="T24" s="29">
        <v>864</v>
      </c>
      <c r="U24" s="37">
        <v>608</v>
      </c>
      <c r="V24" s="38" t="s">
        <v>954</v>
      </c>
      <c r="W24" s="29">
        <v>2</v>
      </c>
      <c r="X24" s="39">
        <f t="shared" si="9"/>
        <v>8.6956521739130432E-2</v>
      </c>
      <c r="Y24" s="40">
        <f t="shared" si="10"/>
        <v>2.9285714285714284</v>
      </c>
      <c r="Z24" s="29">
        <v>12</v>
      </c>
      <c r="AA24" s="29" t="s">
        <v>58</v>
      </c>
      <c r="AB24" s="41">
        <f t="shared" si="11"/>
        <v>-0.69</v>
      </c>
      <c r="AC24" s="42">
        <v>0.22066330902777778</v>
      </c>
      <c r="AD24" s="40">
        <f t="shared" si="12"/>
        <v>-7.0038534285416665</v>
      </c>
      <c r="AE24" s="40">
        <v>-7.32</v>
      </c>
      <c r="AF24" s="40">
        <v>-9.1364599999999996</v>
      </c>
      <c r="AG24" s="40">
        <v>0</v>
      </c>
    </row>
    <row r="25" spans="1:33" ht="15.75" customHeight="1" x14ac:dyDescent="0.2">
      <c r="A25" s="29" t="s">
        <v>53</v>
      </c>
      <c r="B25" s="15" t="s">
        <v>955</v>
      </c>
      <c r="C25" s="16">
        <f t="shared" si="4"/>
        <v>26.62</v>
      </c>
      <c r="D25" s="30">
        <v>15</v>
      </c>
      <c r="E25" s="30">
        <v>0</v>
      </c>
      <c r="F25" s="33">
        <v>399.3</v>
      </c>
      <c r="G25" s="33">
        <v>-89.3</v>
      </c>
      <c r="H25" s="32">
        <f t="shared" si="1"/>
        <v>0.22364137240170295</v>
      </c>
      <c r="I25" s="32">
        <f t="shared" si="2"/>
        <v>-3.4127986398073446E-3</v>
      </c>
      <c r="J25" s="33">
        <f t="shared" si="5"/>
        <v>-1.3627304968750726</v>
      </c>
      <c r="K25" s="33">
        <f t="shared" si="3"/>
        <v>-9.0848699791671511E-2</v>
      </c>
      <c r="L25" s="30">
        <v>102</v>
      </c>
      <c r="M25" s="34">
        <f t="shared" si="6"/>
        <v>0.14705882352941177</v>
      </c>
      <c r="N25" s="30">
        <v>623</v>
      </c>
      <c r="O25" s="35">
        <f t="shared" ref="O25:P25" si="33">D25/7</f>
        <v>2.1428571428571428</v>
      </c>
      <c r="P25" s="35">
        <f t="shared" si="33"/>
        <v>0</v>
      </c>
      <c r="Q25" s="30">
        <f t="shared" si="8"/>
        <v>290</v>
      </c>
      <c r="R25" s="30"/>
      <c r="S25" s="36">
        <v>0.65847665847665848</v>
      </c>
      <c r="T25" s="15"/>
      <c r="U25" s="23"/>
      <c r="V25" s="1"/>
      <c r="W25" s="15">
        <v>4</v>
      </c>
      <c r="X25" s="39">
        <f t="shared" si="9"/>
        <v>0.26666666666666666</v>
      </c>
      <c r="Y25" s="40">
        <f t="shared" si="10"/>
        <v>2.7906249999999999</v>
      </c>
      <c r="Z25" s="15">
        <v>28</v>
      </c>
      <c r="AA25" s="29" t="s">
        <v>58</v>
      </c>
      <c r="AB25" s="41">
        <f t="shared" si="11"/>
        <v>-0.69</v>
      </c>
      <c r="AC25" s="42">
        <v>0.22066330902777778</v>
      </c>
      <c r="AD25" s="40">
        <f t="shared" si="12"/>
        <v>-4.5677304968749999</v>
      </c>
      <c r="AE25" s="40">
        <v>-7.32</v>
      </c>
      <c r="AF25" s="40">
        <v>-9.14</v>
      </c>
      <c r="AG25" s="40">
        <v>0</v>
      </c>
    </row>
    <row r="26" spans="1:33" ht="15.75" customHeight="1" x14ac:dyDescent="0.2">
      <c r="A26" s="15" t="s">
        <v>54</v>
      </c>
      <c r="B26" s="51" t="s">
        <v>956</v>
      </c>
      <c r="C26" s="16">
        <f t="shared" si="4"/>
        <v>30.329545454545453</v>
      </c>
      <c r="D26" s="17">
        <v>22</v>
      </c>
      <c r="E26" s="17">
        <v>1</v>
      </c>
      <c r="F26" s="18">
        <v>667.25</v>
      </c>
      <c r="G26" s="18">
        <v>-156.74</v>
      </c>
      <c r="H26" s="32">
        <f t="shared" si="1"/>
        <v>0.23490445859872613</v>
      </c>
      <c r="I26" s="32">
        <f t="shared" si="2"/>
        <v>6.7082865399650374E-2</v>
      </c>
      <c r="J26" s="33">
        <f t="shared" si="5"/>
        <v>44.761041937916708</v>
      </c>
      <c r="K26" s="33">
        <f t="shared" si="3"/>
        <v>2.0345928153598503</v>
      </c>
      <c r="L26" s="17">
        <v>90</v>
      </c>
      <c r="M26" s="34">
        <f t="shared" si="6"/>
        <v>0.24444444444444444</v>
      </c>
      <c r="N26" s="17">
        <v>611</v>
      </c>
      <c r="O26" s="35">
        <f t="shared" ref="O26:P26" si="34">D26/7</f>
        <v>3.1428571428571428</v>
      </c>
      <c r="P26" s="35">
        <f t="shared" si="34"/>
        <v>0.14285714285714285</v>
      </c>
      <c r="Q26" s="30">
        <f t="shared" si="8"/>
        <v>185</v>
      </c>
      <c r="R26" s="30"/>
      <c r="S26" s="22">
        <v>0.75844155844155847</v>
      </c>
      <c r="T26" s="15">
        <v>256</v>
      </c>
      <c r="U26" s="23" t="s">
        <v>56</v>
      </c>
      <c r="V26" s="1" t="s">
        <v>56</v>
      </c>
      <c r="W26" s="15">
        <v>4</v>
      </c>
      <c r="X26" s="39">
        <f t="shared" si="9"/>
        <v>0.18181818181818182</v>
      </c>
      <c r="Y26" s="40">
        <f t="shared" si="10"/>
        <v>5.2246666666666668</v>
      </c>
      <c r="Z26" s="15">
        <v>26</v>
      </c>
      <c r="AA26" s="29" t="s">
        <v>58</v>
      </c>
      <c r="AB26" s="41">
        <f t="shared" si="11"/>
        <v>-0.69</v>
      </c>
      <c r="AC26" s="42">
        <v>0.22066330902777778</v>
      </c>
      <c r="AD26" s="40">
        <f t="shared" si="12"/>
        <v>-6.6993380620833332</v>
      </c>
      <c r="AE26" s="26">
        <v>-7.18</v>
      </c>
      <c r="AF26" s="26">
        <v>-9.1364599999999996</v>
      </c>
      <c r="AG26" s="26">
        <v>0</v>
      </c>
    </row>
    <row r="27" spans="1:33" ht="15.75" customHeight="1" x14ac:dyDescent="0.2">
      <c r="A27" s="15" t="s">
        <v>74</v>
      </c>
      <c r="B27" s="15" t="s">
        <v>479</v>
      </c>
      <c r="C27" s="16">
        <f t="shared" si="4"/>
        <v>26.19736842105263</v>
      </c>
      <c r="D27" s="17">
        <v>38</v>
      </c>
      <c r="E27" s="17">
        <v>0</v>
      </c>
      <c r="F27" s="18">
        <v>995.5</v>
      </c>
      <c r="G27" s="18">
        <v>-236.51</v>
      </c>
      <c r="H27" s="32">
        <f t="shared" si="1"/>
        <v>0.23757910597689602</v>
      </c>
      <c r="I27" s="32">
        <f t="shared" si="2"/>
        <v>-2.2031204344969024E-2</v>
      </c>
      <c r="J27" s="33">
        <f t="shared" si="5"/>
        <v>-21.932063925416664</v>
      </c>
      <c r="K27" s="33">
        <f t="shared" si="3"/>
        <v>-0.57715957698464904</v>
      </c>
      <c r="L27" s="17">
        <v>100</v>
      </c>
      <c r="M27" s="34">
        <f t="shared" si="6"/>
        <v>0.38</v>
      </c>
      <c r="N27" s="17">
        <v>421</v>
      </c>
      <c r="O27" s="35">
        <f t="shared" ref="O27:P27" si="35">D27/7</f>
        <v>5.4285714285714288</v>
      </c>
      <c r="P27" s="35">
        <f t="shared" si="35"/>
        <v>0</v>
      </c>
      <c r="Q27" s="30">
        <f t="shared" si="8"/>
        <v>77</v>
      </c>
      <c r="R27" s="30"/>
      <c r="S27" s="22">
        <v>1.2972972972972969</v>
      </c>
      <c r="T27" s="15">
        <v>256</v>
      </c>
      <c r="U27" s="23" t="s">
        <v>56</v>
      </c>
      <c r="V27" s="1" t="s">
        <v>56</v>
      </c>
      <c r="W27" s="15">
        <v>7</v>
      </c>
      <c r="X27" s="39">
        <f t="shared" si="9"/>
        <v>0.18421052631578946</v>
      </c>
      <c r="Y27" s="40">
        <f t="shared" si="10"/>
        <v>3.877213114754098</v>
      </c>
      <c r="Z27" s="15">
        <v>54</v>
      </c>
      <c r="AA27" s="29" t="s">
        <v>58</v>
      </c>
      <c r="AB27" s="41">
        <f t="shared" si="11"/>
        <v>-0.69</v>
      </c>
      <c r="AC27" s="42">
        <v>0.22066330902777778</v>
      </c>
      <c r="AD27" s="40">
        <f t="shared" si="12"/>
        <v>-11.571583925416666</v>
      </c>
      <c r="AE27" s="26">
        <v>-7.18</v>
      </c>
      <c r="AF27" s="26">
        <v>-9.1364599999999996</v>
      </c>
      <c r="AG27" s="26">
        <v>0</v>
      </c>
    </row>
    <row r="28" spans="1:33" ht="15.75" customHeight="1" x14ac:dyDescent="0.2">
      <c r="A28" s="15" t="s">
        <v>75</v>
      </c>
      <c r="B28" s="15" t="s">
        <v>957</v>
      </c>
      <c r="C28" s="16">
        <f t="shared" si="4"/>
        <v>25.65</v>
      </c>
      <c r="D28" s="17">
        <v>44</v>
      </c>
      <c r="E28" s="17">
        <v>1</v>
      </c>
      <c r="F28" s="18">
        <v>1128.5999999999999</v>
      </c>
      <c r="G28" s="18">
        <v>-277.14999999999998</v>
      </c>
      <c r="H28" s="32">
        <f t="shared" si="1"/>
        <v>0.24556973241183769</v>
      </c>
      <c r="I28" s="32">
        <f t="shared" si="2"/>
        <v>-4.3560974768887692E-2</v>
      </c>
      <c r="J28" s="33">
        <f t="shared" si="5"/>
        <v>-49.162916124166642</v>
      </c>
      <c r="K28" s="33">
        <f t="shared" si="3"/>
        <v>-1.1173390028219692</v>
      </c>
      <c r="L28" s="17">
        <v>147</v>
      </c>
      <c r="M28" s="34">
        <f t="shared" si="6"/>
        <v>0.29931972789115646</v>
      </c>
      <c r="N28" s="17">
        <v>512</v>
      </c>
      <c r="O28" s="35">
        <f t="shared" ref="O28:P28" si="36">D28/7</f>
        <v>6.2857142857142856</v>
      </c>
      <c r="P28" s="35">
        <f t="shared" si="36"/>
        <v>0.14285714285714285</v>
      </c>
      <c r="Q28" s="30">
        <f t="shared" si="8"/>
        <v>79</v>
      </c>
      <c r="R28" s="30"/>
      <c r="S28" s="22">
        <v>1.1193838254172011</v>
      </c>
      <c r="T28" s="15">
        <v>256</v>
      </c>
      <c r="U28" s="23" t="s">
        <v>56</v>
      </c>
      <c r="V28" s="1" t="s">
        <v>56</v>
      </c>
      <c r="W28" s="15">
        <v>6</v>
      </c>
      <c r="X28" s="39">
        <f t="shared" si="9"/>
        <v>0.13636363636363635</v>
      </c>
      <c r="Y28" s="40">
        <f t="shared" si="10"/>
        <v>4.6191666666666666</v>
      </c>
      <c r="Z28" s="15">
        <v>54</v>
      </c>
      <c r="AA28" s="29" t="s">
        <v>58</v>
      </c>
      <c r="AB28" s="41">
        <f t="shared" si="11"/>
        <v>-0.69</v>
      </c>
      <c r="AC28" s="42">
        <v>0.22066330902777778</v>
      </c>
      <c r="AD28" s="40">
        <f t="shared" si="12"/>
        <v>-13.398676124166666</v>
      </c>
      <c r="AE28" s="26">
        <v>-7.18</v>
      </c>
      <c r="AF28" s="26">
        <v>-9.1364599999999996</v>
      </c>
      <c r="AG28" s="26">
        <v>0</v>
      </c>
    </row>
    <row r="29" spans="1:33" ht="15.75" customHeight="1" x14ac:dyDescent="0.2">
      <c r="A29" s="15" t="s">
        <v>77</v>
      </c>
      <c r="B29" s="15" t="s">
        <v>958</v>
      </c>
      <c r="C29" s="16">
        <f t="shared" si="4"/>
        <v>25.7</v>
      </c>
      <c r="D29" s="17">
        <v>45</v>
      </c>
      <c r="E29" s="17">
        <v>1</v>
      </c>
      <c r="F29" s="18">
        <v>1156.5</v>
      </c>
      <c r="G29" s="18">
        <v>-348.12</v>
      </c>
      <c r="H29" s="32">
        <f t="shared" si="1"/>
        <v>0.30101167315175098</v>
      </c>
      <c r="I29" s="32">
        <f t="shared" si="2"/>
        <v>-9.7742232157911779E-2</v>
      </c>
      <c r="J29" s="33">
        <f t="shared" si="5"/>
        <v>-113.03889149062498</v>
      </c>
      <c r="K29" s="33">
        <f t="shared" si="3"/>
        <v>-2.5119753664583326</v>
      </c>
      <c r="L29" s="17">
        <v>145</v>
      </c>
      <c r="M29" s="34">
        <f t="shared" si="6"/>
        <v>0.31034482758620691</v>
      </c>
      <c r="N29" s="17">
        <v>474</v>
      </c>
      <c r="O29" s="35">
        <f t="shared" ref="O29:P29" si="37">D29/7</f>
        <v>6.4285714285714288</v>
      </c>
      <c r="P29" s="35">
        <f t="shared" si="37"/>
        <v>0.14285714285714285</v>
      </c>
      <c r="Q29" s="30">
        <f t="shared" si="8"/>
        <v>72</v>
      </c>
      <c r="R29" s="30"/>
      <c r="S29" s="22">
        <v>1.48169014084507</v>
      </c>
      <c r="T29" s="15">
        <v>256</v>
      </c>
      <c r="U29" s="23" t="s">
        <v>56</v>
      </c>
      <c r="V29" s="1" t="s">
        <v>56</v>
      </c>
      <c r="W29" s="15">
        <v>19</v>
      </c>
      <c r="X29" s="39">
        <f t="shared" si="9"/>
        <v>0.42222222222222222</v>
      </c>
      <c r="Y29" s="40">
        <f t="shared" si="10"/>
        <v>3.5888659793814432</v>
      </c>
      <c r="Z29" s="15">
        <v>78</v>
      </c>
      <c r="AA29" s="29" t="s">
        <v>58</v>
      </c>
      <c r="AB29" s="41">
        <f t="shared" si="11"/>
        <v>-0.69</v>
      </c>
      <c r="AC29" s="42">
        <v>0.22066330902777778</v>
      </c>
      <c r="AD29" s="40">
        <f t="shared" si="12"/>
        <v>-13.703191490624999</v>
      </c>
      <c r="AE29" s="26">
        <v>-7.18</v>
      </c>
      <c r="AF29" s="26">
        <v>-9.1364599999999996</v>
      </c>
      <c r="AG29" s="26">
        <v>0</v>
      </c>
    </row>
    <row r="30" spans="1:33" ht="15.75" customHeight="1" x14ac:dyDescent="0.2">
      <c r="A30" s="15" t="s">
        <v>78</v>
      </c>
      <c r="B30" s="15" t="s">
        <v>452</v>
      </c>
      <c r="C30" s="16">
        <f t="shared" si="4"/>
        <v>25.201956521739124</v>
      </c>
      <c r="D30" s="17">
        <v>46</v>
      </c>
      <c r="E30" s="17">
        <v>1</v>
      </c>
      <c r="F30" s="18">
        <v>1159.2899999999997</v>
      </c>
      <c r="G30" s="18">
        <v>-153.33000000000001</v>
      </c>
      <c r="H30" s="32">
        <f t="shared" si="1"/>
        <v>0.13226198794089489</v>
      </c>
      <c r="I30" s="32">
        <f t="shared" si="2"/>
        <v>5.8367100096107835E-2</v>
      </c>
      <c r="J30" s="33">
        <f t="shared" si="5"/>
        <v>67.664395470416835</v>
      </c>
      <c r="K30" s="33">
        <f t="shared" si="3"/>
        <v>1.4709651189221051</v>
      </c>
      <c r="L30" s="17">
        <v>125</v>
      </c>
      <c r="M30" s="34">
        <f t="shared" si="6"/>
        <v>0.36799999999999999</v>
      </c>
      <c r="N30" s="17">
        <v>427</v>
      </c>
      <c r="O30" s="35">
        <f t="shared" ref="O30:P30" si="38">D30/7</f>
        <v>6.5714285714285712</v>
      </c>
      <c r="P30" s="35">
        <f t="shared" si="38"/>
        <v>0.14285714285714285</v>
      </c>
      <c r="Q30" s="30">
        <f t="shared" si="8"/>
        <v>63</v>
      </c>
      <c r="R30" s="30"/>
      <c r="S30" s="22">
        <v>0.93481717011128773</v>
      </c>
      <c r="T30" s="29">
        <v>256</v>
      </c>
      <c r="U30" s="37" t="s">
        <v>56</v>
      </c>
      <c r="V30" s="38" t="s">
        <v>56</v>
      </c>
      <c r="W30" s="15">
        <v>9</v>
      </c>
      <c r="X30" s="39">
        <f t="shared" si="9"/>
        <v>0.19565217391304349</v>
      </c>
      <c r="Y30" s="40">
        <f t="shared" si="10"/>
        <v>3.4847727272727274</v>
      </c>
      <c r="Z30" s="15">
        <v>35</v>
      </c>
      <c r="AA30" s="29" t="s">
        <v>58</v>
      </c>
      <c r="AB30" s="41">
        <f t="shared" si="11"/>
        <v>-0.69</v>
      </c>
      <c r="AC30" s="42">
        <v>0.22066330902777778</v>
      </c>
      <c r="AD30" s="40">
        <f t="shared" si="12"/>
        <v>-14.007706857083333</v>
      </c>
      <c r="AE30" s="26">
        <v>-7.18</v>
      </c>
      <c r="AF30" s="26">
        <v>-8.3937912537499901</v>
      </c>
      <c r="AG30" s="26">
        <v>-34</v>
      </c>
    </row>
    <row r="31" spans="1:33" ht="15.75" customHeight="1" x14ac:dyDescent="0.2">
      <c r="A31" s="15" t="s">
        <v>55</v>
      </c>
      <c r="B31" s="15" t="s">
        <v>959</v>
      </c>
      <c r="C31" s="16">
        <f t="shared" si="4"/>
        <v>24.893809523809526</v>
      </c>
      <c r="D31" s="17">
        <v>63</v>
      </c>
      <c r="E31" s="17">
        <v>2</v>
      </c>
      <c r="F31" s="18">
        <v>1568.3100000000002</v>
      </c>
      <c r="G31" s="43">
        <v>-233.75000000000006</v>
      </c>
      <c r="H31" s="32">
        <f t="shared" si="1"/>
        <v>0.14904578814137512</v>
      </c>
      <c r="I31" s="32">
        <f t="shared" si="2"/>
        <v>6.3112639036207951E-2</v>
      </c>
      <c r="J31" s="33">
        <f t="shared" si="5"/>
        <v>98.980182926875301</v>
      </c>
      <c r="K31" s="33">
        <f t="shared" si="3"/>
        <v>1.5711140147123064</v>
      </c>
      <c r="L31" s="17">
        <v>225</v>
      </c>
      <c r="M31" s="34">
        <f t="shared" si="6"/>
        <v>0.28000000000000003</v>
      </c>
      <c r="N31" s="17">
        <v>370</v>
      </c>
      <c r="O31" s="35">
        <f t="shared" ref="O31:P31" si="39">D31/7</f>
        <v>9</v>
      </c>
      <c r="P31" s="35">
        <f t="shared" si="39"/>
        <v>0.2857142857142857</v>
      </c>
      <c r="Q31" s="30">
        <f t="shared" si="8"/>
        <v>39</v>
      </c>
      <c r="R31" s="30"/>
      <c r="S31" s="22">
        <v>1.0750206100577</v>
      </c>
      <c r="T31" s="15">
        <v>256</v>
      </c>
      <c r="U31" s="23" t="s">
        <v>56</v>
      </c>
      <c r="V31" s="1" t="s">
        <v>103</v>
      </c>
      <c r="W31" s="15">
        <v>10</v>
      </c>
      <c r="X31" s="39">
        <f t="shared" si="9"/>
        <v>0.15873015873015872</v>
      </c>
      <c r="Y31" s="40">
        <f t="shared" si="10"/>
        <v>3.3392857142857153</v>
      </c>
      <c r="Z31" s="15">
        <v>60</v>
      </c>
      <c r="AA31" s="15" t="s">
        <v>58</v>
      </c>
      <c r="AB31" s="41">
        <f t="shared" si="11"/>
        <v>-0.69</v>
      </c>
      <c r="AC31" s="28">
        <v>0.22066330902777778</v>
      </c>
      <c r="AD31" s="40">
        <f t="shared" si="12"/>
        <v>-19.184468086875</v>
      </c>
      <c r="AE31" s="44">
        <v>-7.18</v>
      </c>
      <c r="AF31" s="44">
        <v>-8.393791253749999</v>
      </c>
      <c r="AG31" s="26">
        <v>0</v>
      </c>
    </row>
    <row r="32" spans="1:33" ht="15.75" customHeight="1" x14ac:dyDescent="0.2">
      <c r="A32" s="15" t="s">
        <v>59</v>
      </c>
      <c r="B32" s="15"/>
      <c r="C32" s="16">
        <f t="shared" si="4"/>
        <v>25.74744186046512</v>
      </c>
      <c r="D32" s="17">
        <v>43</v>
      </c>
      <c r="E32" s="17">
        <v>0</v>
      </c>
      <c r="F32" s="18">
        <v>1107.1400000000001</v>
      </c>
      <c r="G32" s="18">
        <v>-145</v>
      </c>
      <c r="H32" s="32">
        <f t="shared" si="1"/>
        <v>0.13096807991762557</v>
      </c>
      <c r="I32" s="32">
        <f t="shared" si="2"/>
        <v>0.10233738762129645</v>
      </c>
      <c r="J32" s="33">
        <f t="shared" si="5"/>
        <v>113.30181533104216</v>
      </c>
      <c r="K32" s="33">
        <f t="shared" si="3"/>
        <v>2.6349259379312131</v>
      </c>
      <c r="L32" s="17">
        <v>187</v>
      </c>
      <c r="M32" s="34">
        <f t="shared" si="6"/>
        <v>0.22994652406417113</v>
      </c>
      <c r="N32" s="17">
        <v>316</v>
      </c>
      <c r="O32" s="35">
        <f t="shared" ref="O32:P32" si="40">D32/7</f>
        <v>6.1428571428571432</v>
      </c>
      <c r="P32" s="35">
        <f t="shared" si="40"/>
        <v>0</v>
      </c>
      <c r="Q32" s="30">
        <f t="shared" si="8"/>
        <v>51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1.4927113702623911</v>
      </c>
      <c r="T32" s="15">
        <f ca="1">IFERROR(__xludf.DUMMYFUNCTION("IFERROR(VLOOKUP($B$2,IMPORTRANGE(""https://docs.google.com/spreadsheets/d/1KiWZV1ko8G7lnRucBRBd29jj3Be6ltMfljMDqzOkQmI/edit#gid=1381463014"",""Lookup!A:D""),4,FALSE),"""")"),256)</f>
        <v>256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256 At Factory 50-75 days from Earliest Arrival")</f>
        <v>No Transit, But 256 At Factory 50-75 days from Earliest Arrival</v>
      </c>
      <c r="W32" s="15">
        <v>6</v>
      </c>
      <c r="X32" s="39">
        <f t="shared" si="9"/>
        <v>0.13953488372093023</v>
      </c>
      <c r="Y32" s="40">
        <f t="shared" si="10"/>
        <v>5.1785714285714288</v>
      </c>
      <c r="Z32" s="15">
        <v>22</v>
      </c>
      <c r="AA32" s="15" t="s">
        <v>58</v>
      </c>
      <c r="AB32" s="41">
        <f t="shared" si="11"/>
        <v>-0.69</v>
      </c>
      <c r="AC32" s="28">
        <v>0.22066330902777778</v>
      </c>
      <c r="AD32" s="40">
        <f t="shared" si="12"/>
        <v>-13.094160757708334</v>
      </c>
      <c r="AE32" s="26">
        <v>-7.18</v>
      </c>
      <c r="AF32" s="26">
        <v>-8.3937912537499901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3" customWidth="1"/>
    <col min="3" max="3" width="9.1640625" customWidth="1"/>
    <col min="4" max="4" width="6.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74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3" t="str">
        <f ca="1">IFERROR(__xludf.DUMMYFUNCTION("IFERROR(VLOOKUP(B2,IMPORTRANGE(""https://docs.google.com/spreadsheets/d/1x0DhHglkXKoEBOD2MBsuK_EyIr1ouxD2ftIpqOYFa-k/edit?usp=sharing"",""Ubiquitty-SKU-Specific Info!B1:BJ7000""),3,FALSE),"""")"),"Weather Resistant Cornhole Bean Bags Set of 8 - Red &amp; Black")</f>
        <v>Weather Resistant Cornhole Bean Bags Set of 8 - Red &amp; Black</v>
      </c>
      <c r="B1" s="54"/>
      <c r="C1" s="55" t="s">
        <v>0</v>
      </c>
      <c r="D1" s="57" t="s">
        <v>1</v>
      </c>
      <c r="E1" s="57" t="s">
        <v>2</v>
      </c>
      <c r="F1" s="59" t="s">
        <v>3</v>
      </c>
      <c r="G1" s="59" t="s">
        <v>4</v>
      </c>
      <c r="H1" s="60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64" t="s">
        <v>10</v>
      </c>
      <c r="N1" s="65" t="s">
        <v>11</v>
      </c>
      <c r="O1" s="57" t="s">
        <v>12</v>
      </c>
      <c r="P1" s="57" t="s">
        <v>13</v>
      </c>
      <c r="Q1" s="57" t="s">
        <v>14</v>
      </c>
      <c r="R1" s="57" t="s">
        <v>15</v>
      </c>
      <c r="S1" s="66" t="s">
        <v>16</v>
      </c>
      <c r="T1" s="68" t="s">
        <v>961</v>
      </c>
      <c r="U1" s="68" t="s">
        <v>17</v>
      </c>
      <c r="V1" s="68" t="s">
        <v>18</v>
      </c>
      <c r="W1" s="68" t="s">
        <v>19</v>
      </c>
      <c r="X1" s="68" t="s">
        <v>20</v>
      </c>
      <c r="Y1" s="68" t="s">
        <v>21</v>
      </c>
      <c r="Z1" s="68" t="s">
        <v>22</v>
      </c>
      <c r="AA1" s="68" t="s">
        <v>23</v>
      </c>
      <c r="AB1" s="68" t="s">
        <v>24</v>
      </c>
      <c r="AC1" s="68" t="s">
        <v>25</v>
      </c>
      <c r="AD1" s="70" t="s">
        <v>26</v>
      </c>
      <c r="AE1" s="71" t="s">
        <v>27</v>
      </c>
      <c r="AF1" s="72" t="s">
        <v>28</v>
      </c>
      <c r="AG1" s="71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Info!B1:BJ7000""),2,FALSE),"""")"),"B07BK6FKVQ")</f>
        <v>B07BK6FKVQ</v>
      </c>
      <c r="B2" s="47" t="s">
        <v>960</v>
      </c>
      <c r="C2" s="56"/>
      <c r="D2" s="56"/>
      <c r="E2" s="58"/>
      <c r="F2" s="56"/>
      <c r="G2" s="56"/>
      <c r="H2" s="61"/>
      <c r="I2" s="56"/>
      <c r="J2" s="56"/>
      <c r="K2" s="61"/>
      <c r="L2" s="61"/>
      <c r="M2" s="61"/>
      <c r="N2" s="56"/>
      <c r="O2" s="56"/>
      <c r="P2" s="58"/>
      <c r="Q2" s="56"/>
      <c r="R2" s="56"/>
      <c r="S2" s="67"/>
      <c r="T2" s="54"/>
      <c r="U2" s="69"/>
      <c r="V2" s="69"/>
      <c r="W2" s="54"/>
      <c r="X2" s="54"/>
      <c r="Y2" s="54"/>
      <c r="Z2" s="54"/>
      <c r="AA2" s="69"/>
      <c r="AB2" s="69"/>
      <c r="AC2" s="69"/>
      <c r="AD2" s="69"/>
      <c r="AE2" s="54"/>
      <c r="AF2" s="54"/>
      <c r="AG2" s="54"/>
    </row>
    <row r="3" spans="1:33" ht="222" customHeight="1" x14ac:dyDescent="0.2">
      <c r="A3" s="62" t="s">
        <v>31</v>
      </c>
      <c r="B3" s="63"/>
      <c r="C3" s="4">
        <f>((AE32+AF32)/0.85)*-1</f>
        <v>13.396913239705883</v>
      </c>
      <c r="D3" s="5">
        <f>SUM(D4:D99765)</f>
        <v>4</v>
      </c>
      <c r="E3" s="5"/>
      <c r="F3" s="6">
        <f t="shared" ref="F3:G3" si="0">SUM(F4:F99765)</f>
        <v>67.959999999999994</v>
      </c>
      <c r="G3" s="6">
        <f t="shared" si="0"/>
        <v>-0.06</v>
      </c>
      <c r="H3" s="7">
        <f>G3/F3*-1</f>
        <v>8.8287227781047681E-4</v>
      </c>
      <c r="I3" s="8">
        <f>J3/F3</f>
        <v>0.12748039066076433</v>
      </c>
      <c r="J3" s="6">
        <f>SUM(J4:J99765)</f>
        <v>8.6635673493055432</v>
      </c>
      <c r="K3" s="6">
        <f>J3/D3</f>
        <v>2.1658918373263858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-1.0836526506944444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SUM(AG4:AG99765)</f>
        <v>0</v>
      </c>
    </row>
    <row r="4" spans="1:33" ht="15.75" hidden="1" customHeight="1" x14ac:dyDescent="0.2">
      <c r="A4" s="15"/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/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/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/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/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/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/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/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/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customHeight="1" x14ac:dyDescent="0.2">
      <c r="A13" s="29" t="s">
        <v>41</v>
      </c>
      <c r="B13" s="29" t="s">
        <v>179</v>
      </c>
      <c r="C13" s="16">
        <f t="shared" ref="C13:C32" si="1">IFERROR(F13/D13," - ")</f>
        <v>16.989999999999998</v>
      </c>
      <c r="D13" s="30">
        <v>2</v>
      </c>
      <c r="E13" s="30">
        <v>0</v>
      </c>
      <c r="F13" s="33">
        <v>33.979999999999997</v>
      </c>
      <c r="G13" s="31">
        <v>-0.06</v>
      </c>
      <c r="H13" s="32">
        <f t="shared" ref="H13:H32" si="2">G13/F13*-1</f>
        <v>1.7657445556209536E-3</v>
      </c>
      <c r="I13" s="32">
        <f t="shared" ref="I13:I32" si="3">J13/F13</f>
        <v>0.12657956664663839</v>
      </c>
      <c r="J13" s="33">
        <f t="shared" ref="J13:J32" si="4">F13*0.85+G13+AF13*D13+D13*AE13+AG13+AD13</f>
        <v>4.3011736746527722</v>
      </c>
      <c r="K13" s="33">
        <f t="shared" ref="K13:K32" si="5">J13/D13</f>
        <v>2.1505868373263861</v>
      </c>
      <c r="L13" s="30">
        <v>0</v>
      </c>
      <c r="M13" s="34" t="str">
        <f t="shared" ref="M13:M32" si="6">IFERROR(D13/L13,"-")</f>
        <v>-</v>
      </c>
      <c r="N13" s="30">
        <v>2</v>
      </c>
      <c r="O13" s="35">
        <f t="shared" ref="O13:P13" si="7">D13/7</f>
        <v>0.2857142857142857</v>
      </c>
      <c r="P13" s="35">
        <f t="shared" si="7"/>
        <v>0</v>
      </c>
      <c r="Q13" s="30">
        <f t="shared" ref="Q13:Q32" si="8">ROUNDDOWN(N13/(O13+P13),0)</f>
        <v>7</v>
      </c>
      <c r="R13" s="30"/>
      <c r="S13" s="36">
        <v>0</v>
      </c>
      <c r="T13" s="29" t="s">
        <v>56</v>
      </c>
      <c r="U13" s="37" t="s">
        <v>56</v>
      </c>
      <c r="V13" s="38" t="s">
        <v>56</v>
      </c>
      <c r="W13" s="29">
        <v>0</v>
      </c>
      <c r="X13" s="39">
        <f t="shared" ref="X13:X32" si="9">IFERROR(W13/D13,0)</f>
        <v>0</v>
      </c>
      <c r="Y13" s="40">
        <f t="shared" ref="Y13:Y32" si="10">IFERROR(G13/(W13+Z13)*-1,0)</f>
        <v>0</v>
      </c>
      <c r="Z13" s="29">
        <v>0</v>
      </c>
      <c r="AA13" s="29" t="s">
        <v>58</v>
      </c>
      <c r="AB13" s="41">
        <f t="shared" ref="AB13:AB32" si="11">IF(OR(AA13="UsLargeStandardSize",AA13="UsSmallStandardSize"),-0.69,-0.48)</f>
        <v>-0.69</v>
      </c>
      <c r="AC13" s="42">
        <v>0.19631388599537036</v>
      </c>
      <c r="AD13" s="40">
        <f t="shared" ref="AD13:AD32" si="12">IFERROR(AB13*AC13*D13*2,0)</f>
        <v>-0.54182632534722219</v>
      </c>
      <c r="AE13" s="40">
        <v>-7.7</v>
      </c>
      <c r="AF13" s="40">
        <v>-4.29</v>
      </c>
      <c r="AG13" s="40">
        <v>0</v>
      </c>
    </row>
    <row r="14" spans="1:33" ht="15.75" customHeight="1" x14ac:dyDescent="0.2">
      <c r="A14" s="29" t="s">
        <v>42</v>
      </c>
      <c r="B14" s="29" t="s">
        <v>179</v>
      </c>
      <c r="C14" s="16">
        <f t="shared" si="1"/>
        <v>16.989999999999998</v>
      </c>
      <c r="D14" s="30">
        <v>2</v>
      </c>
      <c r="E14" s="30">
        <v>0</v>
      </c>
      <c r="F14" s="33">
        <v>33.979999999999997</v>
      </c>
      <c r="G14" s="31">
        <v>0</v>
      </c>
      <c r="H14" s="32">
        <f t="shared" si="2"/>
        <v>0</v>
      </c>
      <c r="I14" s="32">
        <f t="shared" si="3"/>
        <v>0.12838121467489028</v>
      </c>
      <c r="J14" s="33">
        <f t="shared" si="4"/>
        <v>4.3623936746527709</v>
      </c>
      <c r="K14" s="33">
        <f t="shared" si="5"/>
        <v>2.1811968373263855</v>
      </c>
      <c r="L14" s="30">
        <v>21</v>
      </c>
      <c r="M14" s="34">
        <f t="shared" si="6"/>
        <v>9.5238095238095233E-2</v>
      </c>
      <c r="N14" s="30">
        <v>0</v>
      </c>
      <c r="O14" s="35">
        <f t="shared" ref="O14:P14" si="13">D14/7</f>
        <v>0.2857142857142857</v>
      </c>
      <c r="P14" s="35">
        <f t="shared" si="13"/>
        <v>0</v>
      </c>
      <c r="Q14" s="30">
        <f t="shared" si="8"/>
        <v>0</v>
      </c>
      <c r="R14" s="30"/>
      <c r="S14" s="36" t="e">
        <v>#N/A</v>
      </c>
      <c r="T14" s="29" t="s">
        <v>56</v>
      </c>
      <c r="U14" s="37" t="s">
        <v>56</v>
      </c>
      <c r="V14" s="38" t="s">
        <v>56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58</v>
      </c>
      <c r="AB14" s="41">
        <f t="shared" si="11"/>
        <v>-0.69</v>
      </c>
      <c r="AC14" s="42">
        <v>0.19631388599537036</v>
      </c>
      <c r="AD14" s="40">
        <f t="shared" si="12"/>
        <v>-0.54182632534722219</v>
      </c>
      <c r="AE14" s="40">
        <v>-7.7</v>
      </c>
      <c r="AF14" s="40">
        <v>-4.28939</v>
      </c>
      <c r="AG14" s="40">
        <v>0</v>
      </c>
    </row>
    <row r="15" spans="1:33" ht="15.75" customHeight="1" x14ac:dyDescent="0.2">
      <c r="A15" s="29" t="s">
        <v>43</v>
      </c>
      <c r="B15" s="29"/>
      <c r="C15" s="16" t="str">
        <f t="shared" si="1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2"/>
        <v>#DIV/0!</v>
      </c>
      <c r="I15" s="32" t="e">
        <f t="shared" si="3"/>
        <v>#DIV/0!</v>
      </c>
      <c r="J15" s="33">
        <f t="shared" si="4"/>
        <v>0</v>
      </c>
      <c r="K15" s="33" t="e">
        <f t="shared" si="5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14">D15/7</f>
        <v>0</v>
      </c>
      <c r="P15" s="35">
        <f t="shared" si="14"/>
        <v>0</v>
      </c>
      <c r="Q15" s="30" t="e">
        <f t="shared" si="8"/>
        <v>#DIV/0!</v>
      </c>
      <c r="R15" s="30"/>
      <c r="S15" s="36" t="e">
        <v>#N/A</v>
      </c>
      <c r="T15" s="29" t="s">
        <v>56</v>
      </c>
      <c r="U15" s="37" t="s">
        <v>56</v>
      </c>
      <c r="V15" s="38" t="s">
        <v>56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-4.28939</v>
      </c>
      <c r="AG15" s="40">
        <v>0</v>
      </c>
    </row>
    <row r="16" spans="1:33" ht="15.75" customHeight="1" x14ac:dyDescent="0.2">
      <c r="A16" s="29" t="s">
        <v>44</v>
      </c>
      <c r="B16" s="29"/>
      <c r="C16" s="16" t="str">
        <f t="shared" si="1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2"/>
        <v>#DIV/0!</v>
      </c>
      <c r="I16" s="32" t="e">
        <f t="shared" si="3"/>
        <v>#DIV/0!</v>
      </c>
      <c r="J16" s="33">
        <f t="shared" si="4"/>
        <v>0</v>
      </c>
      <c r="K16" s="33" t="e">
        <f t="shared" si="5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15">D16/7</f>
        <v>0</v>
      </c>
      <c r="P16" s="35">
        <f t="shared" si="15"/>
        <v>0</v>
      </c>
      <c r="Q16" s="30" t="e">
        <f t="shared" si="8"/>
        <v>#DIV/0!</v>
      </c>
      <c r="R16" s="30"/>
      <c r="S16" s="36" t="e">
        <v>#N/A</v>
      </c>
      <c r="T16" s="29" t="s">
        <v>56</v>
      </c>
      <c r="U16" s="37" t="s">
        <v>56</v>
      </c>
      <c r="V16" s="38" t="s">
        <v>56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-4.4300450000000007</v>
      </c>
      <c r="AG16" s="40">
        <v>0</v>
      </c>
    </row>
    <row r="17" spans="1:33" ht="15.75" customHeight="1" x14ac:dyDescent="0.2">
      <c r="A17" s="29" t="s">
        <v>45</v>
      </c>
      <c r="B17" s="29"/>
      <c r="C17" s="16" t="str">
        <f t="shared" si="1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2"/>
        <v>#DIV/0!</v>
      </c>
      <c r="I17" s="32" t="e">
        <f t="shared" si="3"/>
        <v>#DIV/0!</v>
      </c>
      <c r="J17" s="33">
        <f t="shared" si="4"/>
        <v>0</v>
      </c>
      <c r="K17" s="33" t="e">
        <f t="shared" si="5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16">D17/7</f>
        <v>0</v>
      </c>
      <c r="P17" s="35">
        <f t="shared" si="16"/>
        <v>0</v>
      </c>
      <c r="Q17" s="30" t="e">
        <f t="shared" si="8"/>
        <v>#DIV/0!</v>
      </c>
      <c r="R17" s="30"/>
      <c r="S17" s="36" t="e">
        <v>#N/A</v>
      </c>
      <c r="T17" s="29" t="s">
        <v>56</v>
      </c>
      <c r="U17" s="37" t="s">
        <v>56</v>
      </c>
      <c r="V17" s="38" t="s">
        <v>56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-4.4300449999999998</v>
      </c>
      <c r="AG17" s="40">
        <v>0</v>
      </c>
    </row>
    <row r="18" spans="1:33" ht="15.75" customHeight="1" x14ac:dyDescent="0.2">
      <c r="A18" s="29" t="s">
        <v>46</v>
      </c>
      <c r="B18" s="29"/>
      <c r="C18" s="16" t="str">
        <f t="shared" si="1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2"/>
        <v>#DIV/0!</v>
      </c>
      <c r="I18" s="32" t="e">
        <f t="shared" si="3"/>
        <v>#DIV/0!</v>
      </c>
      <c r="J18" s="33">
        <f t="shared" si="4"/>
        <v>0</v>
      </c>
      <c r="K18" s="33" t="e">
        <f t="shared" si="5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17">D18/7</f>
        <v>0</v>
      </c>
      <c r="P18" s="35">
        <f t="shared" si="17"/>
        <v>0</v>
      </c>
      <c r="Q18" s="30" t="e">
        <f t="shared" si="8"/>
        <v>#DIV/0!</v>
      </c>
      <c r="R18" s="30"/>
      <c r="S18" s="36" t="e">
        <v>#N/A</v>
      </c>
      <c r="T18" s="29" t="s">
        <v>56</v>
      </c>
      <c r="U18" s="37" t="s">
        <v>56</v>
      </c>
      <c r="V18" s="38" t="s">
        <v>56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-4.4300449999999998</v>
      </c>
      <c r="AG18" s="40">
        <v>0</v>
      </c>
    </row>
    <row r="19" spans="1:33" ht="15.75" customHeight="1" x14ac:dyDescent="0.2">
      <c r="A19" s="29" t="s">
        <v>47</v>
      </c>
      <c r="B19" s="29"/>
      <c r="C19" s="16" t="str">
        <f t="shared" si="1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2"/>
        <v>#DIV/0!</v>
      </c>
      <c r="I19" s="32" t="e">
        <f t="shared" si="3"/>
        <v>#DIV/0!</v>
      </c>
      <c r="J19" s="33">
        <f t="shared" si="4"/>
        <v>0</v>
      </c>
      <c r="K19" s="33" t="e">
        <f t="shared" si="5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18">D19/7</f>
        <v>0</v>
      </c>
      <c r="P19" s="35">
        <f t="shared" si="18"/>
        <v>0</v>
      </c>
      <c r="Q19" s="30" t="e">
        <f t="shared" si="8"/>
        <v>#DIV/0!</v>
      </c>
      <c r="R19" s="30"/>
      <c r="S19" s="36" t="e">
        <v>#N/A</v>
      </c>
      <c r="T19" s="29" t="s">
        <v>56</v>
      </c>
      <c r="U19" s="37" t="s">
        <v>56</v>
      </c>
      <c r="V19" s="38" t="s">
        <v>56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-4.4300450000000007</v>
      </c>
      <c r="AG19" s="40">
        <v>0</v>
      </c>
    </row>
    <row r="20" spans="1:33" ht="15.75" customHeight="1" x14ac:dyDescent="0.2">
      <c r="A20" s="29" t="s">
        <v>48</v>
      </c>
      <c r="B20" s="29"/>
      <c r="C20" s="16" t="str">
        <f t="shared" si="1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2"/>
        <v>#DIV/0!</v>
      </c>
      <c r="I20" s="32" t="e">
        <f t="shared" si="3"/>
        <v>#DIV/0!</v>
      </c>
      <c r="J20" s="33">
        <f t="shared" si="4"/>
        <v>0</v>
      </c>
      <c r="K20" s="33" t="e">
        <f t="shared" si="5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19">D20/7</f>
        <v>0</v>
      </c>
      <c r="P20" s="35">
        <f t="shared" si="19"/>
        <v>0</v>
      </c>
      <c r="Q20" s="30" t="e">
        <f t="shared" si="8"/>
        <v>#DIV/0!</v>
      </c>
      <c r="R20" s="30"/>
      <c r="S20" s="36" t="e">
        <v>#N/A</v>
      </c>
      <c r="T20" s="29" t="s">
        <v>56</v>
      </c>
      <c r="U20" s="37" t="s">
        <v>56</v>
      </c>
      <c r="V20" s="38" t="s">
        <v>56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-4.4300450000000007</v>
      </c>
      <c r="AG20" s="40">
        <v>0</v>
      </c>
    </row>
    <row r="21" spans="1:33" ht="15.75" customHeight="1" x14ac:dyDescent="0.2">
      <c r="A21" s="29" t="s">
        <v>49</v>
      </c>
      <c r="B21" s="29"/>
      <c r="C21" s="16" t="str">
        <f t="shared" si="1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2"/>
        <v>#DIV/0!</v>
      </c>
      <c r="I21" s="32" t="e">
        <f t="shared" si="3"/>
        <v>#DIV/0!</v>
      </c>
      <c r="J21" s="33">
        <f t="shared" si="4"/>
        <v>0</v>
      </c>
      <c r="K21" s="33" t="e">
        <f t="shared" si="5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0">D21/7</f>
        <v>0</v>
      </c>
      <c r="P21" s="35">
        <f t="shared" si="20"/>
        <v>0</v>
      </c>
      <c r="Q21" s="30" t="e">
        <f t="shared" si="8"/>
        <v>#DIV/0!</v>
      </c>
      <c r="R21" s="30"/>
      <c r="S21" s="36" t="e">
        <v>#N/A</v>
      </c>
      <c r="T21" s="29" t="s">
        <v>56</v>
      </c>
      <c r="U21" s="37" t="s">
        <v>56</v>
      </c>
      <c r="V21" s="38" t="s">
        <v>56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-4.4300450000000007</v>
      </c>
      <c r="AG21" s="40">
        <v>0</v>
      </c>
    </row>
    <row r="22" spans="1:33" ht="15.75" customHeight="1" x14ac:dyDescent="0.2">
      <c r="A22" s="29" t="s">
        <v>50</v>
      </c>
      <c r="B22" s="29"/>
      <c r="C22" s="16" t="str">
        <f t="shared" si="1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2"/>
        <v>#DIV/0!</v>
      </c>
      <c r="I22" s="32" t="e">
        <f t="shared" si="3"/>
        <v>#DIV/0!</v>
      </c>
      <c r="J22" s="33">
        <f t="shared" si="4"/>
        <v>0</v>
      </c>
      <c r="K22" s="33" t="e">
        <f t="shared" si="5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21">D22/7</f>
        <v>0</v>
      </c>
      <c r="P22" s="35">
        <f t="shared" si="21"/>
        <v>0</v>
      </c>
      <c r="Q22" s="30" t="e">
        <f t="shared" si="8"/>
        <v>#DIV/0!</v>
      </c>
      <c r="R22" s="30"/>
      <c r="S22" s="36" t="e">
        <v>#N/A</v>
      </c>
      <c r="T22" s="29" t="s">
        <v>56</v>
      </c>
      <c r="U22" s="37" t="s">
        <v>56</v>
      </c>
      <c r="V22" s="38" t="s">
        <v>56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-4.4300450000000007</v>
      </c>
      <c r="AG22" s="40">
        <v>0</v>
      </c>
    </row>
    <row r="23" spans="1:33" ht="15.75" customHeight="1" x14ac:dyDescent="0.2">
      <c r="A23" s="29" t="s">
        <v>51</v>
      </c>
      <c r="B23" s="29"/>
      <c r="C23" s="16" t="str">
        <f t="shared" si="1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2"/>
        <v>#DIV/0!</v>
      </c>
      <c r="I23" s="32" t="e">
        <f t="shared" si="3"/>
        <v>#DIV/0!</v>
      </c>
      <c r="J23" s="33">
        <f t="shared" si="4"/>
        <v>0</v>
      </c>
      <c r="K23" s="33" t="e">
        <f t="shared" si="5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22">D23/7</f>
        <v>0</v>
      </c>
      <c r="P23" s="35">
        <f t="shared" si="22"/>
        <v>0</v>
      </c>
      <c r="Q23" s="30" t="e">
        <f t="shared" si="8"/>
        <v>#DIV/0!</v>
      </c>
      <c r="R23" s="30"/>
      <c r="S23" s="36" t="e">
        <v>#N/A</v>
      </c>
      <c r="T23" s="29" t="s">
        <v>56</v>
      </c>
      <c r="U23" s="37" t="s">
        <v>56</v>
      </c>
      <c r="V23" s="38" t="s">
        <v>56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-4.4300450000000007</v>
      </c>
      <c r="AG23" s="40">
        <v>0</v>
      </c>
    </row>
    <row r="24" spans="1:33" ht="15.75" customHeight="1" x14ac:dyDescent="0.2">
      <c r="A24" s="29" t="s">
        <v>52</v>
      </c>
      <c r="B24" s="29"/>
      <c r="C24" s="16" t="str">
        <f t="shared" si="1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2"/>
        <v>#DIV/0!</v>
      </c>
      <c r="I24" s="32" t="e">
        <f t="shared" si="3"/>
        <v>#DIV/0!</v>
      </c>
      <c r="J24" s="33">
        <f t="shared" si="4"/>
        <v>0</v>
      </c>
      <c r="K24" s="33" t="e">
        <f t="shared" si="5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23">D24/7</f>
        <v>0</v>
      </c>
      <c r="P24" s="35">
        <f t="shared" si="23"/>
        <v>0</v>
      </c>
      <c r="Q24" s="30" t="e">
        <f t="shared" si="8"/>
        <v>#DIV/0!</v>
      </c>
      <c r="R24" s="30"/>
      <c r="S24" s="36" t="e">
        <v>#N/A</v>
      </c>
      <c r="T24" s="29" t="s">
        <v>56</v>
      </c>
      <c r="U24" s="37" t="s">
        <v>56</v>
      </c>
      <c r="V24" s="38" t="s">
        <v>56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58</v>
      </c>
      <c r="AB24" s="41">
        <f t="shared" si="11"/>
        <v>-0.69</v>
      </c>
      <c r="AC24" s="42">
        <v>0.19631388599537036</v>
      </c>
      <c r="AD24" s="40">
        <f t="shared" si="12"/>
        <v>0</v>
      </c>
      <c r="AE24" s="40">
        <v>-7.7</v>
      </c>
      <c r="AF24" s="40">
        <v>-4.4300450000000007</v>
      </c>
      <c r="AG24" s="40">
        <v>0</v>
      </c>
    </row>
    <row r="25" spans="1:33" ht="15.75" customHeight="1" x14ac:dyDescent="0.2">
      <c r="A25" s="29" t="s">
        <v>53</v>
      </c>
      <c r="B25" s="15"/>
      <c r="C25" s="16" t="str">
        <f t="shared" si="1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2"/>
        <v>#DIV/0!</v>
      </c>
      <c r="I25" s="32" t="e">
        <f t="shared" si="3"/>
        <v>#DIV/0!</v>
      </c>
      <c r="J25" s="33">
        <f t="shared" si="4"/>
        <v>0</v>
      </c>
      <c r="K25" s="33" t="e">
        <f t="shared" si="5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24">D25/7</f>
        <v>0</v>
      </c>
      <c r="P25" s="35">
        <f t="shared" si="24"/>
        <v>0</v>
      </c>
      <c r="Q25" s="30" t="e">
        <f t="shared" si="8"/>
        <v>#DIV/0!</v>
      </c>
      <c r="R25" s="30"/>
      <c r="S25" s="36">
        <v>0</v>
      </c>
      <c r="T25" s="15"/>
      <c r="U25" s="23"/>
      <c r="V25" s="1"/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58</v>
      </c>
      <c r="AB25" s="41">
        <f t="shared" si="11"/>
        <v>-0.69</v>
      </c>
      <c r="AC25" s="42">
        <v>0.19631388599537036</v>
      </c>
      <c r="AD25" s="40">
        <f t="shared" si="12"/>
        <v>0</v>
      </c>
      <c r="AE25" s="40">
        <v>-7.7</v>
      </c>
      <c r="AF25" s="40">
        <v>-4.43</v>
      </c>
      <c r="AG25" s="40">
        <v>0</v>
      </c>
    </row>
    <row r="26" spans="1:33" ht="15.75" customHeight="1" x14ac:dyDescent="0.2">
      <c r="A26" s="15" t="s">
        <v>54</v>
      </c>
      <c r="B26" s="15"/>
      <c r="C26" s="16" t="str">
        <f t="shared" si="1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2"/>
        <v>#DIV/0!</v>
      </c>
      <c r="I26" s="32" t="e">
        <f t="shared" si="3"/>
        <v>#DIV/0!</v>
      </c>
      <c r="J26" s="33">
        <f t="shared" si="4"/>
        <v>0</v>
      </c>
      <c r="K26" s="33" t="e">
        <f t="shared" si="5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25">D26/7</f>
        <v>0</v>
      </c>
      <c r="P26" s="35">
        <f t="shared" si="25"/>
        <v>0</v>
      </c>
      <c r="Q26" s="30" t="e">
        <f t="shared" si="8"/>
        <v>#DIV/0!</v>
      </c>
      <c r="R26" s="30"/>
      <c r="S26" s="22">
        <v>0</v>
      </c>
      <c r="T26" s="15" t="s">
        <v>56</v>
      </c>
      <c r="U26" s="23" t="s">
        <v>56</v>
      </c>
      <c r="V26" s="1" t="s">
        <v>56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58</v>
      </c>
      <c r="AB26" s="41">
        <f t="shared" si="11"/>
        <v>-0.69</v>
      </c>
      <c r="AC26" s="42">
        <v>0.19631388599537036</v>
      </c>
      <c r="AD26" s="40">
        <f t="shared" si="12"/>
        <v>0</v>
      </c>
      <c r="AE26" s="26">
        <v>-7.7</v>
      </c>
      <c r="AF26" s="26">
        <v>-4.4300449999999998</v>
      </c>
      <c r="AG26" s="26">
        <v>0</v>
      </c>
    </row>
    <row r="27" spans="1:33" ht="15.75" customHeight="1" x14ac:dyDescent="0.2">
      <c r="A27" s="15" t="s">
        <v>74</v>
      </c>
      <c r="B27" s="15"/>
      <c r="C27" s="16" t="str">
        <f t="shared" si="1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2"/>
        <v>#DIV/0!</v>
      </c>
      <c r="I27" s="32" t="e">
        <f t="shared" si="3"/>
        <v>#DIV/0!</v>
      </c>
      <c r="J27" s="33">
        <f t="shared" si="4"/>
        <v>0</v>
      </c>
      <c r="K27" s="33" t="e">
        <f t="shared" si="5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26">D27/7</f>
        <v>0</v>
      </c>
      <c r="P27" s="35">
        <f t="shared" si="26"/>
        <v>0</v>
      </c>
      <c r="Q27" s="30" t="e">
        <f t="shared" si="8"/>
        <v>#DIV/0!</v>
      </c>
      <c r="R27" s="30"/>
      <c r="S27" s="22">
        <v>0</v>
      </c>
      <c r="T27" s="15" t="s">
        <v>56</v>
      </c>
      <c r="U27" s="23" t="s">
        <v>56</v>
      </c>
      <c r="V27" s="1" t="s">
        <v>56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58</v>
      </c>
      <c r="AB27" s="41">
        <f t="shared" si="11"/>
        <v>-0.69</v>
      </c>
      <c r="AC27" s="42">
        <v>0.19631388599537036</v>
      </c>
      <c r="AD27" s="40">
        <f t="shared" si="12"/>
        <v>0</v>
      </c>
      <c r="AE27" s="26">
        <v>-7.7</v>
      </c>
      <c r="AF27" s="26">
        <v>-4.4300449999999998</v>
      </c>
      <c r="AG27" s="26">
        <v>0</v>
      </c>
    </row>
    <row r="28" spans="1:33" ht="15.75" customHeight="1" x14ac:dyDescent="0.2">
      <c r="A28" s="15" t="s">
        <v>75</v>
      </c>
      <c r="B28" s="15"/>
      <c r="C28" s="16" t="str">
        <f t="shared" si="1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2"/>
        <v>#DIV/0!</v>
      </c>
      <c r="I28" s="32" t="e">
        <f t="shared" si="3"/>
        <v>#DIV/0!</v>
      </c>
      <c r="J28" s="33">
        <f t="shared" si="4"/>
        <v>0</v>
      </c>
      <c r="K28" s="33" t="e">
        <f t="shared" si="5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27">D28/7</f>
        <v>0</v>
      </c>
      <c r="P28" s="35">
        <f t="shared" si="27"/>
        <v>0</v>
      </c>
      <c r="Q28" s="30" t="e">
        <f t="shared" si="8"/>
        <v>#DIV/0!</v>
      </c>
      <c r="R28" s="30"/>
      <c r="S28" s="22">
        <v>0</v>
      </c>
      <c r="T28" s="15" t="s">
        <v>56</v>
      </c>
      <c r="U28" s="23" t="s">
        <v>56</v>
      </c>
      <c r="V28" s="1" t="s">
        <v>56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58</v>
      </c>
      <c r="AB28" s="41">
        <f t="shared" si="11"/>
        <v>-0.69</v>
      </c>
      <c r="AC28" s="42">
        <v>0.19631388599537036</v>
      </c>
      <c r="AD28" s="40">
        <f t="shared" si="12"/>
        <v>0</v>
      </c>
      <c r="AE28" s="26">
        <v>-7.7</v>
      </c>
      <c r="AF28" s="26">
        <v>-4.4300449999999998</v>
      </c>
      <c r="AG28" s="26">
        <v>0</v>
      </c>
    </row>
    <row r="29" spans="1:33" ht="15.75" customHeight="1" x14ac:dyDescent="0.2">
      <c r="A29" s="15" t="s">
        <v>77</v>
      </c>
      <c r="B29" s="15"/>
      <c r="C29" s="16" t="str">
        <f t="shared" si="1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2"/>
        <v>#DIV/0!</v>
      </c>
      <c r="I29" s="32" t="e">
        <f t="shared" si="3"/>
        <v>#DIV/0!</v>
      </c>
      <c r="J29" s="33">
        <f t="shared" si="4"/>
        <v>0</v>
      </c>
      <c r="K29" s="33" t="e">
        <f t="shared" si="5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28">D29/7</f>
        <v>0</v>
      </c>
      <c r="P29" s="35">
        <f t="shared" si="28"/>
        <v>0</v>
      </c>
      <c r="Q29" s="30" t="e">
        <f t="shared" si="8"/>
        <v>#DIV/0!</v>
      </c>
      <c r="R29" s="30"/>
      <c r="S29" s="22">
        <v>0</v>
      </c>
      <c r="T29" s="15" t="s">
        <v>56</v>
      </c>
      <c r="U29" s="23" t="s">
        <v>56</v>
      </c>
      <c r="V29" s="1" t="s">
        <v>56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58</v>
      </c>
      <c r="AB29" s="41">
        <f t="shared" si="11"/>
        <v>-0.69</v>
      </c>
      <c r="AC29" s="42">
        <v>0.19631388599537036</v>
      </c>
      <c r="AD29" s="40">
        <f t="shared" si="12"/>
        <v>0</v>
      </c>
      <c r="AE29" s="26">
        <v>-7.7</v>
      </c>
      <c r="AF29" s="26">
        <v>-4.4300449999999998</v>
      </c>
      <c r="AG29" s="26">
        <v>0</v>
      </c>
    </row>
    <row r="30" spans="1:33" ht="15.75" customHeight="1" x14ac:dyDescent="0.2">
      <c r="A30" s="15" t="s">
        <v>78</v>
      </c>
      <c r="B30" s="15"/>
      <c r="C30" s="16" t="str">
        <f t="shared" si="1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2"/>
        <v>#DIV/0!</v>
      </c>
      <c r="I30" s="32" t="e">
        <f t="shared" si="3"/>
        <v>#DIV/0!</v>
      </c>
      <c r="J30" s="33">
        <f t="shared" si="4"/>
        <v>0</v>
      </c>
      <c r="K30" s="33" t="e">
        <f t="shared" si="5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29">D30/7</f>
        <v>0</v>
      </c>
      <c r="P30" s="35">
        <f t="shared" si="29"/>
        <v>0</v>
      </c>
      <c r="Q30" s="30" t="e">
        <f t="shared" si="8"/>
        <v>#DIV/0!</v>
      </c>
      <c r="R30" s="30"/>
      <c r="S30" s="22">
        <v>0</v>
      </c>
      <c r="T30" s="29" t="s">
        <v>56</v>
      </c>
      <c r="U30" s="37" t="s">
        <v>56</v>
      </c>
      <c r="V30" s="38" t="s">
        <v>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58</v>
      </c>
      <c r="AB30" s="41">
        <f t="shared" si="11"/>
        <v>-0.69</v>
      </c>
      <c r="AC30" s="42">
        <v>0.19631388599537036</v>
      </c>
      <c r="AD30" s="40">
        <f t="shared" si="12"/>
        <v>0</v>
      </c>
      <c r="AE30" s="26">
        <v>-7.7</v>
      </c>
      <c r="AF30" s="26">
        <v>-3.6873762537500001</v>
      </c>
      <c r="AG30" s="26">
        <v>0</v>
      </c>
    </row>
    <row r="31" spans="1:33" ht="15.75" customHeight="1" x14ac:dyDescent="0.2">
      <c r="A31" s="15" t="s">
        <v>55</v>
      </c>
      <c r="B31" s="15"/>
      <c r="C31" s="16" t="str">
        <f t="shared" si="1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2"/>
        <v>#DIV/0!</v>
      </c>
      <c r="I31" s="32" t="e">
        <f t="shared" si="3"/>
        <v>#DIV/0!</v>
      </c>
      <c r="J31" s="33">
        <f t="shared" si="4"/>
        <v>0</v>
      </c>
      <c r="K31" s="33" t="e">
        <f t="shared" si="5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0">D31/7</f>
        <v>0</v>
      </c>
      <c r="P31" s="35">
        <f t="shared" si="30"/>
        <v>0</v>
      </c>
      <c r="Q31" s="30" t="e">
        <f t="shared" si="8"/>
        <v>#DIV/0!</v>
      </c>
      <c r="R31" s="30"/>
      <c r="S31" s="22" t="e">
        <v>#N/A</v>
      </c>
      <c r="T31" s="15" t="s">
        <v>56</v>
      </c>
      <c r="U31" s="23" t="s">
        <v>56</v>
      </c>
      <c r="V31" s="1" t="s">
        <v>56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58</v>
      </c>
      <c r="AB31" s="41">
        <f t="shared" si="11"/>
        <v>-0.69</v>
      </c>
      <c r="AC31" s="28">
        <v>0.19631388599537036</v>
      </c>
      <c r="AD31" s="40">
        <f t="shared" si="12"/>
        <v>0</v>
      </c>
      <c r="AE31" s="44">
        <v>-7.7</v>
      </c>
      <c r="AF31" s="44">
        <v>-3.6873762537499992</v>
      </c>
      <c r="AG31" s="26">
        <v>0</v>
      </c>
    </row>
    <row r="32" spans="1:33" ht="15.75" customHeight="1" x14ac:dyDescent="0.2">
      <c r="A32" s="15" t="s">
        <v>59</v>
      </c>
      <c r="B32" s="15"/>
      <c r="C32" s="16" t="str">
        <f t="shared" si="1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2"/>
        <v>#DIV/0!</v>
      </c>
      <c r="I32" s="32" t="e">
        <f t="shared" si="3"/>
        <v>#DIV/0!</v>
      </c>
      <c r="J32" s="33">
        <f t="shared" si="4"/>
        <v>0</v>
      </c>
      <c r="K32" s="33" t="e">
        <f t="shared" si="5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31">D32/7</f>
        <v>0</v>
      </c>
      <c r="P32" s="35">
        <f t="shared" si="31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58</v>
      </c>
      <c r="AB32" s="41">
        <f t="shared" si="11"/>
        <v>-0.69</v>
      </c>
      <c r="AC32" s="28">
        <v>0.19631388599537036</v>
      </c>
      <c r="AD32" s="40">
        <f t="shared" si="12"/>
        <v>0</v>
      </c>
      <c r="AE32" s="26">
        <v>-7.7</v>
      </c>
      <c r="AF32" s="26">
        <v>-3.6873762537500001</v>
      </c>
      <c r="AG32" s="2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45"/>
      <c r="D39" s="17"/>
      <c r="E39" s="17"/>
      <c r="F39" s="18"/>
      <c r="G39" s="18"/>
      <c r="H39" s="18"/>
      <c r="I39" s="17"/>
      <c r="J39" s="17"/>
      <c r="K39" s="17"/>
      <c r="L39" s="17"/>
      <c r="M39" s="20"/>
      <c r="N39" s="17"/>
      <c r="O39" s="17"/>
      <c r="P39" s="17"/>
      <c r="Q39" s="17"/>
      <c r="R39" s="17"/>
      <c r="S39" s="22"/>
      <c r="T39" s="15"/>
      <c r="U39" s="23"/>
      <c r="V39" s="1"/>
      <c r="W39" s="15"/>
      <c r="X39" s="15"/>
      <c r="Y39" s="15"/>
      <c r="Z39" s="15"/>
      <c r="AA39" s="2"/>
      <c r="AB39" s="15"/>
      <c r="AC39" s="15"/>
      <c r="AD39" s="15"/>
      <c r="AE39" s="26"/>
      <c r="AF39" s="26"/>
      <c r="AG39" s="26"/>
    </row>
    <row r="40" spans="1:33" ht="15.75" customHeight="1" x14ac:dyDescent="0.2">
      <c r="A40" s="15"/>
      <c r="B40" s="15"/>
      <c r="C40" s="45"/>
      <c r="D40" s="17"/>
      <c r="E40" s="17"/>
      <c r="F40" s="18"/>
      <c r="G40" s="18"/>
      <c r="H40" s="18"/>
      <c r="I40" s="17"/>
      <c r="J40" s="17"/>
      <c r="K40" s="17"/>
      <c r="L40" s="17"/>
      <c r="M40" s="20"/>
      <c r="N40" s="17"/>
      <c r="O40" s="17"/>
      <c r="P40" s="17"/>
      <c r="Q40" s="17"/>
      <c r="R40" s="17"/>
      <c r="S40" s="22"/>
      <c r="T40" s="15"/>
      <c r="U40" s="23"/>
      <c r="V40" s="1"/>
      <c r="W40" s="15"/>
      <c r="X40" s="15"/>
      <c r="Y40" s="15"/>
      <c r="Z40" s="15"/>
      <c r="AA40" s="2"/>
      <c r="AB40" s="15"/>
      <c r="AC40" s="15"/>
      <c r="AD40" s="15"/>
      <c r="AE40" s="26"/>
      <c r="AF40" s="26"/>
      <c r="AG40" s="26"/>
    </row>
    <row r="41" spans="1:33" ht="15.75" customHeight="1" x14ac:dyDescent="0.2">
      <c r="A41" s="15"/>
      <c r="B41" s="15"/>
      <c r="C41" s="45"/>
      <c r="D41" s="17"/>
      <c r="E41" s="17"/>
      <c r="F41" s="18"/>
      <c r="G41" s="18"/>
      <c r="H41" s="18"/>
      <c r="I41" s="17"/>
      <c r="J41" s="17"/>
      <c r="K41" s="17"/>
      <c r="L41" s="17"/>
      <c r="M41" s="20"/>
      <c r="N41" s="17"/>
      <c r="O41" s="17"/>
      <c r="P41" s="17"/>
      <c r="Q41" s="17"/>
      <c r="R41" s="17"/>
      <c r="S41" s="22"/>
      <c r="T41" s="15"/>
      <c r="U41" s="23"/>
      <c r="V41" s="1"/>
      <c r="W41" s="15"/>
      <c r="X41" s="15"/>
      <c r="Y41" s="15"/>
      <c r="Z41" s="15"/>
      <c r="AA41" s="2"/>
      <c r="AB41" s="15"/>
      <c r="AC41" s="15"/>
      <c r="AD41" s="15"/>
      <c r="AE41" s="26"/>
      <c r="AF41" s="26"/>
      <c r="AG41" s="26"/>
    </row>
    <row r="42" spans="1:33" ht="15.75" customHeight="1" x14ac:dyDescent="0.2">
      <c r="A42" s="15"/>
      <c r="B42" s="15"/>
      <c r="C42" s="45"/>
      <c r="D42" s="17"/>
      <c r="E42" s="17"/>
      <c r="F42" s="18"/>
      <c r="G42" s="18"/>
      <c r="H42" s="18"/>
      <c r="I42" s="17"/>
      <c r="J42" s="17"/>
      <c r="K42" s="17"/>
      <c r="L42" s="17"/>
      <c r="M42" s="20"/>
      <c r="N42" s="17"/>
      <c r="O42" s="17"/>
      <c r="P42" s="17"/>
      <c r="Q42" s="17"/>
      <c r="R42" s="17"/>
      <c r="S42" s="22"/>
      <c r="T42" s="15"/>
      <c r="U42" s="23"/>
      <c r="V42" s="1"/>
      <c r="W42" s="15"/>
      <c r="X42" s="15"/>
      <c r="Y42" s="15"/>
      <c r="Z42" s="15"/>
      <c r="AA42" s="2"/>
      <c r="AB42" s="15"/>
      <c r="AC42" s="15"/>
      <c r="AD42" s="15"/>
      <c r="AE42" s="26"/>
      <c r="AF42" s="26"/>
      <c r="AG42" s="26"/>
    </row>
    <row r="43" spans="1:33" ht="15.75" customHeight="1" x14ac:dyDescent="0.2">
      <c r="A43" s="15"/>
      <c r="B43" s="15"/>
      <c r="C43" s="45"/>
      <c r="D43" s="17"/>
      <c r="E43" s="17"/>
      <c r="F43" s="18"/>
      <c r="G43" s="18"/>
      <c r="H43" s="18"/>
      <c r="I43" s="17"/>
      <c r="J43" s="17"/>
      <c r="K43" s="17"/>
      <c r="L43" s="17"/>
      <c r="M43" s="20"/>
      <c r="N43" s="17"/>
      <c r="O43" s="17"/>
      <c r="P43" s="17"/>
      <c r="Q43" s="17"/>
      <c r="R43" s="17"/>
      <c r="S43" s="22"/>
      <c r="T43" s="15"/>
      <c r="U43" s="23"/>
      <c r="V43" s="1"/>
      <c r="W43" s="15"/>
      <c r="X43" s="15"/>
      <c r="Y43" s="15"/>
      <c r="Z43" s="15"/>
      <c r="AA43" s="2"/>
      <c r="AB43" s="15"/>
      <c r="AC43" s="15"/>
      <c r="AD43" s="15"/>
      <c r="AE43" s="26"/>
      <c r="AF43" s="26"/>
      <c r="AG43" s="26"/>
    </row>
    <row r="44" spans="1:33" ht="15.75" customHeight="1" x14ac:dyDescent="0.2">
      <c r="A44" s="15"/>
      <c r="B44" s="15"/>
      <c r="C44" s="45"/>
      <c r="D44" s="17"/>
      <c r="E44" s="17"/>
      <c r="F44" s="18"/>
      <c r="G44" s="18"/>
      <c r="H44" s="18"/>
      <c r="I44" s="17"/>
      <c r="J44" s="17"/>
      <c r="K44" s="17"/>
      <c r="L44" s="17"/>
      <c r="M44" s="20"/>
      <c r="N44" s="17"/>
      <c r="O44" s="17"/>
      <c r="P44" s="17"/>
      <c r="Q44" s="17"/>
      <c r="R44" s="17"/>
      <c r="S44" s="22"/>
      <c r="T44" s="15"/>
      <c r="U44" s="23"/>
      <c r="V44" s="1"/>
      <c r="W44" s="15"/>
      <c r="X44" s="15"/>
      <c r="Y44" s="15"/>
      <c r="Z44" s="15"/>
      <c r="AA44" s="2"/>
      <c r="AB44" s="15"/>
      <c r="AC44" s="15"/>
      <c r="AD44" s="15"/>
      <c r="AE44" s="26"/>
      <c r="AF44" s="26"/>
      <c r="AG44" s="26"/>
    </row>
    <row r="45" spans="1:33" ht="15.75" customHeight="1" x14ac:dyDescent="0.2">
      <c r="A45" s="15"/>
      <c r="B45" s="15"/>
      <c r="C45" s="45"/>
      <c r="D45" s="17"/>
      <c r="E45" s="17"/>
      <c r="F45" s="18"/>
      <c r="G45" s="18"/>
      <c r="H45" s="18"/>
      <c r="I45" s="17"/>
      <c r="J45" s="17"/>
      <c r="K45" s="17"/>
      <c r="L45" s="17"/>
      <c r="M45" s="20"/>
      <c r="N45" s="17"/>
      <c r="O45" s="17"/>
      <c r="P45" s="17"/>
      <c r="Q45" s="17"/>
      <c r="R45" s="17"/>
      <c r="S45" s="22"/>
      <c r="T45" s="15"/>
      <c r="U45" s="23"/>
      <c r="V45" s="1"/>
      <c r="W45" s="15"/>
      <c r="X45" s="15"/>
      <c r="Y45" s="15"/>
      <c r="Z45" s="15"/>
      <c r="AA45" s="2"/>
      <c r="AB45" s="15"/>
      <c r="AC45" s="15"/>
      <c r="AD45" s="15"/>
      <c r="AE45" s="26"/>
      <c r="AF45" s="26"/>
      <c r="AG45" s="26"/>
    </row>
    <row r="46" spans="1:33" ht="15.75" customHeight="1" x14ac:dyDescent="0.2">
      <c r="A46" s="15"/>
      <c r="B46" s="15"/>
      <c r="C46" s="45"/>
      <c r="D46" s="17"/>
      <c r="E46" s="17"/>
      <c r="F46" s="18"/>
      <c r="G46" s="18"/>
      <c r="H46" s="18"/>
      <c r="I46" s="17"/>
      <c r="J46" s="17"/>
      <c r="K46" s="17"/>
      <c r="L46" s="17"/>
      <c r="M46" s="20"/>
      <c r="N46" s="17"/>
      <c r="O46" s="17"/>
      <c r="P46" s="17"/>
      <c r="Q46" s="17"/>
      <c r="R46" s="17"/>
      <c r="S46" s="22"/>
      <c r="T46" s="15"/>
      <c r="U46" s="23"/>
      <c r="V46" s="1"/>
      <c r="W46" s="15"/>
      <c r="X46" s="15"/>
      <c r="Y46" s="15"/>
      <c r="Z46" s="15"/>
      <c r="AA46" s="2"/>
      <c r="AB46" s="15"/>
      <c r="AC46" s="15"/>
      <c r="AD46" s="15"/>
      <c r="AE46" s="26"/>
      <c r="AF46" s="26"/>
      <c r="AG46" s="26"/>
    </row>
    <row r="47" spans="1:33" ht="15.75" customHeight="1" x14ac:dyDescent="0.2">
      <c r="A47" s="15"/>
      <c r="B47" s="15"/>
      <c r="C47" s="45"/>
      <c r="D47" s="17"/>
      <c r="E47" s="17"/>
      <c r="F47" s="18"/>
      <c r="G47" s="18"/>
      <c r="H47" s="18"/>
      <c r="I47" s="17"/>
      <c r="J47" s="17"/>
      <c r="K47" s="17"/>
      <c r="L47" s="17"/>
      <c r="M47" s="20"/>
      <c r="N47" s="17"/>
      <c r="O47" s="17"/>
      <c r="P47" s="17"/>
      <c r="Q47" s="17"/>
      <c r="R47" s="17"/>
      <c r="S47" s="22"/>
      <c r="T47" s="15"/>
      <c r="U47" s="23"/>
      <c r="V47" s="1"/>
      <c r="W47" s="15"/>
      <c r="X47" s="15"/>
      <c r="Y47" s="15"/>
      <c r="Z47" s="15"/>
      <c r="AA47" s="2"/>
      <c r="AB47" s="15"/>
      <c r="AC47" s="15"/>
      <c r="AD47" s="15"/>
      <c r="AE47" s="26"/>
      <c r="AF47" s="26"/>
      <c r="AG47" s="26"/>
    </row>
    <row r="48" spans="1:33" ht="15.75" customHeight="1" x14ac:dyDescent="0.2">
      <c r="A48" s="15"/>
      <c r="B48" s="15"/>
      <c r="C48" s="45"/>
      <c r="D48" s="17"/>
      <c r="E48" s="17"/>
      <c r="F48" s="18"/>
      <c r="G48" s="18"/>
      <c r="H48" s="18"/>
      <c r="I48" s="17"/>
      <c r="J48" s="17"/>
      <c r="K48" s="17"/>
      <c r="L48" s="17"/>
      <c r="M48" s="20"/>
      <c r="N48" s="17"/>
      <c r="O48" s="17"/>
      <c r="P48" s="17"/>
      <c r="Q48" s="17"/>
      <c r="R48" s="17"/>
      <c r="S48" s="22"/>
      <c r="T48" s="15"/>
      <c r="U48" s="23"/>
      <c r="V48" s="1"/>
      <c r="W48" s="15"/>
      <c r="X48" s="15"/>
      <c r="Y48" s="15"/>
      <c r="Z48" s="15"/>
      <c r="AA48" s="2"/>
      <c r="AB48" s="15"/>
      <c r="AC48" s="15"/>
      <c r="AD48" s="15"/>
      <c r="AE48" s="26"/>
      <c r="AF48" s="26"/>
      <c r="AG48" s="26"/>
    </row>
    <row r="49" spans="1:33" ht="15.75" customHeight="1" x14ac:dyDescent="0.2">
      <c r="A49" s="15"/>
      <c r="B49" s="15"/>
      <c r="C49" s="45"/>
      <c r="D49" s="17"/>
      <c r="E49" s="17"/>
      <c r="F49" s="18"/>
      <c r="G49" s="18"/>
      <c r="H49" s="18"/>
      <c r="I49" s="17"/>
      <c r="J49" s="17"/>
      <c r="K49" s="17"/>
      <c r="L49" s="17"/>
      <c r="M49" s="20"/>
      <c r="N49" s="17"/>
      <c r="O49" s="17"/>
      <c r="P49" s="17"/>
      <c r="Q49" s="17"/>
      <c r="R49" s="17"/>
      <c r="S49" s="22"/>
      <c r="T49" s="15"/>
      <c r="U49" s="23"/>
      <c r="V49" s="1"/>
      <c r="W49" s="15"/>
      <c r="X49" s="15"/>
      <c r="Y49" s="15"/>
      <c r="Z49" s="15"/>
      <c r="AA49" s="2"/>
      <c r="AB49" s="15"/>
      <c r="AC49" s="15"/>
      <c r="AD49" s="15"/>
      <c r="AE49" s="26"/>
      <c r="AF49" s="26"/>
      <c r="AG49" s="26"/>
    </row>
    <row r="50" spans="1:33" ht="15.75" customHeight="1" x14ac:dyDescent="0.2">
      <c r="A50" s="15"/>
      <c r="B50" s="15"/>
      <c r="C50" s="45"/>
      <c r="D50" s="17"/>
      <c r="E50" s="17"/>
      <c r="F50" s="18"/>
      <c r="G50" s="18"/>
      <c r="H50" s="18"/>
      <c r="I50" s="17"/>
      <c r="J50" s="17"/>
      <c r="K50" s="17"/>
      <c r="L50" s="17"/>
      <c r="M50" s="20"/>
      <c r="N50" s="17"/>
      <c r="O50" s="17"/>
      <c r="P50" s="17"/>
      <c r="Q50" s="17"/>
      <c r="R50" s="17"/>
      <c r="S50" s="22"/>
      <c r="T50" s="15"/>
      <c r="U50" s="23"/>
      <c r="V50" s="1"/>
      <c r="W50" s="15"/>
      <c r="X50" s="15"/>
      <c r="Y50" s="15"/>
      <c r="Z50" s="15"/>
      <c r="AA50" s="2"/>
      <c r="AB50" s="15"/>
      <c r="AC50" s="15"/>
      <c r="AD50" s="15"/>
      <c r="AE50" s="26"/>
      <c r="AF50" s="26"/>
      <c r="AG50" s="26"/>
    </row>
    <row r="51" spans="1:33" ht="15.75" customHeight="1" x14ac:dyDescent="0.2">
      <c r="A51" s="15"/>
      <c r="B51" s="15"/>
      <c r="C51" s="45"/>
      <c r="D51" s="17"/>
      <c r="E51" s="17"/>
      <c r="F51" s="18"/>
      <c r="G51" s="18"/>
      <c r="H51" s="18"/>
      <c r="I51" s="17"/>
      <c r="J51" s="17"/>
      <c r="K51" s="17"/>
      <c r="L51" s="17"/>
      <c r="M51" s="20"/>
      <c r="N51" s="17"/>
      <c r="O51" s="17"/>
      <c r="P51" s="17"/>
      <c r="Q51" s="17"/>
      <c r="R51" s="17"/>
      <c r="S51" s="22"/>
      <c r="T51" s="15"/>
      <c r="U51" s="23"/>
      <c r="V51" s="1"/>
      <c r="W51" s="15"/>
      <c r="X51" s="15"/>
      <c r="Y51" s="15"/>
      <c r="Z51" s="15"/>
      <c r="AA51" s="2"/>
      <c r="AB51" s="15"/>
      <c r="AC51" s="15"/>
      <c r="AD51" s="15"/>
      <c r="AE51" s="26"/>
      <c r="AF51" s="26"/>
      <c r="AG51" s="26"/>
    </row>
    <row r="52" spans="1:33" ht="15.75" customHeight="1" x14ac:dyDescent="0.2">
      <c r="A52" s="15"/>
      <c r="B52" s="15"/>
      <c r="C52" s="45"/>
      <c r="D52" s="17"/>
      <c r="E52" s="17"/>
      <c r="F52" s="18"/>
      <c r="G52" s="18"/>
      <c r="H52" s="18"/>
      <c r="I52" s="17"/>
      <c r="J52" s="17"/>
      <c r="K52" s="17"/>
      <c r="L52" s="17"/>
      <c r="M52" s="20"/>
      <c r="N52" s="17"/>
      <c r="O52" s="17"/>
      <c r="P52" s="17"/>
      <c r="Q52" s="17"/>
      <c r="R52" s="17"/>
      <c r="S52" s="22"/>
      <c r="T52" s="15"/>
      <c r="U52" s="23"/>
      <c r="V52" s="1"/>
      <c r="W52" s="15"/>
      <c r="X52" s="15"/>
      <c r="Y52" s="15"/>
      <c r="Z52" s="15"/>
      <c r="AA52" s="2"/>
      <c r="AB52" s="15"/>
      <c r="AC52" s="15"/>
      <c r="AD52" s="15"/>
      <c r="AE52" s="26"/>
      <c r="AF52" s="26"/>
      <c r="AG52" s="26"/>
    </row>
    <row r="53" spans="1:33" ht="15.75" customHeight="1" x14ac:dyDescent="0.2">
      <c r="A53" s="15"/>
      <c r="B53" s="15"/>
      <c r="C53" s="45"/>
      <c r="D53" s="17"/>
      <c r="E53" s="17"/>
      <c r="F53" s="18"/>
      <c r="G53" s="18"/>
      <c r="H53" s="18"/>
      <c r="I53" s="17"/>
      <c r="J53" s="17"/>
      <c r="K53" s="17"/>
      <c r="L53" s="17"/>
      <c r="M53" s="20"/>
      <c r="N53" s="17"/>
      <c r="O53" s="17"/>
      <c r="P53" s="17"/>
      <c r="Q53" s="17"/>
      <c r="R53" s="17"/>
      <c r="S53" s="22"/>
      <c r="T53" s="15"/>
      <c r="U53" s="23"/>
      <c r="V53" s="1"/>
      <c r="W53" s="15"/>
      <c r="X53" s="15"/>
      <c r="Y53" s="15"/>
      <c r="Z53" s="15"/>
      <c r="AA53" s="2"/>
      <c r="AB53" s="15"/>
      <c r="AC53" s="15"/>
      <c r="AD53" s="15"/>
      <c r="AE53" s="26"/>
      <c r="AF53" s="26"/>
      <c r="AG53" s="26"/>
    </row>
    <row r="54" spans="1:33" ht="15.75" customHeight="1" x14ac:dyDescent="0.2">
      <c r="A54" s="15"/>
      <c r="B54" s="15"/>
      <c r="C54" s="45"/>
      <c r="D54" s="17"/>
      <c r="E54" s="17"/>
      <c r="F54" s="18"/>
      <c r="G54" s="18"/>
      <c r="H54" s="18"/>
      <c r="I54" s="17"/>
      <c r="J54" s="17"/>
      <c r="K54" s="17"/>
      <c r="L54" s="17"/>
      <c r="M54" s="20"/>
      <c r="N54" s="17"/>
      <c r="O54" s="17"/>
      <c r="P54" s="17"/>
      <c r="Q54" s="17"/>
      <c r="R54" s="17"/>
      <c r="S54" s="22"/>
      <c r="T54" s="15"/>
      <c r="U54" s="23"/>
      <c r="V54" s="1"/>
      <c r="W54" s="15"/>
      <c r="X54" s="15"/>
      <c r="Y54" s="15"/>
      <c r="Z54" s="15"/>
      <c r="AA54" s="2"/>
      <c r="AB54" s="15"/>
      <c r="AC54" s="15"/>
      <c r="AD54" s="15"/>
      <c r="AE54" s="26"/>
      <c r="AF54" s="26"/>
      <c r="AG54" s="26"/>
    </row>
    <row r="55" spans="1:33" ht="15.75" customHeight="1" x14ac:dyDescent="0.2">
      <c r="A55" s="15"/>
      <c r="B55" s="15"/>
      <c r="C55" s="45"/>
      <c r="D55" s="17"/>
      <c r="E55" s="17"/>
      <c r="F55" s="18"/>
      <c r="G55" s="18"/>
      <c r="H55" s="18"/>
      <c r="I55" s="17"/>
      <c r="J55" s="17"/>
      <c r="K55" s="17"/>
      <c r="L55" s="17"/>
      <c r="M55" s="20"/>
      <c r="N55" s="17"/>
      <c r="O55" s="17"/>
      <c r="P55" s="17"/>
      <c r="Q55" s="17"/>
      <c r="R55" s="17"/>
      <c r="S55" s="22"/>
      <c r="T55" s="15"/>
      <c r="U55" s="23"/>
      <c r="V55" s="1"/>
      <c r="W55" s="15"/>
      <c r="X55" s="15"/>
      <c r="Y55" s="15"/>
      <c r="Z55" s="15"/>
      <c r="AA55" s="2"/>
      <c r="AB55" s="15"/>
      <c r="AC55" s="15"/>
      <c r="AD55" s="15"/>
      <c r="AE55" s="26"/>
      <c r="AF55" s="26"/>
      <c r="AG55" s="26"/>
    </row>
    <row r="56" spans="1:33" ht="15.75" customHeight="1" x14ac:dyDescent="0.2">
      <c r="A56" s="15"/>
      <c r="B56" s="15"/>
      <c r="C56" s="45"/>
      <c r="D56" s="17"/>
      <c r="E56" s="17"/>
      <c r="F56" s="18"/>
      <c r="G56" s="18"/>
      <c r="H56" s="18"/>
      <c r="I56" s="17"/>
      <c r="J56" s="17"/>
      <c r="K56" s="17"/>
      <c r="L56" s="17"/>
      <c r="M56" s="20"/>
      <c r="N56" s="17"/>
      <c r="O56" s="17"/>
      <c r="P56" s="17"/>
      <c r="Q56" s="17"/>
      <c r="R56" s="17"/>
      <c r="S56" s="22"/>
      <c r="T56" s="15"/>
      <c r="U56" s="23"/>
      <c r="V56" s="1"/>
      <c r="W56" s="15"/>
      <c r="X56" s="15"/>
      <c r="Y56" s="15"/>
      <c r="Z56" s="15"/>
      <c r="AA56" s="2"/>
      <c r="AB56" s="15"/>
      <c r="AC56" s="15"/>
      <c r="AD56" s="15"/>
      <c r="AE56" s="26"/>
      <c r="AF56" s="26"/>
      <c r="AG56" s="26"/>
    </row>
    <row r="57" spans="1:33" ht="15.75" customHeight="1" x14ac:dyDescent="0.2">
      <c r="A57" s="15"/>
      <c r="B57" s="15"/>
      <c r="C57" s="45"/>
      <c r="D57" s="17"/>
      <c r="E57" s="17"/>
      <c r="F57" s="18"/>
      <c r="G57" s="18"/>
      <c r="H57" s="18"/>
      <c r="I57" s="17"/>
      <c r="J57" s="17"/>
      <c r="K57" s="17"/>
      <c r="L57" s="17"/>
      <c r="M57" s="20"/>
      <c r="N57" s="17"/>
      <c r="O57" s="17"/>
      <c r="P57" s="17"/>
      <c r="Q57" s="17"/>
      <c r="R57" s="17"/>
      <c r="S57" s="22"/>
      <c r="T57" s="15"/>
      <c r="U57" s="23"/>
      <c r="V57" s="1"/>
      <c r="W57" s="15"/>
      <c r="X57" s="15"/>
      <c r="Y57" s="15"/>
      <c r="Z57" s="15"/>
      <c r="AA57" s="2"/>
      <c r="AB57" s="15"/>
      <c r="AC57" s="15"/>
      <c r="AD57" s="15"/>
      <c r="AE57" s="26"/>
      <c r="AF57" s="26"/>
      <c r="AG57" s="26"/>
    </row>
    <row r="58" spans="1:33" ht="15.75" customHeight="1" x14ac:dyDescent="0.2">
      <c r="A58" s="15"/>
      <c r="B58" s="15"/>
      <c r="C58" s="45"/>
      <c r="D58" s="17"/>
      <c r="E58" s="17"/>
      <c r="F58" s="18"/>
      <c r="G58" s="18"/>
      <c r="H58" s="18"/>
      <c r="I58" s="17"/>
      <c r="J58" s="17"/>
      <c r="K58" s="17"/>
      <c r="L58" s="17"/>
      <c r="M58" s="20"/>
      <c r="N58" s="17"/>
      <c r="O58" s="17"/>
      <c r="P58" s="17"/>
      <c r="Q58" s="17"/>
      <c r="R58" s="17"/>
      <c r="S58" s="22"/>
      <c r="T58" s="15"/>
      <c r="U58" s="23"/>
      <c r="V58" s="1"/>
      <c r="W58" s="15"/>
      <c r="X58" s="15"/>
      <c r="Y58" s="15"/>
      <c r="Z58" s="15"/>
      <c r="AA58" s="2"/>
      <c r="AB58" s="15"/>
      <c r="AC58" s="15"/>
      <c r="AD58" s="15"/>
      <c r="AE58" s="26"/>
      <c r="AF58" s="26"/>
      <c r="AG58" s="26"/>
    </row>
    <row r="59" spans="1:33" ht="15.75" customHeight="1" x14ac:dyDescent="0.2">
      <c r="A59" s="15"/>
      <c r="B59" s="15"/>
      <c r="C59" s="45"/>
      <c r="D59" s="17"/>
      <c r="E59" s="17"/>
      <c r="F59" s="18"/>
      <c r="G59" s="18"/>
      <c r="H59" s="18"/>
      <c r="I59" s="17"/>
      <c r="J59" s="17"/>
      <c r="K59" s="17"/>
      <c r="L59" s="17"/>
      <c r="M59" s="20"/>
      <c r="N59" s="17"/>
      <c r="O59" s="17"/>
      <c r="P59" s="17"/>
      <c r="Q59" s="17"/>
      <c r="R59" s="17"/>
      <c r="S59" s="22"/>
      <c r="T59" s="15"/>
      <c r="U59" s="23"/>
      <c r="V59" s="1"/>
      <c r="W59" s="15"/>
      <c r="X59" s="15"/>
      <c r="Y59" s="15"/>
      <c r="Z59" s="15"/>
      <c r="AA59" s="2"/>
      <c r="AB59" s="15"/>
      <c r="AC59" s="15"/>
      <c r="AD59" s="15"/>
      <c r="AE59" s="26"/>
      <c r="AF59" s="26"/>
      <c r="AG59" s="26"/>
    </row>
    <row r="60" spans="1:33" ht="15.75" customHeight="1" x14ac:dyDescent="0.2">
      <c r="A60" s="15"/>
      <c r="B60" s="15"/>
      <c r="C60" s="45"/>
      <c r="D60" s="17"/>
      <c r="E60" s="17"/>
      <c r="F60" s="18"/>
      <c r="G60" s="18"/>
      <c r="H60" s="18"/>
      <c r="I60" s="17"/>
      <c r="J60" s="17"/>
      <c r="K60" s="17"/>
      <c r="L60" s="17"/>
      <c r="M60" s="20"/>
      <c r="N60" s="17"/>
      <c r="O60" s="17"/>
      <c r="P60" s="17"/>
      <c r="Q60" s="17"/>
      <c r="R60" s="17"/>
      <c r="S60" s="22"/>
      <c r="T60" s="15"/>
      <c r="U60" s="23"/>
      <c r="V60" s="1"/>
      <c r="W60" s="15"/>
      <c r="X60" s="15"/>
      <c r="Y60" s="15"/>
      <c r="Z60" s="15"/>
      <c r="AA60" s="2"/>
      <c r="AB60" s="15"/>
      <c r="AC60" s="15"/>
      <c r="AD60" s="15"/>
      <c r="AE60" s="26"/>
      <c r="AF60" s="26"/>
      <c r="AG60" s="26"/>
    </row>
    <row r="61" spans="1:33" ht="15.75" customHeight="1" x14ac:dyDescent="0.2">
      <c r="A61" s="15"/>
      <c r="B61" s="15"/>
      <c r="C61" s="45"/>
      <c r="D61" s="17"/>
      <c r="E61" s="17"/>
      <c r="F61" s="18"/>
      <c r="G61" s="18"/>
      <c r="H61" s="18"/>
      <c r="I61" s="17"/>
      <c r="J61" s="17"/>
      <c r="K61" s="17"/>
      <c r="L61" s="17"/>
      <c r="M61" s="20"/>
      <c r="N61" s="17"/>
      <c r="O61" s="17"/>
      <c r="P61" s="17"/>
      <c r="Q61" s="17"/>
      <c r="R61" s="17"/>
      <c r="S61" s="22"/>
      <c r="T61" s="15"/>
      <c r="U61" s="23"/>
      <c r="V61" s="1"/>
      <c r="W61" s="15"/>
      <c r="X61" s="15"/>
      <c r="Y61" s="15"/>
      <c r="Z61" s="15"/>
      <c r="AA61" s="2"/>
      <c r="AB61" s="15"/>
      <c r="AC61" s="15"/>
      <c r="AD61" s="15"/>
      <c r="AE61" s="26"/>
      <c r="AF61" s="26"/>
      <c r="AG61" s="26"/>
    </row>
    <row r="62" spans="1:33" ht="15.75" customHeight="1" x14ac:dyDescent="0.2">
      <c r="A62" s="15"/>
      <c r="B62" s="15"/>
      <c r="C62" s="45"/>
      <c r="D62" s="17"/>
      <c r="E62" s="17"/>
      <c r="F62" s="18"/>
      <c r="G62" s="18"/>
      <c r="H62" s="18"/>
      <c r="I62" s="17"/>
      <c r="J62" s="17"/>
      <c r="K62" s="17"/>
      <c r="L62" s="17"/>
      <c r="M62" s="20"/>
      <c r="N62" s="17"/>
      <c r="O62" s="17"/>
      <c r="P62" s="17"/>
      <c r="Q62" s="17"/>
      <c r="R62" s="17"/>
      <c r="S62" s="22"/>
      <c r="T62" s="15"/>
      <c r="U62" s="23"/>
      <c r="V62" s="1"/>
      <c r="W62" s="15"/>
      <c r="X62" s="15"/>
      <c r="Y62" s="15"/>
      <c r="Z62" s="15"/>
      <c r="AA62" s="2"/>
      <c r="AB62" s="15"/>
      <c r="AC62" s="15"/>
      <c r="AD62" s="15"/>
      <c r="AE62" s="26"/>
      <c r="AF62" s="26"/>
      <c r="AG62" s="26"/>
    </row>
    <row r="63" spans="1:33" ht="15.75" customHeight="1" x14ac:dyDescent="0.2">
      <c r="A63" s="15"/>
      <c r="B63" s="15"/>
      <c r="C63" s="45"/>
      <c r="D63" s="17"/>
      <c r="E63" s="17"/>
      <c r="F63" s="18"/>
      <c r="G63" s="18"/>
      <c r="H63" s="18"/>
      <c r="I63" s="17"/>
      <c r="J63" s="17"/>
      <c r="K63" s="17"/>
      <c r="L63" s="17"/>
      <c r="M63" s="20"/>
      <c r="N63" s="17"/>
      <c r="O63" s="17"/>
      <c r="P63" s="17"/>
      <c r="Q63" s="17"/>
      <c r="R63" s="17"/>
      <c r="S63" s="22"/>
      <c r="T63" s="15"/>
      <c r="U63" s="23"/>
      <c r="V63" s="1"/>
      <c r="W63" s="15"/>
      <c r="X63" s="15"/>
      <c r="Y63" s="15"/>
      <c r="Z63" s="15"/>
      <c r="AA63" s="2"/>
      <c r="AB63" s="15"/>
      <c r="AC63" s="15"/>
      <c r="AD63" s="15"/>
      <c r="AE63" s="26"/>
      <c r="AF63" s="26"/>
      <c r="AG63" s="26"/>
    </row>
    <row r="64" spans="1:33" ht="15.75" customHeight="1" x14ac:dyDescent="0.2">
      <c r="A64" s="15"/>
      <c r="B64" s="15"/>
      <c r="C64" s="45"/>
      <c r="D64" s="17"/>
      <c r="E64" s="17"/>
      <c r="F64" s="18"/>
      <c r="G64" s="18"/>
      <c r="H64" s="18"/>
      <c r="I64" s="17"/>
      <c r="J64" s="17"/>
      <c r="K64" s="17"/>
      <c r="L64" s="17"/>
      <c r="M64" s="20"/>
      <c r="N64" s="17"/>
      <c r="O64" s="17"/>
      <c r="P64" s="17"/>
      <c r="Q64" s="17"/>
      <c r="R64" s="17"/>
      <c r="S64" s="22"/>
      <c r="T64" s="15"/>
      <c r="U64" s="23"/>
      <c r="V64" s="1"/>
      <c r="W64" s="15"/>
      <c r="X64" s="15"/>
      <c r="Y64" s="15"/>
      <c r="Z64" s="15"/>
      <c r="AA64" s="2"/>
      <c r="AB64" s="15"/>
      <c r="AC64" s="15"/>
      <c r="AD64" s="15"/>
      <c r="AE64" s="26"/>
      <c r="AF64" s="26"/>
      <c r="AG64" s="26"/>
    </row>
    <row r="65" spans="1:33" ht="15.75" customHeight="1" x14ac:dyDescent="0.2">
      <c r="A65" s="15"/>
      <c r="B65" s="15"/>
      <c r="C65" s="45"/>
      <c r="D65" s="17"/>
      <c r="E65" s="17"/>
      <c r="F65" s="18"/>
      <c r="G65" s="18"/>
      <c r="H65" s="18"/>
      <c r="I65" s="17"/>
      <c r="J65" s="17"/>
      <c r="K65" s="17"/>
      <c r="L65" s="17"/>
      <c r="M65" s="20"/>
      <c r="N65" s="17"/>
      <c r="O65" s="17"/>
      <c r="P65" s="17"/>
      <c r="Q65" s="17"/>
      <c r="R65" s="17"/>
      <c r="S65" s="22"/>
      <c r="T65" s="15"/>
      <c r="U65" s="23"/>
      <c r="V65" s="1"/>
      <c r="W65" s="15"/>
      <c r="X65" s="15"/>
      <c r="Y65" s="15"/>
      <c r="Z65" s="15"/>
      <c r="AA65" s="2"/>
      <c r="AB65" s="15"/>
      <c r="AC65" s="15"/>
      <c r="AD65" s="15"/>
      <c r="AE65" s="26"/>
      <c r="AF65" s="26"/>
      <c r="AG65" s="26"/>
    </row>
    <row r="66" spans="1:33" ht="15.75" customHeight="1" x14ac:dyDescent="0.2">
      <c r="A66" s="15"/>
      <c r="B66" s="15"/>
      <c r="C66" s="45"/>
      <c r="D66" s="17"/>
      <c r="E66" s="17"/>
      <c r="F66" s="18"/>
      <c r="G66" s="18"/>
      <c r="H66" s="18"/>
      <c r="I66" s="17"/>
      <c r="J66" s="17"/>
      <c r="K66" s="17"/>
      <c r="L66" s="17"/>
      <c r="M66" s="20"/>
      <c r="N66" s="17"/>
      <c r="O66" s="17"/>
      <c r="P66" s="17"/>
      <c r="Q66" s="17"/>
      <c r="R66" s="17"/>
      <c r="S66" s="22"/>
      <c r="T66" s="15"/>
      <c r="U66" s="23"/>
      <c r="V66" s="1"/>
      <c r="W66" s="15"/>
      <c r="X66" s="15"/>
      <c r="Y66" s="15"/>
      <c r="Z66" s="15"/>
      <c r="AA66" s="2"/>
      <c r="AB66" s="15"/>
      <c r="AC66" s="15"/>
      <c r="AD66" s="15"/>
      <c r="AE66" s="26"/>
      <c r="AF66" s="26"/>
      <c r="AG66" s="26"/>
    </row>
    <row r="67" spans="1:33" ht="15.75" customHeight="1" x14ac:dyDescent="0.2">
      <c r="A67" s="15"/>
      <c r="B67" s="15"/>
      <c r="C67" s="45"/>
      <c r="D67" s="17"/>
      <c r="E67" s="17"/>
      <c r="F67" s="18"/>
      <c r="G67" s="18"/>
      <c r="H67" s="18"/>
      <c r="I67" s="17"/>
      <c r="J67" s="17"/>
      <c r="K67" s="17"/>
      <c r="L67" s="17"/>
      <c r="M67" s="20"/>
      <c r="N67" s="17"/>
      <c r="O67" s="17"/>
      <c r="P67" s="17"/>
      <c r="Q67" s="17"/>
      <c r="R67" s="17"/>
      <c r="S67" s="22"/>
      <c r="T67" s="15"/>
      <c r="U67" s="23"/>
      <c r="V67" s="1"/>
      <c r="W67" s="15"/>
      <c r="X67" s="15"/>
      <c r="Y67" s="15"/>
      <c r="Z67" s="15"/>
      <c r="AA67" s="2"/>
      <c r="AB67" s="15"/>
      <c r="AC67" s="15"/>
      <c r="AD67" s="15"/>
      <c r="AE67" s="26"/>
      <c r="AF67" s="26"/>
      <c r="AG67" s="26"/>
    </row>
    <row r="68" spans="1:33" ht="15.75" customHeight="1" x14ac:dyDescent="0.2">
      <c r="A68" s="15"/>
      <c r="B68" s="15"/>
      <c r="C68" s="45"/>
      <c r="D68" s="17"/>
      <c r="E68" s="17"/>
      <c r="F68" s="18"/>
      <c r="G68" s="18"/>
      <c r="H68" s="18"/>
      <c r="I68" s="17"/>
      <c r="J68" s="17"/>
      <c r="K68" s="17"/>
      <c r="L68" s="17"/>
      <c r="M68" s="20"/>
      <c r="N68" s="17"/>
      <c r="O68" s="17"/>
      <c r="P68" s="17"/>
      <c r="Q68" s="17"/>
      <c r="R68" s="17"/>
      <c r="S68" s="22"/>
      <c r="T68" s="15"/>
      <c r="U68" s="23"/>
      <c r="V68" s="1"/>
      <c r="W68" s="15"/>
      <c r="X68" s="15"/>
      <c r="Y68" s="15"/>
      <c r="Z68" s="15"/>
      <c r="AA68" s="2"/>
      <c r="AB68" s="15"/>
      <c r="AC68" s="15"/>
      <c r="AD68" s="15"/>
      <c r="AE68" s="26"/>
      <c r="AF68" s="26"/>
      <c r="AG68" s="26"/>
    </row>
    <row r="69" spans="1:33" ht="15.75" customHeight="1" x14ac:dyDescent="0.2">
      <c r="A69" s="15"/>
      <c r="B69" s="15"/>
      <c r="C69" s="45"/>
      <c r="D69" s="17"/>
      <c r="E69" s="17"/>
      <c r="F69" s="18"/>
      <c r="G69" s="18"/>
      <c r="H69" s="18"/>
      <c r="I69" s="17"/>
      <c r="J69" s="17"/>
      <c r="K69" s="17"/>
      <c r="L69" s="17"/>
      <c r="M69" s="20"/>
      <c r="N69" s="17"/>
      <c r="O69" s="17"/>
      <c r="P69" s="17"/>
      <c r="Q69" s="17"/>
      <c r="R69" s="17"/>
      <c r="S69" s="22"/>
      <c r="T69" s="15"/>
      <c r="U69" s="23"/>
      <c r="V69" s="1"/>
      <c r="W69" s="15"/>
      <c r="X69" s="15"/>
      <c r="Y69" s="15"/>
      <c r="Z69" s="15"/>
      <c r="AA69" s="2"/>
      <c r="AB69" s="15"/>
      <c r="AC69" s="15"/>
      <c r="AD69" s="15"/>
      <c r="AE69" s="26"/>
      <c r="AF69" s="26"/>
      <c r="AG69" s="26"/>
    </row>
    <row r="70" spans="1:33" ht="15.75" customHeight="1" x14ac:dyDescent="0.2">
      <c r="A70" s="15"/>
      <c r="B70" s="15"/>
      <c r="C70" s="45"/>
      <c r="D70" s="17"/>
      <c r="E70" s="17"/>
      <c r="F70" s="18"/>
      <c r="G70" s="18"/>
      <c r="H70" s="18"/>
      <c r="I70" s="17"/>
      <c r="J70" s="17"/>
      <c r="K70" s="17"/>
      <c r="L70" s="17"/>
      <c r="M70" s="20"/>
      <c r="N70" s="17"/>
      <c r="O70" s="17"/>
      <c r="P70" s="17"/>
      <c r="Q70" s="17"/>
      <c r="R70" s="17"/>
      <c r="S70" s="22"/>
      <c r="T70" s="15"/>
      <c r="U70" s="23"/>
      <c r="V70" s="1"/>
      <c r="W70" s="15"/>
      <c r="X70" s="15"/>
      <c r="Y70" s="15"/>
      <c r="Z70" s="15"/>
      <c r="AA70" s="2"/>
      <c r="AB70" s="15"/>
      <c r="AC70" s="15"/>
      <c r="AD70" s="15"/>
      <c r="AE70" s="26"/>
      <c r="AF70" s="26"/>
      <c r="AG70" s="26"/>
    </row>
    <row r="71" spans="1:33" ht="15.75" customHeight="1" x14ac:dyDescent="0.2">
      <c r="A71" s="15"/>
      <c r="B71" s="15"/>
      <c r="C71" s="45"/>
      <c r="D71" s="17"/>
      <c r="E71" s="17"/>
      <c r="F71" s="18"/>
      <c r="G71" s="18"/>
      <c r="H71" s="18"/>
      <c r="I71" s="17"/>
      <c r="J71" s="17"/>
      <c r="K71" s="17"/>
      <c r="L71" s="17"/>
      <c r="M71" s="20"/>
      <c r="N71" s="17"/>
      <c r="O71" s="17"/>
      <c r="P71" s="17"/>
      <c r="Q71" s="17"/>
      <c r="R71" s="17"/>
      <c r="S71" s="22"/>
      <c r="T71" s="15"/>
      <c r="U71" s="23"/>
      <c r="V71" s="1"/>
      <c r="W71" s="15"/>
      <c r="X71" s="15"/>
      <c r="Y71" s="15"/>
      <c r="Z71" s="15"/>
      <c r="AA71" s="2"/>
      <c r="AB71" s="15"/>
      <c r="AC71" s="15"/>
      <c r="AD71" s="15"/>
      <c r="AE71" s="26"/>
      <c r="AF71" s="26"/>
      <c r="AG71" s="26"/>
    </row>
    <row r="72" spans="1:33" ht="15.75" customHeight="1" x14ac:dyDescent="0.2">
      <c r="A72" s="15"/>
      <c r="B72" s="15"/>
      <c r="C72" s="45"/>
      <c r="D72" s="17"/>
      <c r="E72" s="17"/>
      <c r="F72" s="18"/>
      <c r="G72" s="18"/>
      <c r="H72" s="18"/>
      <c r="I72" s="17"/>
      <c r="J72" s="17"/>
      <c r="K72" s="17"/>
      <c r="L72" s="17"/>
      <c r="M72" s="20"/>
      <c r="N72" s="17"/>
      <c r="O72" s="17"/>
      <c r="P72" s="17"/>
      <c r="Q72" s="17"/>
      <c r="R72" s="17"/>
      <c r="S72" s="22"/>
      <c r="T72" s="15"/>
      <c r="U72" s="23"/>
      <c r="V72" s="1"/>
      <c r="W72" s="15"/>
      <c r="X72" s="15"/>
      <c r="Y72" s="15"/>
      <c r="Z72" s="15"/>
      <c r="AA72" s="2"/>
      <c r="AB72" s="15"/>
      <c r="AC72" s="15"/>
      <c r="AD72" s="15"/>
      <c r="AE72" s="26"/>
      <c r="AF72" s="26"/>
      <c r="AG72" s="26"/>
    </row>
    <row r="73" spans="1:33" ht="15.75" customHeight="1" x14ac:dyDescent="0.2">
      <c r="A73" s="15"/>
      <c r="B73" s="15"/>
      <c r="C73" s="45"/>
      <c r="D73" s="17"/>
      <c r="E73" s="17"/>
      <c r="F73" s="18"/>
      <c r="G73" s="18"/>
      <c r="H73" s="18"/>
      <c r="I73" s="17"/>
      <c r="J73" s="17"/>
      <c r="K73" s="17"/>
      <c r="L73" s="17"/>
      <c r="M73" s="20"/>
      <c r="N73" s="17"/>
      <c r="O73" s="17"/>
      <c r="P73" s="17"/>
      <c r="Q73" s="17"/>
      <c r="R73" s="17"/>
      <c r="S73" s="22"/>
      <c r="T73" s="15"/>
      <c r="U73" s="23"/>
      <c r="V73" s="1"/>
      <c r="W73" s="15"/>
      <c r="X73" s="15"/>
      <c r="Y73" s="15"/>
      <c r="Z73" s="15"/>
      <c r="AA73" s="2"/>
      <c r="AB73" s="15"/>
      <c r="AC73" s="15"/>
      <c r="AD73" s="15"/>
      <c r="AE73" s="26"/>
      <c r="AF73" s="26"/>
      <c r="AG73" s="26"/>
    </row>
    <row r="74" spans="1:33" ht="15.75" customHeight="1" x14ac:dyDescent="0.2">
      <c r="A74" s="15"/>
      <c r="B74" s="15"/>
      <c r="C74" s="45"/>
      <c r="D74" s="17"/>
      <c r="E74" s="17"/>
      <c r="F74" s="18"/>
      <c r="G74" s="18"/>
      <c r="H74" s="18"/>
      <c r="I74" s="17"/>
      <c r="J74" s="17"/>
      <c r="K74" s="17"/>
      <c r="L74" s="17"/>
      <c r="M74" s="20"/>
      <c r="N74" s="17"/>
      <c r="O74" s="17"/>
      <c r="P74" s="17"/>
      <c r="Q74" s="17"/>
      <c r="R74" s="17"/>
      <c r="S74" s="22"/>
      <c r="T74" s="15"/>
      <c r="U74" s="23"/>
      <c r="V74" s="1"/>
      <c r="W74" s="15"/>
      <c r="X74" s="15"/>
      <c r="Y74" s="15"/>
      <c r="Z74" s="15"/>
      <c r="AA74" s="2"/>
      <c r="AB74" s="15"/>
      <c r="AC74" s="15"/>
      <c r="AD74" s="15"/>
      <c r="AE74" s="26"/>
      <c r="AF74" s="26"/>
      <c r="AG74" s="26"/>
    </row>
    <row r="75" spans="1:33" ht="15.75" customHeight="1" x14ac:dyDescent="0.2">
      <c r="A75" s="15"/>
      <c r="B75" s="15"/>
      <c r="C75" s="45"/>
      <c r="D75" s="17"/>
      <c r="E75" s="17"/>
      <c r="F75" s="18"/>
      <c r="G75" s="18"/>
      <c r="H75" s="18"/>
      <c r="I75" s="17"/>
      <c r="J75" s="17"/>
      <c r="K75" s="17"/>
      <c r="L75" s="17"/>
      <c r="M75" s="20"/>
      <c r="N75" s="17"/>
      <c r="O75" s="17"/>
      <c r="P75" s="17"/>
      <c r="Q75" s="17"/>
      <c r="R75" s="17"/>
      <c r="S75" s="22"/>
      <c r="T75" s="15"/>
      <c r="U75" s="23"/>
      <c r="V75" s="1"/>
      <c r="W75" s="15"/>
      <c r="X75" s="15"/>
      <c r="Y75" s="15"/>
      <c r="Z75" s="15"/>
      <c r="AA75" s="2"/>
      <c r="AB75" s="15"/>
      <c r="AC75" s="15"/>
      <c r="AD75" s="15"/>
      <c r="AE75" s="26"/>
      <c r="AF75" s="26"/>
      <c r="AG75" s="26"/>
    </row>
    <row r="76" spans="1:33" ht="15.75" customHeight="1" x14ac:dyDescent="0.2">
      <c r="A76" s="15"/>
      <c r="B76" s="15"/>
      <c r="C76" s="45"/>
      <c r="D76" s="17"/>
      <c r="E76" s="17"/>
      <c r="F76" s="18"/>
      <c r="G76" s="18"/>
      <c r="H76" s="18"/>
      <c r="I76" s="17"/>
      <c r="J76" s="17"/>
      <c r="K76" s="17"/>
      <c r="L76" s="17"/>
      <c r="M76" s="20"/>
      <c r="N76" s="17"/>
      <c r="O76" s="17"/>
      <c r="P76" s="17"/>
      <c r="Q76" s="17"/>
      <c r="R76" s="17"/>
      <c r="S76" s="22"/>
      <c r="T76" s="15"/>
      <c r="U76" s="23"/>
      <c r="V76" s="1"/>
      <c r="W76" s="15"/>
      <c r="X76" s="15"/>
      <c r="Y76" s="15"/>
      <c r="Z76" s="15"/>
      <c r="AA76" s="2"/>
      <c r="AB76" s="15"/>
      <c r="AC76" s="15"/>
      <c r="AD76" s="15"/>
      <c r="AE76" s="26"/>
      <c r="AF76" s="26"/>
      <c r="AG76" s="26"/>
    </row>
    <row r="77" spans="1:33" ht="15.75" customHeight="1" x14ac:dyDescent="0.2">
      <c r="A77" s="15"/>
      <c r="B77" s="15"/>
      <c r="C77" s="45"/>
      <c r="D77" s="17"/>
      <c r="E77" s="17"/>
      <c r="F77" s="18"/>
      <c r="G77" s="18"/>
      <c r="H77" s="18"/>
      <c r="I77" s="17"/>
      <c r="J77" s="17"/>
      <c r="K77" s="17"/>
      <c r="L77" s="17"/>
      <c r="M77" s="20"/>
      <c r="N77" s="17"/>
      <c r="O77" s="17"/>
      <c r="P77" s="17"/>
      <c r="Q77" s="17"/>
      <c r="R77" s="17"/>
      <c r="S77" s="22"/>
      <c r="T77" s="15"/>
      <c r="U77" s="23"/>
      <c r="V77" s="1"/>
      <c r="W77" s="15"/>
      <c r="X77" s="15"/>
      <c r="Y77" s="15"/>
      <c r="Z77" s="15"/>
      <c r="AA77" s="2"/>
      <c r="AB77" s="15"/>
      <c r="AC77" s="15"/>
      <c r="AD77" s="15"/>
      <c r="AE77" s="26"/>
      <c r="AF77" s="26"/>
      <c r="AG77" s="26"/>
    </row>
    <row r="78" spans="1:33" ht="15.75" customHeight="1" x14ac:dyDescent="0.2">
      <c r="A78" s="15"/>
      <c r="B78" s="15"/>
      <c r="C78" s="45"/>
      <c r="D78" s="17"/>
      <c r="E78" s="17"/>
      <c r="F78" s="18"/>
      <c r="G78" s="18"/>
      <c r="H78" s="18"/>
      <c r="I78" s="17"/>
      <c r="J78" s="17"/>
      <c r="K78" s="17"/>
      <c r="L78" s="17"/>
      <c r="M78" s="20"/>
      <c r="N78" s="17"/>
      <c r="O78" s="17"/>
      <c r="P78" s="17"/>
      <c r="Q78" s="17"/>
      <c r="R78" s="17"/>
      <c r="S78" s="22"/>
      <c r="T78" s="15"/>
      <c r="U78" s="23"/>
      <c r="V78" s="1"/>
      <c r="W78" s="15"/>
      <c r="X78" s="15"/>
      <c r="Y78" s="15"/>
      <c r="Z78" s="15"/>
      <c r="AA78" s="2"/>
      <c r="AB78" s="15"/>
      <c r="AC78" s="15"/>
      <c r="AD78" s="15"/>
      <c r="AE78" s="26"/>
      <c r="AF78" s="26"/>
      <c r="AG78" s="26"/>
    </row>
    <row r="79" spans="1:33" ht="15.75" customHeight="1" x14ac:dyDescent="0.2">
      <c r="A79" s="15"/>
      <c r="B79" s="15"/>
      <c r="C79" s="45"/>
      <c r="D79" s="17"/>
      <c r="E79" s="17"/>
      <c r="F79" s="18"/>
      <c r="G79" s="18"/>
      <c r="H79" s="18"/>
      <c r="I79" s="17"/>
      <c r="J79" s="17"/>
      <c r="K79" s="17"/>
      <c r="L79" s="17"/>
      <c r="M79" s="20"/>
      <c r="N79" s="17"/>
      <c r="O79" s="17"/>
      <c r="P79" s="17"/>
      <c r="Q79" s="17"/>
      <c r="R79" s="17"/>
      <c r="S79" s="22"/>
      <c r="T79" s="15"/>
      <c r="U79" s="23"/>
      <c r="V79" s="1"/>
      <c r="W79" s="15"/>
      <c r="X79" s="15"/>
      <c r="Y79" s="15"/>
      <c r="Z79" s="15"/>
      <c r="AA79" s="2"/>
      <c r="AB79" s="15"/>
      <c r="AC79" s="15"/>
      <c r="AD79" s="15"/>
      <c r="AE79" s="26"/>
      <c r="AF79" s="26"/>
      <c r="AG79" s="26"/>
    </row>
    <row r="80" spans="1:33" ht="15.75" customHeight="1" x14ac:dyDescent="0.2">
      <c r="A80" s="15"/>
      <c r="B80" s="15"/>
      <c r="C80" s="45"/>
      <c r="D80" s="17"/>
      <c r="E80" s="17"/>
      <c r="F80" s="18"/>
      <c r="G80" s="18"/>
      <c r="H80" s="18"/>
      <c r="I80" s="17"/>
      <c r="J80" s="17"/>
      <c r="K80" s="17"/>
      <c r="L80" s="17"/>
      <c r="M80" s="20"/>
      <c r="N80" s="17"/>
      <c r="O80" s="17"/>
      <c r="P80" s="17"/>
      <c r="Q80" s="17"/>
      <c r="R80" s="17"/>
      <c r="S80" s="22"/>
      <c r="T80" s="15"/>
      <c r="U80" s="23"/>
      <c r="V80" s="1"/>
      <c r="W80" s="15"/>
      <c r="X80" s="15"/>
      <c r="Y80" s="15"/>
      <c r="Z80" s="15"/>
      <c r="AA80" s="2"/>
      <c r="AB80" s="15"/>
      <c r="AC80" s="15"/>
      <c r="AD80" s="15"/>
      <c r="AE80" s="26"/>
      <c r="AF80" s="26"/>
      <c r="AG80" s="26"/>
    </row>
    <row r="81" spans="1:33" ht="15.75" customHeight="1" x14ac:dyDescent="0.2">
      <c r="A81" s="15"/>
      <c r="B81" s="15"/>
      <c r="C81" s="45"/>
      <c r="D81" s="17"/>
      <c r="E81" s="17"/>
      <c r="F81" s="18"/>
      <c r="G81" s="18"/>
      <c r="H81" s="18"/>
      <c r="I81" s="17"/>
      <c r="J81" s="17"/>
      <c r="K81" s="17"/>
      <c r="L81" s="17"/>
      <c r="M81" s="20"/>
      <c r="N81" s="17"/>
      <c r="O81" s="17"/>
      <c r="P81" s="17"/>
      <c r="Q81" s="17"/>
      <c r="R81" s="17"/>
      <c r="S81" s="22"/>
      <c r="T81" s="15"/>
      <c r="U81" s="23"/>
      <c r="V81" s="1"/>
      <c r="W81" s="15"/>
      <c r="X81" s="15"/>
      <c r="Y81" s="15"/>
      <c r="Z81" s="15"/>
      <c r="AA81" s="2"/>
      <c r="AB81" s="15"/>
      <c r="AC81" s="15"/>
      <c r="AD81" s="15"/>
      <c r="AE81" s="26"/>
      <c r="AF81" s="26"/>
      <c r="AG81" s="26"/>
    </row>
    <row r="82" spans="1:33" ht="15.75" customHeight="1" x14ac:dyDescent="0.2">
      <c r="A82" s="15"/>
      <c r="B82" s="15"/>
      <c r="C82" s="45"/>
      <c r="D82" s="17"/>
      <c r="E82" s="17"/>
      <c r="F82" s="18"/>
      <c r="G82" s="18"/>
      <c r="H82" s="18"/>
      <c r="I82" s="17"/>
      <c r="J82" s="17"/>
      <c r="K82" s="17"/>
      <c r="L82" s="17"/>
      <c r="M82" s="20"/>
      <c r="N82" s="17"/>
      <c r="O82" s="17"/>
      <c r="P82" s="17"/>
      <c r="Q82" s="17"/>
      <c r="R82" s="17"/>
      <c r="S82" s="22"/>
      <c r="T82" s="15"/>
      <c r="U82" s="23"/>
      <c r="V82" s="1"/>
      <c r="W82" s="15"/>
      <c r="X82" s="15"/>
      <c r="Y82" s="15"/>
      <c r="Z82" s="15"/>
      <c r="AA82" s="2"/>
      <c r="AB82" s="15"/>
      <c r="AC82" s="15"/>
      <c r="AD82" s="15"/>
      <c r="AE82" s="26"/>
      <c r="AF82" s="26"/>
      <c r="AG82" s="26"/>
    </row>
    <row r="83" spans="1:33" ht="15.75" customHeight="1" x14ac:dyDescent="0.2">
      <c r="A83" s="15"/>
      <c r="B83" s="15"/>
      <c r="C83" s="45"/>
      <c r="D83" s="17"/>
      <c r="E83" s="17"/>
      <c r="F83" s="18"/>
      <c r="G83" s="18"/>
      <c r="H83" s="18"/>
      <c r="I83" s="17"/>
      <c r="J83" s="17"/>
      <c r="K83" s="17"/>
      <c r="L83" s="17"/>
      <c r="M83" s="20"/>
      <c r="N83" s="17"/>
      <c r="O83" s="17"/>
      <c r="P83" s="17"/>
      <c r="Q83" s="17"/>
      <c r="R83" s="17"/>
      <c r="S83" s="22"/>
      <c r="T83" s="15"/>
      <c r="U83" s="23"/>
      <c r="V83" s="1"/>
      <c r="W83" s="15"/>
      <c r="X83" s="15"/>
      <c r="Y83" s="15"/>
      <c r="Z83" s="15"/>
      <c r="AA83" s="2"/>
      <c r="AB83" s="15"/>
      <c r="AC83" s="15"/>
      <c r="AD83" s="15"/>
      <c r="AE83" s="26"/>
      <c r="AF83" s="26"/>
      <c r="AG83" s="26"/>
    </row>
    <row r="84" spans="1:33" ht="15.75" customHeight="1" x14ac:dyDescent="0.2">
      <c r="A84" s="15"/>
      <c r="B84" s="15"/>
      <c r="C84" s="45"/>
      <c r="D84" s="17"/>
      <c r="E84" s="17"/>
      <c r="F84" s="18"/>
      <c r="G84" s="18"/>
      <c r="H84" s="18"/>
      <c r="I84" s="17"/>
      <c r="J84" s="17"/>
      <c r="K84" s="17"/>
      <c r="L84" s="17"/>
      <c r="M84" s="20"/>
      <c r="N84" s="17"/>
      <c r="O84" s="17"/>
      <c r="P84" s="17"/>
      <c r="Q84" s="17"/>
      <c r="R84" s="17"/>
      <c r="S84" s="22"/>
      <c r="T84" s="15"/>
      <c r="U84" s="23"/>
      <c r="V84" s="1"/>
      <c r="W84" s="15"/>
      <c r="X84" s="15"/>
      <c r="Y84" s="15"/>
      <c r="Z84" s="15"/>
      <c r="AA84" s="2"/>
      <c r="AB84" s="15"/>
      <c r="AC84" s="15"/>
      <c r="AD84" s="15"/>
      <c r="AE84" s="26"/>
      <c r="AF84" s="26"/>
      <c r="AG84" s="26"/>
    </row>
    <row r="85" spans="1:33" ht="15.75" customHeight="1" x14ac:dyDescent="0.2">
      <c r="A85" s="15"/>
      <c r="B85" s="15"/>
      <c r="C85" s="45"/>
      <c r="D85" s="17"/>
      <c r="E85" s="17"/>
      <c r="F85" s="18"/>
      <c r="G85" s="18"/>
      <c r="H85" s="18"/>
      <c r="I85" s="17"/>
      <c r="J85" s="17"/>
      <c r="K85" s="17"/>
      <c r="L85" s="17"/>
      <c r="M85" s="20"/>
      <c r="N85" s="17"/>
      <c r="O85" s="17"/>
      <c r="P85" s="17"/>
      <c r="Q85" s="17"/>
      <c r="R85" s="17"/>
      <c r="S85" s="22"/>
      <c r="T85" s="15"/>
      <c r="U85" s="23"/>
      <c r="V85" s="1"/>
      <c r="W85" s="15"/>
      <c r="X85" s="15"/>
      <c r="Y85" s="15"/>
      <c r="Z85" s="15"/>
      <c r="AA85" s="2"/>
      <c r="AB85" s="15"/>
      <c r="AC85" s="15"/>
      <c r="AD85" s="15"/>
      <c r="AE85" s="26"/>
      <c r="AF85" s="26"/>
      <c r="AG85" s="26"/>
    </row>
    <row r="86" spans="1:33" ht="15.75" customHeight="1" x14ac:dyDescent="0.2">
      <c r="A86" s="15"/>
      <c r="B86" s="15"/>
      <c r="C86" s="45"/>
      <c r="D86" s="17"/>
      <c r="E86" s="17"/>
      <c r="F86" s="18"/>
      <c r="G86" s="18"/>
      <c r="H86" s="18"/>
      <c r="I86" s="17"/>
      <c r="J86" s="17"/>
      <c r="K86" s="17"/>
      <c r="L86" s="17"/>
      <c r="M86" s="20"/>
      <c r="N86" s="17"/>
      <c r="O86" s="17"/>
      <c r="P86" s="17"/>
      <c r="Q86" s="17"/>
      <c r="R86" s="17"/>
      <c r="S86" s="22"/>
      <c r="T86" s="15"/>
      <c r="U86" s="23"/>
      <c r="V86" s="1"/>
      <c r="W86" s="15"/>
      <c r="X86" s="15"/>
      <c r="Y86" s="15"/>
      <c r="Z86" s="15"/>
      <c r="AA86" s="2"/>
      <c r="AB86" s="15"/>
      <c r="AC86" s="15"/>
      <c r="AD86" s="15"/>
      <c r="AE86" s="26"/>
      <c r="AF86" s="26"/>
      <c r="AG86" s="26"/>
    </row>
    <row r="87" spans="1:33" ht="15.75" customHeight="1" x14ac:dyDescent="0.2">
      <c r="A87" s="15"/>
      <c r="B87" s="15"/>
      <c r="C87" s="45"/>
      <c r="D87" s="17"/>
      <c r="E87" s="17"/>
      <c r="F87" s="18"/>
      <c r="G87" s="18"/>
      <c r="H87" s="18"/>
      <c r="I87" s="17"/>
      <c r="J87" s="17"/>
      <c r="K87" s="17"/>
      <c r="L87" s="17"/>
      <c r="M87" s="20"/>
      <c r="N87" s="17"/>
      <c r="O87" s="17"/>
      <c r="P87" s="17"/>
      <c r="Q87" s="17"/>
      <c r="R87" s="17"/>
      <c r="S87" s="22"/>
      <c r="T87" s="15"/>
      <c r="U87" s="23"/>
      <c r="V87" s="1"/>
      <c r="W87" s="15"/>
      <c r="X87" s="15"/>
      <c r="Y87" s="15"/>
      <c r="Z87" s="15"/>
      <c r="AA87" s="2"/>
      <c r="AB87" s="15"/>
      <c r="AC87" s="15"/>
      <c r="AD87" s="15"/>
      <c r="AE87" s="26"/>
      <c r="AF87" s="26"/>
      <c r="AG87" s="26"/>
    </row>
    <row r="88" spans="1:33" ht="15.75" customHeight="1" x14ac:dyDescent="0.2">
      <c r="A88" s="15"/>
      <c r="B88" s="15"/>
      <c r="C88" s="45"/>
      <c r="D88" s="17"/>
      <c r="E88" s="17"/>
      <c r="F88" s="18"/>
      <c r="G88" s="18"/>
      <c r="H88" s="18"/>
      <c r="I88" s="17"/>
      <c r="J88" s="17"/>
      <c r="K88" s="17"/>
      <c r="L88" s="17"/>
      <c r="M88" s="20"/>
      <c r="N88" s="17"/>
      <c r="O88" s="17"/>
      <c r="P88" s="17"/>
      <c r="Q88" s="17"/>
      <c r="R88" s="17"/>
      <c r="S88" s="22"/>
      <c r="T88" s="15"/>
      <c r="U88" s="23"/>
      <c r="V88" s="1"/>
      <c r="W88" s="15"/>
      <c r="X88" s="15"/>
      <c r="Y88" s="15"/>
      <c r="Z88" s="15"/>
      <c r="AA88" s="2"/>
      <c r="AB88" s="15"/>
      <c r="AC88" s="15"/>
      <c r="AD88" s="15"/>
      <c r="AE88" s="26"/>
      <c r="AF88" s="26"/>
      <c r="AG88" s="26"/>
    </row>
    <row r="89" spans="1:33" ht="15.75" customHeight="1" x14ac:dyDescent="0.2">
      <c r="A89" s="15"/>
      <c r="B89" s="15"/>
      <c r="C89" s="45"/>
      <c r="D89" s="17"/>
      <c r="E89" s="17"/>
      <c r="F89" s="18"/>
      <c r="G89" s="18"/>
      <c r="H89" s="18"/>
      <c r="I89" s="17"/>
      <c r="J89" s="17"/>
      <c r="K89" s="17"/>
      <c r="L89" s="17"/>
      <c r="M89" s="20"/>
      <c r="N89" s="17"/>
      <c r="O89" s="17"/>
      <c r="P89" s="17"/>
      <c r="Q89" s="17"/>
      <c r="R89" s="17"/>
      <c r="S89" s="22"/>
      <c r="T89" s="15"/>
      <c r="U89" s="23"/>
      <c r="V89" s="1"/>
      <c r="W89" s="15"/>
      <c r="X89" s="15"/>
      <c r="Y89" s="15"/>
      <c r="Z89" s="15"/>
      <c r="AA89" s="2"/>
      <c r="AB89" s="15"/>
      <c r="AC89" s="15"/>
      <c r="AD89" s="15"/>
      <c r="AE89" s="26"/>
      <c r="AF89" s="26"/>
      <c r="AG89" s="26"/>
    </row>
    <row r="90" spans="1:33" ht="15.75" customHeight="1" x14ac:dyDescent="0.2">
      <c r="A90" s="15"/>
      <c r="B90" s="15"/>
      <c r="C90" s="45"/>
      <c r="D90" s="17"/>
      <c r="E90" s="17"/>
      <c r="F90" s="18"/>
      <c r="G90" s="18"/>
      <c r="H90" s="18"/>
      <c r="I90" s="17"/>
      <c r="J90" s="17"/>
      <c r="K90" s="17"/>
      <c r="L90" s="17"/>
      <c r="M90" s="20"/>
      <c r="N90" s="17"/>
      <c r="O90" s="17"/>
      <c r="P90" s="17"/>
      <c r="Q90" s="17"/>
      <c r="R90" s="17"/>
      <c r="S90" s="22"/>
      <c r="T90" s="15"/>
      <c r="U90" s="23"/>
      <c r="V90" s="1"/>
      <c r="W90" s="15"/>
      <c r="X90" s="15"/>
      <c r="Y90" s="15"/>
      <c r="Z90" s="15"/>
      <c r="AA90" s="2"/>
      <c r="AB90" s="15"/>
      <c r="AC90" s="15"/>
      <c r="AD90" s="15"/>
      <c r="AE90" s="26"/>
      <c r="AF90" s="26"/>
      <c r="AG90" s="26"/>
    </row>
    <row r="91" spans="1:33" ht="15.75" customHeight="1" x14ac:dyDescent="0.2">
      <c r="A91" s="15"/>
      <c r="B91" s="15"/>
      <c r="C91" s="45"/>
      <c r="D91" s="17"/>
      <c r="E91" s="17"/>
      <c r="F91" s="18"/>
      <c r="G91" s="18"/>
      <c r="H91" s="18"/>
      <c r="I91" s="17"/>
      <c r="J91" s="17"/>
      <c r="K91" s="17"/>
      <c r="L91" s="17"/>
      <c r="M91" s="20"/>
      <c r="N91" s="17"/>
      <c r="O91" s="17"/>
      <c r="P91" s="17"/>
      <c r="Q91" s="17"/>
      <c r="R91" s="17"/>
      <c r="S91" s="22"/>
      <c r="T91" s="15"/>
      <c r="U91" s="23"/>
      <c r="V91" s="1"/>
      <c r="W91" s="15"/>
      <c r="X91" s="15"/>
      <c r="Y91" s="15"/>
      <c r="Z91" s="15"/>
      <c r="AA91" s="2"/>
      <c r="AB91" s="15"/>
      <c r="AC91" s="15"/>
      <c r="AD91" s="15"/>
      <c r="AE91" s="26"/>
      <c r="AF91" s="26"/>
      <c r="AG91" s="26"/>
    </row>
    <row r="92" spans="1:33" ht="15.75" customHeight="1" x14ac:dyDescent="0.2">
      <c r="A92" s="15"/>
      <c r="B92" s="15"/>
      <c r="C92" s="45"/>
      <c r="D92" s="17"/>
      <c r="E92" s="17"/>
      <c r="F92" s="18"/>
      <c r="G92" s="18"/>
      <c r="H92" s="18"/>
      <c r="I92" s="17"/>
      <c r="J92" s="17"/>
      <c r="K92" s="17"/>
      <c r="L92" s="17"/>
      <c r="M92" s="20"/>
      <c r="N92" s="17"/>
      <c r="O92" s="17"/>
      <c r="P92" s="17"/>
      <c r="Q92" s="17"/>
      <c r="R92" s="17"/>
      <c r="S92" s="22"/>
      <c r="T92" s="15"/>
      <c r="U92" s="23"/>
      <c r="V92" s="1"/>
      <c r="W92" s="15"/>
      <c r="X92" s="15"/>
      <c r="Y92" s="15"/>
      <c r="Z92" s="15"/>
      <c r="AA92" s="2"/>
      <c r="AB92" s="15"/>
      <c r="AC92" s="15"/>
      <c r="AD92" s="15"/>
      <c r="AE92" s="26"/>
      <c r="AF92" s="26"/>
      <c r="AG92" s="26"/>
    </row>
    <row r="93" spans="1:33" ht="15.75" customHeight="1" x14ac:dyDescent="0.2">
      <c r="A93" s="15"/>
      <c r="B93" s="15"/>
      <c r="C93" s="45"/>
      <c r="D93" s="17"/>
      <c r="E93" s="17"/>
      <c r="F93" s="18"/>
      <c r="G93" s="18"/>
      <c r="H93" s="18"/>
      <c r="I93" s="17"/>
      <c r="J93" s="17"/>
      <c r="K93" s="17"/>
      <c r="L93" s="17"/>
      <c r="M93" s="20"/>
      <c r="N93" s="17"/>
      <c r="O93" s="17"/>
      <c r="P93" s="17"/>
      <c r="Q93" s="17"/>
      <c r="R93" s="17"/>
      <c r="S93" s="22"/>
      <c r="T93" s="15"/>
      <c r="U93" s="23"/>
      <c r="V93" s="1"/>
      <c r="W93" s="15"/>
      <c r="X93" s="15"/>
      <c r="Y93" s="15"/>
      <c r="Z93" s="15"/>
      <c r="AA93" s="2"/>
      <c r="AB93" s="15"/>
      <c r="AC93" s="15"/>
      <c r="AD93" s="15"/>
      <c r="AE93" s="26"/>
      <c r="AF93" s="26"/>
      <c r="AG93" s="26"/>
    </row>
    <row r="94" spans="1:33" ht="15.75" customHeight="1" x14ac:dyDescent="0.2">
      <c r="A94" s="15"/>
      <c r="B94" s="15"/>
      <c r="C94" s="45"/>
      <c r="D94" s="17"/>
      <c r="E94" s="17"/>
      <c r="F94" s="18"/>
      <c r="G94" s="18"/>
      <c r="H94" s="18"/>
      <c r="I94" s="17"/>
      <c r="J94" s="17"/>
      <c r="K94" s="17"/>
      <c r="L94" s="17"/>
      <c r="M94" s="20"/>
      <c r="N94" s="17"/>
      <c r="O94" s="17"/>
      <c r="P94" s="17"/>
      <c r="Q94" s="17"/>
      <c r="R94" s="17"/>
      <c r="S94" s="22"/>
      <c r="T94" s="15"/>
      <c r="U94" s="23"/>
      <c r="V94" s="1"/>
      <c r="W94" s="15"/>
      <c r="X94" s="15"/>
      <c r="Y94" s="15"/>
      <c r="Z94" s="15"/>
      <c r="AA94" s="2"/>
      <c r="AB94" s="15"/>
      <c r="AC94" s="15"/>
      <c r="AD94" s="15"/>
      <c r="AE94" s="26"/>
      <c r="AF94" s="26"/>
      <c r="AG94" s="26"/>
    </row>
    <row r="95" spans="1:33" ht="15.75" customHeight="1" x14ac:dyDescent="0.2">
      <c r="A95" s="15"/>
      <c r="B95" s="15"/>
      <c r="C95" s="45"/>
      <c r="D95" s="17"/>
      <c r="E95" s="17"/>
      <c r="F95" s="18"/>
      <c r="G95" s="18"/>
      <c r="H95" s="18"/>
      <c r="I95" s="17"/>
      <c r="J95" s="17"/>
      <c r="K95" s="17"/>
      <c r="L95" s="17"/>
      <c r="M95" s="20"/>
      <c r="N95" s="17"/>
      <c r="O95" s="17"/>
      <c r="P95" s="17"/>
      <c r="Q95" s="17"/>
      <c r="R95" s="17"/>
      <c r="S95" s="22"/>
      <c r="T95" s="15"/>
      <c r="U95" s="23"/>
      <c r="V95" s="1"/>
      <c r="W95" s="15"/>
      <c r="X95" s="15"/>
      <c r="Y95" s="15"/>
      <c r="Z95" s="15"/>
      <c r="AA95" s="2"/>
      <c r="AB95" s="15"/>
      <c r="AC95" s="15"/>
      <c r="AD95" s="15"/>
      <c r="AE95" s="26"/>
      <c r="AF95" s="26"/>
      <c r="AG95" s="26"/>
    </row>
    <row r="96" spans="1:33" ht="15.75" customHeight="1" x14ac:dyDescent="0.2">
      <c r="A96" s="15"/>
      <c r="B96" s="15"/>
      <c r="C96" s="45"/>
      <c r="D96" s="17"/>
      <c r="E96" s="17"/>
      <c r="F96" s="18"/>
      <c r="G96" s="18"/>
      <c r="H96" s="18"/>
      <c r="I96" s="17"/>
      <c r="J96" s="17"/>
      <c r="K96" s="17"/>
      <c r="L96" s="17"/>
      <c r="M96" s="20"/>
      <c r="N96" s="17"/>
      <c r="O96" s="17"/>
      <c r="P96" s="17"/>
      <c r="Q96" s="17"/>
      <c r="R96" s="17"/>
      <c r="S96" s="22"/>
      <c r="T96" s="15"/>
      <c r="U96" s="23"/>
      <c r="V96" s="1"/>
      <c r="W96" s="15"/>
      <c r="X96" s="15"/>
      <c r="Y96" s="15"/>
      <c r="Z96" s="15"/>
      <c r="AA96" s="2"/>
      <c r="AB96" s="15"/>
      <c r="AC96" s="15"/>
      <c r="AD96" s="15"/>
      <c r="AE96" s="26"/>
      <c r="AF96" s="26"/>
      <c r="AG96" s="26"/>
    </row>
    <row r="97" spans="1:33" ht="15.75" customHeight="1" x14ac:dyDescent="0.2">
      <c r="A97" s="15"/>
      <c r="B97" s="15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2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2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2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2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2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2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2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2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2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2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2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2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2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2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2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2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2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2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R221" s="15"/>
      <c r="S221" s="22"/>
    </row>
    <row r="222" spans="1:33" ht="15.75" customHeight="1" x14ac:dyDescent="0.2">
      <c r="R222" s="15"/>
      <c r="S222" s="22"/>
    </row>
    <row r="223" spans="1:33" ht="15.75" customHeight="1" x14ac:dyDescent="0.2">
      <c r="R223" s="15"/>
      <c r="S223" s="22"/>
    </row>
    <row r="224" spans="1:33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PL-PP-CHC-BBALL-CP</vt:lpstr>
      <vt:lpstr>PL-PP-CHC-BRIDE-CP</vt:lpstr>
      <vt:lpstr>PL-PP-CHC-13STAR</vt:lpstr>
      <vt:lpstr>PL-PP-CHC-BGGY</vt:lpstr>
      <vt:lpstr>PL-PP-CHC-BGNB</vt:lpstr>
      <vt:lpstr>PL-PP-CHC-BGYE</vt:lpstr>
      <vt:lpstr>PL-PP-CHC-BLBK</vt:lpstr>
      <vt:lpstr>PL-PP-CHC-BLBK-A</vt:lpstr>
      <vt:lpstr>PL-PP-CHC-BLGY</vt:lpstr>
      <vt:lpstr>PL-PP-CHC-BLYE</vt:lpstr>
      <vt:lpstr>PL-PP-CHC-BLWH-CP</vt:lpstr>
      <vt:lpstr>PL-PP-CHC-FBALL-CP</vt:lpstr>
      <vt:lpstr>PL-PP-CHC-HGGY-CP</vt:lpstr>
      <vt:lpstr>PL-PP-CHC-HGWH-CP</vt:lpstr>
      <vt:lpstr>PL-PP-CHC-FLAG</vt:lpstr>
      <vt:lpstr>PL-PP-CHC-GDBK</vt:lpstr>
      <vt:lpstr>PL-PP-CHC-GNBK</vt:lpstr>
      <vt:lpstr>PL-PP-CHC-GNGY</vt:lpstr>
      <vt:lpstr>PL-PP-CHC-HGYE-CP</vt:lpstr>
      <vt:lpstr>PL-PP-CHC-HGNB</vt:lpstr>
      <vt:lpstr>PL-PP-CHC-LBBK</vt:lpstr>
      <vt:lpstr>PL-PP-CHC-LGNB-CP</vt:lpstr>
      <vt:lpstr>PL-PP-CHC-NBYE-CP</vt:lpstr>
      <vt:lpstr>PL-PP-CHC-NBGY-CP</vt:lpstr>
      <vt:lpstr>PL-PP-CHC-LBGY</vt:lpstr>
      <vt:lpstr>PL-PP-CHC-ORBK</vt:lpstr>
      <vt:lpstr>PL-PP-CHC-ORBL</vt:lpstr>
      <vt:lpstr>PL-PP-CHC-ORNB</vt:lpstr>
      <vt:lpstr>PL-PP-CHC-PUBK</vt:lpstr>
      <vt:lpstr>PL-PP-CHC-PUBK-A</vt:lpstr>
      <vt:lpstr>PL-PP-CHC-PUGY-CP</vt:lpstr>
      <vt:lpstr>PL-PP-CHC-PUYE</vt:lpstr>
      <vt:lpstr>PL-PP-CHC-REBK</vt:lpstr>
      <vt:lpstr>PL-PP-CHC-REBL</vt:lpstr>
      <vt:lpstr>PL-PP-CHC-REBL-A</vt:lpstr>
      <vt:lpstr>PL-PP-CHC-REGY</vt:lpstr>
      <vt:lpstr>PL-PP-CHC-REGY-A</vt:lpstr>
      <vt:lpstr>PL-PP-CHC-RENB</vt:lpstr>
      <vt:lpstr>PL-PP-CHC-REYE</vt:lpstr>
      <vt:lpstr>PL-PP-CHC-SLBK</vt:lpstr>
      <vt:lpstr>PL-PP-CHC-SLBK-A</vt:lpstr>
      <vt:lpstr>PL-PP-CHC-STAR</vt:lpstr>
      <vt:lpstr>PL-PP-CHC-TLOR-CP</vt:lpstr>
      <vt:lpstr>PL-PP-CHC-TLBK-CP</vt:lpstr>
      <vt:lpstr>PL-PP-CHC-STAR-A</vt:lpstr>
      <vt:lpstr>PL-PP-CHC-WHBK</vt:lpstr>
      <vt:lpstr>PL-PP-CHC-YEBK</vt:lpstr>
      <vt:lpstr>PL-PP-CHC-HGNB-A</vt:lpstr>
      <vt:lpstr>PL-PP-CHPRO2-BLBK</vt:lpstr>
      <vt:lpstr>PL-PP-CHPRO2-BLGY</vt:lpstr>
      <vt:lpstr>PL-PP-CHPRO2-FLAG</vt:lpstr>
      <vt:lpstr>PL-PP-CHPRO2-HGBK</vt:lpstr>
      <vt:lpstr>PL-PP-CHPRO2-HGBL</vt:lpstr>
      <vt:lpstr>PL-PP-CHPRO2-HGGY</vt:lpstr>
      <vt:lpstr>PL-PP-CHPRO2-HGYE</vt:lpstr>
      <vt:lpstr>PL-PP-CHPRO2-ORBK</vt:lpstr>
      <vt:lpstr>PL-PP-CHPRO2-ORBL</vt:lpstr>
      <vt:lpstr>PL-PP-CHPRO2-ORGY</vt:lpstr>
      <vt:lpstr>PL-PP-CHPRO2-REBK</vt:lpstr>
      <vt:lpstr>PL-PP-CHPRO2-REBL</vt:lpstr>
      <vt:lpstr>PL-PP-CHPRO2-REGR</vt:lpstr>
      <vt:lpstr>PL-PP-CHPRO2-REYE</vt:lpstr>
      <vt:lpstr>PL-PP-CHPRO2-YEBK</vt:lpstr>
      <vt:lpstr>PL-PP-CHPRO2-YEBL</vt:lpstr>
      <vt:lpstr>PL-PP-CHPRO2-YEGY</vt:lpstr>
      <vt:lpstr>PL-BCL-CH-REBK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2021-07-19T15:44:12Z</dcterms:modified>
</cp:coreProperties>
</file>