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Yi/Downloads/ub/"/>
    </mc:Choice>
  </mc:AlternateContent>
  <xr:revisionPtr revIDLastSave="0" documentId="13_ncr:1_{D079A81F-DD95-184E-BC37-8CF62F04049F}" xr6:coauthVersionLast="47" xr6:coauthVersionMax="47" xr10:uidLastSave="{00000000-0000-0000-0000-000000000000}"/>
  <bookViews>
    <workbookView xWindow="0" yWindow="500" windowWidth="28800" windowHeight="15700" activeTab="1" xr2:uid="{00000000-000D-0000-FFFF-FFFF00000000}"/>
  </bookViews>
  <sheets>
    <sheet name="PL-IFC-103DRYADP-BK1.5" sheetId="1" r:id="rId1"/>
    <sheet name="PL-IFC-104DRYADP-BK1.5" sheetId="2" r:id="rId2"/>
    <sheet name="PL-IFC-103DRY-GY04" sheetId="3" r:id="rId3"/>
    <sheet name="PL-IFC-103DRY-GY06" sheetId="4" r:id="rId4"/>
    <sheet name="PL-IFC-103DRY-GY10" sheetId="5" r:id="rId5"/>
    <sheet name="PL-IFC-104DRY-BK04" sheetId="6" r:id="rId6"/>
    <sheet name="PL-IFC-104DRY-BK06" sheetId="7" r:id="rId7"/>
    <sheet name="PL-IFC-104DRY-BK10" sheetId="8" r:id="rId8"/>
    <sheet name="PL-IFC-RC123B-06" sheetId="9" r:id="rId9"/>
    <sheet name="PL-IFC-RC123B-10" sheetId="10" r:id="rId10"/>
    <sheet name="PL-IFC-RC142-06" sheetId="11" r:id="rId11"/>
    <sheet name="PL-IFC-RC142-10" sheetId="12" r:id="rId12"/>
    <sheet name="PL-IFC-RC143B-06" sheetId="13" r:id="rId13"/>
    <sheet name="PL-IFC-RC143B-10" sheetId="14" r:id="rId14"/>
    <sheet name="PL-IFC-RC162-06" sheetId="15" r:id="rId15"/>
    <sheet name="PL-IFC-RC162-10" sheetId="16" r:id="rId16"/>
    <sheet name="PL-IFC-RC163B-06" sheetId="17" r:id="rId17"/>
    <sheet name="PL-IFC-RC163B-10" sheetId="18" r:id="rId18"/>
    <sheet name="PL-IFC-RC182-06" sheetId="19" r:id="rId19"/>
    <sheet name="PL-IFC-RC182-10" sheetId="20" r:id="rId20"/>
    <sheet name="PL-IFC-RC183B-06" sheetId="21" r:id="rId21"/>
    <sheet name="PL-IFC-RC183B-10" sheetId="22" r:id="rId22"/>
    <sheet name="PL-IFC-APP-AC-143GY03" sheetId="23" r:id="rId23"/>
    <sheet name="PL-IFC-APP-AC-143GY06" sheetId="24" r:id="rId24"/>
    <sheet name="PL-IFC-APP-AC-143GY09" sheetId="25" r:id="rId25"/>
    <sheet name="PL-IFC-APP-AC-143GY12" sheetId="26" r:id="rId26"/>
    <sheet name="PL-IFC-PW12-2PK" sheetId="27" r:id="rId27"/>
    <sheet name="PL-IFC-PW12-4PK" sheetId="28" r:id="rId28"/>
    <sheet name="PL-IFC-PW12-6PK" sheetId="29" r:id="rId29"/>
    <sheet name="PL-IFC-PW14-10PK" sheetId="30" r:id="rId30"/>
    <sheet name="PL-IFC-PW14-4PK" sheetId="31" r:id="rId31"/>
    <sheet name="PL-IFC-PW14-6PK" sheetId="32" r:id="rId32"/>
    <sheet name="PL-IFC-PW16-10PK" sheetId="33" r:id="rId33"/>
    <sheet name="PL-IFC-PW16-2PK" sheetId="34" r:id="rId34"/>
    <sheet name="PL-IFC-PW16-4PK" sheetId="35" r:id="rId35"/>
    <sheet name="PL-IFC-PW16-6PK" sheetId="36" r:id="rId36"/>
    <sheet name="PL-IFC-PW18-10PK" sheetId="37" r:id="rId37"/>
    <sheet name="PL-IFC-PW18-4PK" sheetId="38" r:id="rId38"/>
    <sheet name="PL-IFC-PW18-6PK" sheetId="39" r:id="rId39"/>
    <sheet name="PL-IFC-HDS-10OT15FT" sheetId="40" r:id="rId40"/>
    <sheet name="PL-IFC-HDS-6OT9FT" sheetId="41" r:id="rId41"/>
    <sheet name="PL-IFC-HDS-8OT6FT" sheetId="42" r:id="rId42"/>
    <sheet name="PL-IFC-HDS-9OT9FT" sheetId="43" r:id="rId43"/>
    <sheet name="PL-IFC-183MC03" sheetId="44" r:id="rId44"/>
    <sheet name="PL-IFC-183MC03-2PK" sheetId="45" r:id="rId45"/>
    <sheet name="PL-IFC-183MC03-5PK" sheetId="46" r:id="rId46"/>
    <sheet name="PL-IFC-183MC06" sheetId="47" r:id="rId47"/>
    <sheet name="PL-IFC-183MC06-2PK" sheetId="48" r:id="rId48"/>
    <sheet name="PL-IFC-183MC06-5PK" sheetId="49" r:id="rId49"/>
    <sheet name="PL-IFC-183MC10" sheetId="50" r:id="rId50"/>
    <sheet name="PL-IFC-183MC10-2PK" sheetId="51" r:id="rId51"/>
    <sheet name="PL-IFC-183MC10-5PK" sheetId="52" r:id="rId52"/>
    <sheet name="PL-IFC-183MCRA03-2PK" sheetId="53" r:id="rId53"/>
    <sheet name="PL-IFC-183MCRA06-2PK" sheetId="54" r:id="rId54"/>
    <sheet name="PL-IFC-183MCRA10-2PK" sheetId="55" r:id="rId55"/>
  </sheets>
  <calcPr calcId="191029"/>
</workbook>
</file>

<file path=xl/calcChain.xml><?xml version="1.0" encoding="utf-8"?>
<calcChain xmlns="http://schemas.openxmlformats.org/spreadsheetml/2006/main">
  <c r="R32" i="1" l="1"/>
  <c r="R32" i="3"/>
  <c r="R32" i="4"/>
  <c r="R32" i="5"/>
  <c r="R32" i="6"/>
  <c r="R32" i="7"/>
  <c r="R32" i="8"/>
  <c r="R32" i="9"/>
  <c r="R32" i="10"/>
  <c r="R32" i="11"/>
  <c r="R32" i="12"/>
  <c r="R32" i="13"/>
  <c r="R32" i="14"/>
  <c r="R32" i="15"/>
  <c r="R32" i="16"/>
  <c r="R32" i="17"/>
  <c r="R32" i="18"/>
  <c r="R32" i="19"/>
  <c r="R32" i="20"/>
  <c r="R32" i="21"/>
  <c r="R32" i="22"/>
  <c r="R32" i="23"/>
  <c r="R32" i="24"/>
  <c r="R32" i="25"/>
  <c r="R32" i="26"/>
  <c r="R32" i="27"/>
  <c r="R32" i="28"/>
  <c r="R32" i="29"/>
  <c r="R32" i="30"/>
  <c r="R32" i="31"/>
  <c r="R32" i="32"/>
  <c r="R32" i="33"/>
  <c r="R32" i="34"/>
  <c r="R32" i="35"/>
  <c r="R32" i="36"/>
  <c r="R32" i="37"/>
  <c r="R32" i="38"/>
  <c r="R32" i="39"/>
  <c r="R32" i="40"/>
  <c r="R32" i="41"/>
  <c r="R32" i="42"/>
  <c r="R32" i="43"/>
  <c r="R32" i="44"/>
  <c r="R32" i="45"/>
  <c r="R32" i="46"/>
  <c r="R32" i="47"/>
  <c r="R32" i="48"/>
  <c r="R32" i="49"/>
  <c r="R32" i="50"/>
  <c r="R32" i="51"/>
  <c r="R32" i="52"/>
  <c r="R32" i="53"/>
  <c r="R32" i="54"/>
  <c r="R32" i="55"/>
  <c r="R32" i="2"/>
  <c r="AB32" i="2"/>
  <c r="AD32" i="2" s="1"/>
  <c r="X32" i="2"/>
  <c r="V32" i="2"/>
  <c r="U32" i="2"/>
  <c r="T32" i="2"/>
  <c r="H32" i="2"/>
  <c r="P32" i="2"/>
  <c r="O32" i="2"/>
  <c r="AB32" i="3"/>
  <c r="AD32" i="3" s="1"/>
  <c r="Y32" i="3"/>
  <c r="X32" i="3"/>
  <c r="V32" i="3"/>
  <c r="U32" i="3"/>
  <c r="T32" i="3"/>
  <c r="O32" i="3"/>
  <c r="M32" i="3"/>
  <c r="J32" i="3"/>
  <c r="H32" i="3"/>
  <c r="P32" i="3"/>
  <c r="Q32" i="3" s="1"/>
  <c r="C32" i="3"/>
  <c r="AG3" i="4"/>
  <c r="AB32" i="4"/>
  <c r="AD32" i="4" s="1"/>
  <c r="X32" i="4"/>
  <c r="V32" i="4"/>
  <c r="U32" i="4"/>
  <c r="T32" i="4"/>
  <c r="P32" i="4"/>
  <c r="O32" i="4"/>
  <c r="Q32" i="4" s="1"/>
  <c r="M32" i="4"/>
  <c r="H32" i="4"/>
  <c r="Y32" i="4"/>
  <c r="C32" i="4"/>
  <c r="AB32" i="5"/>
  <c r="AD32" i="5" s="1"/>
  <c r="Y32" i="5"/>
  <c r="X32" i="5"/>
  <c r="V32" i="5"/>
  <c r="U32" i="5"/>
  <c r="T32" i="5"/>
  <c r="O32" i="5"/>
  <c r="Q32" i="5"/>
  <c r="M32" i="5"/>
  <c r="H32" i="5"/>
  <c r="P32" i="5"/>
  <c r="AB32" i="6"/>
  <c r="AD32" i="6" s="1"/>
  <c r="V32" i="6"/>
  <c r="U32" i="6"/>
  <c r="T32" i="6"/>
  <c r="H32" i="6"/>
  <c r="P32" i="6"/>
  <c r="AB32" i="7"/>
  <c r="AD32" i="7" s="1"/>
  <c r="Y32" i="7"/>
  <c r="X32" i="7"/>
  <c r="V32" i="7"/>
  <c r="U32" i="7"/>
  <c r="T32" i="7"/>
  <c r="O32" i="7"/>
  <c r="M32" i="7"/>
  <c r="J32" i="7"/>
  <c r="H32" i="7"/>
  <c r="P32" i="7"/>
  <c r="Q32" i="7" s="1"/>
  <c r="C32" i="7"/>
  <c r="AB32" i="8"/>
  <c r="AD32" i="8" s="1"/>
  <c r="X32" i="8"/>
  <c r="V32" i="8"/>
  <c r="U32" i="8"/>
  <c r="T32" i="8"/>
  <c r="P32" i="8"/>
  <c r="O32" i="8"/>
  <c r="Q32" i="8" s="1"/>
  <c r="M32" i="8"/>
  <c r="H32" i="8"/>
  <c r="Y32" i="8"/>
  <c r="J32" i="8"/>
  <c r="C32" i="8"/>
  <c r="AB32" i="9"/>
  <c r="AD32" i="9" s="1"/>
  <c r="Y32" i="9"/>
  <c r="X32" i="9"/>
  <c r="V32" i="9"/>
  <c r="U32" i="9"/>
  <c r="T32" i="9"/>
  <c r="O32" i="9"/>
  <c r="Q32" i="9"/>
  <c r="M32" i="9"/>
  <c r="P32" i="9"/>
  <c r="AB32" i="10"/>
  <c r="V32" i="10"/>
  <c r="U32" i="10"/>
  <c r="T32" i="10"/>
  <c r="H32" i="10"/>
  <c r="P32" i="10"/>
  <c r="D3" i="10"/>
  <c r="X3" i="10" s="1"/>
  <c r="AB32" i="11"/>
  <c r="AD32" i="11" s="1"/>
  <c r="Y32" i="11"/>
  <c r="X32" i="11"/>
  <c r="V32" i="11"/>
  <c r="U32" i="11"/>
  <c r="T32" i="11"/>
  <c r="O32" i="11"/>
  <c r="M32" i="11"/>
  <c r="J32" i="11"/>
  <c r="H32" i="11"/>
  <c r="P32" i="11"/>
  <c r="Q32" i="11" s="1"/>
  <c r="C32" i="11"/>
  <c r="AB32" i="12"/>
  <c r="AD32" i="12" s="1"/>
  <c r="X32" i="12"/>
  <c r="V32" i="12"/>
  <c r="U32" i="12"/>
  <c r="T32" i="12"/>
  <c r="P32" i="12"/>
  <c r="O32" i="12"/>
  <c r="M32" i="12"/>
  <c r="H32" i="12"/>
  <c r="Y32" i="12"/>
  <c r="C32" i="12"/>
  <c r="AD32" i="13"/>
  <c r="AB32" i="13"/>
  <c r="X32" i="13"/>
  <c r="V32" i="13"/>
  <c r="U32" i="13"/>
  <c r="T32" i="13"/>
  <c r="O32" i="13"/>
  <c r="M32" i="13"/>
  <c r="Y32" i="13"/>
  <c r="P32" i="13"/>
  <c r="AB32" i="14"/>
  <c r="X32" i="14"/>
  <c r="V32" i="14"/>
  <c r="U32" i="14"/>
  <c r="T32" i="14"/>
  <c r="H32" i="14"/>
  <c r="P32" i="14"/>
  <c r="AB32" i="15"/>
  <c r="AD32" i="15" s="1"/>
  <c r="J32" i="15" s="1"/>
  <c r="Y32" i="15"/>
  <c r="X32" i="15"/>
  <c r="V32" i="15"/>
  <c r="U32" i="15"/>
  <c r="T32" i="15"/>
  <c r="O32" i="15"/>
  <c r="M32" i="15"/>
  <c r="H32" i="15"/>
  <c r="P32" i="15"/>
  <c r="Q32" i="15" s="1"/>
  <c r="C32" i="15"/>
  <c r="AG3" i="16"/>
  <c r="AB32" i="16"/>
  <c r="AD32" i="16" s="1"/>
  <c r="X32" i="16"/>
  <c r="V32" i="16"/>
  <c r="U32" i="16"/>
  <c r="T32" i="16"/>
  <c r="P32" i="16"/>
  <c r="O32" i="16"/>
  <c r="Q32" i="16" s="1"/>
  <c r="M32" i="16"/>
  <c r="H32" i="16"/>
  <c r="Y32" i="16"/>
  <c r="C32" i="16"/>
  <c r="AD32" i="17"/>
  <c r="AB32" i="17"/>
  <c r="Y32" i="17"/>
  <c r="X32" i="17"/>
  <c r="V32" i="17"/>
  <c r="U32" i="17"/>
  <c r="T32" i="17"/>
  <c r="O32" i="17"/>
  <c r="M32" i="17"/>
  <c r="H32" i="17"/>
  <c r="P32" i="17"/>
  <c r="AB32" i="18"/>
  <c r="AD32" i="18" s="1"/>
  <c r="V32" i="18"/>
  <c r="U32" i="18"/>
  <c r="T32" i="18"/>
  <c r="H32" i="18"/>
  <c r="P32" i="18"/>
  <c r="AB32" i="19"/>
  <c r="AD32" i="19" s="1"/>
  <c r="Y32" i="19"/>
  <c r="X32" i="19"/>
  <c r="V32" i="19"/>
  <c r="U32" i="19"/>
  <c r="T32" i="19"/>
  <c r="O32" i="19"/>
  <c r="M32" i="19"/>
  <c r="J32" i="19"/>
  <c r="H32" i="19"/>
  <c r="P32" i="19"/>
  <c r="Q32" i="19" s="1"/>
  <c r="C32" i="19"/>
  <c r="AB32" i="20"/>
  <c r="AD32" i="20" s="1"/>
  <c r="X32" i="20"/>
  <c r="V32" i="20"/>
  <c r="U32" i="20"/>
  <c r="T32" i="20"/>
  <c r="P32" i="20"/>
  <c r="O32" i="20"/>
  <c r="Q32" i="20" s="1"/>
  <c r="M32" i="20"/>
  <c r="H32" i="20"/>
  <c r="Y32" i="20"/>
  <c r="J32" i="20"/>
  <c r="C32" i="20"/>
  <c r="AB32" i="21"/>
  <c r="AD32" i="21" s="1"/>
  <c r="X32" i="21"/>
  <c r="V32" i="21"/>
  <c r="U32" i="21"/>
  <c r="T32" i="21"/>
  <c r="O32" i="21"/>
  <c r="Q32" i="21"/>
  <c r="M32" i="21"/>
  <c r="Y32" i="21"/>
  <c r="P32" i="21"/>
  <c r="AB32" i="22"/>
  <c r="V32" i="22"/>
  <c r="U32" i="22"/>
  <c r="T32" i="22"/>
  <c r="P32" i="22"/>
  <c r="H32" i="22"/>
  <c r="Y32" i="22"/>
  <c r="C32" i="22"/>
  <c r="AD32" i="23"/>
  <c r="AB32" i="23"/>
  <c r="Y32" i="23"/>
  <c r="X32" i="23"/>
  <c r="V32" i="23"/>
  <c r="U32" i="23"/>
  <c r="T32" i="23"/>
  <c r="P32" i="23"/>
  <c r="J32" i="23"/>
  <c r="H32" i="23"/>
  <c r="C32" i="23"/>
  <c r="M32" i="23"/>
  <c r="AB32" i="24"/>
  <c r="AD32" i="24" s="1"/>
  <c r="X32" i="24"/>
  <c r="V32" i="24"/>
  <c r="U32" i="24"/>
  <c r="T32" i="24"/>
  <c r="P32" i="24"/>
  <c r="Q32" i="24"/>
  <c r="H32" i="24"/>
  <c r="Y32" i="24"/>
  <c r="C32" i="24"/>
  <c r="O32" i="24"/>
  <c r="AD32" i="25"/>
  <c r="AB32" i="25"/>
  <c r="V32" i="25"/>
  <c r="U32" i="25"/>
  <c r="T32" i="25"/>
  <c r="P32" i="25"/>
  <c r="Y32" i="25"/>
  <c r="X32" i="25"/>
  <c r="AB32" i="26"/>
  <c r="V32" i="26"/>
  <c r="U32" i="26"/>
  <c r="T32" i="26"/>
  <c r="P32" i="26"/>
  <c r="H32" i="26"/>
  <c r="Y32" i="26"/>
  <c r="AD32" i="27"/>
  <c r="AB32" i="27"/>
  <c r="Y32" i="27"/>
  <c r="X32" i="27"/>
  <c r="V32" i="27"/>
  <c r="U32" i="27"/>
  <c r="T32" i="27"/>
  <c r="P32" i="27"/>
  <c r="J32" i="27"/>
  <c r="C32" i="27"/>
  <c r="M32" i="27"/>
  <c r="AB32" i="28"/>
  <c r="AD32" i="28" s="1"/>
  <c r="X32" i="28"/>
  <c r="V32" i="28"/>
  <c r="U32" i="28"/>
  <c r="T32" i="28"/>
  <c r="P32" i="28"/>
  <c r="H32" i="28"/>
  <c r="Y32" i="28"/>
  <c r="C32" i="28"/>
  <c r="O32" i="28"/>
  <c r="AD32" i="29"/>
  <c r="AB32" i="29"/>
  <c r="V32" i="29"/>
  <c r="U32" i="29"/>
  <c r="T32" i="29"/>
  <c r="P32" i="29"/>
  <c r="Y32" i="29"/>
  <c r="X32" i="29"/>
  <c r="AB32" i="30"/>
  <c r="V32" i="30"/>
  <c r="U32" i="30"/>
  <c r="T32" i="30"/>
  <c r="P32" i="30"/>
  <c r="H32" i="30"/>
  <c r="Y32" i="30"/>
  <c r="AD32" i="31"/>
  <c r="AB32" i="31"/>
  <c r="Y32" i="31"/>
  <c r="X32" i="31"/>
  <c r="V32" i="31"/>
  <c r="U32" i="31"/>
  <c r="T32" i="31"/>
  <c r="P32" i="31"/>
  <c r="J32" i="31"/>
  <c r="H32" i="31"/>
  <c r="C32" i="31"/>
  <c r="M32" i="31"/>
  <c r="AG3" i="32"/>
  <c r="AB32" i="32"/>
  <c r="X32" i="32"/>
  <c r="V32" i="32"/>
  <c r="U32" i="32"/>
  <c r="T32" i="32"/>
  <c r="P32" i="32"/>
  <c r="Q32" i="32"/>
  <c r="H32" i="32"/>
  <c r="Y32" i="32"/>
  <c r="C32" i="32"/>
  <c r="O32" i="32"/>
  <c r="AD32" i="33"/>
  <c r="AB32" i="33"/>
  <c r="V32" i="33"/>
  <c r="U32" i="33"/>
  <c r="T32" i="33"/>
  <c r="P32" i="33"/>
  <c r="Y32" i="33"/>
  <c r="X32" i="33"/>
  <c r="AB32" i="34"/>
  <c r="V32" i="34"/>
  <c r="U32" i="34"/>
  <c r="T32" i="34"/>
  <c r="P32" i="34"/>
  <c r="H32" i="34"/>
  <c r="Y32" i="34"/>
  <c r="AD32" i="35"/>
  <c r="AB32" i="35"/>
  <c r="Y32" i="35"/>
  <c r="X32" i="35"/>
  <c r="V32" i="35"/>
  <c r="U32" i="35"/>
  <c r="T32" i="35"/>
  <c r="P32" i="35"/>
  <c r="J32" i="35"/>
  <c r="H32" i="35"/>
  <c r="C32" i="35"/>
  <c r="M32" i="35"/>
  <c r="AB32" i="36"/>
  <c r="X32" i="36"/>
  <c r="V32" i="36"/>
  <c r="U32" i="36"/>
  <c r="T32" i="36"/>
  <c r="P32" i="36"/>
  <c r="H32" i="36"/>
  <c r="Y32" i="36"/>
  <c r="C32" i="36"/>
  <c r="O32" i="36"/>
  <c r="AD32" i="37"/>
  <c r="AB32" i="37"/>
  <c r="Y32" i="37"/>
  <c r="V32" i="37"/>
  <c r="U32" i="37"/>
  <c r="T32" i="37"/>
  <c r="P32" i="37"/>
  <c r="X32" i="37"/>
  <c r="AB32" i="38"/>
  <c r="AD32" i="38" s="1"/>
  <c r="V32" i="38"/>
  <c r="U32" i="38"/>
  <c r="T32" i="38"/>
  <c r="H32" i="38"/>
  <c r="P32" i="38"/>
  <c r="AB32" i="39"/>
  <c r="AD32" i="39" s="1"/>
  <c r="Y32" i="39"/>
  <c r="X32" i="39"/>
  <c r="V32" i="39"/>
  <c r="U32" i="39"/>
  <c r="T32" i="39"/>
  <c r="M32" i="39"/>
  <c r="J32" i="39"/>
  <c r="H32" i="39"/>
  <c r="P32" i="39"/>
  <c r="O32" i="39"/>
  <c r="Q32" i="39" s="1"/>
  <c r="C32" i="39"/>
  <c r="AG3" i="40"/>
  <c r="AB32" i="40"/>
  <c r="AD32" i="40" s="1"/>
  <c r="X32" i="40"/>
  <c r="V32" i="40"/>
  <c r="U32" i="40"/>
  <c r="T32" i="40"/>
  <c r="P32" i="40"/>
  <c r="O32" i="40"/>
  <c r="H32" i="40"/>
  <c r="Y32" i="40"/>
  <c r="M32" i="40"/>
  <c r="C32" i="40"/>
  <c r="AD32" i="41"/>
  <c r="AB32" i="41"/>
  <c r="Y32" i="41"/>
  <c r="X32" i="41"/>
  <c r="V32" i="41"/>
  <c r="U32" i="41"/>
  <c r="T32" i="41"/>
  <c r="O32" i="41"/>
  <c r="Q32" i="41"/>
  <c r="M32" i="41"/>
  <c r="P32" i="41"/>
  <c r="AB32" i="42"/>
  <c r="AD32" i="42" s="1"/>
  <c r="X32" i="42"/>
  <c r="V32" i="42"/>
  <c r="U32" i="42"/>
  <c r="T32" i="42"/>
  <c r="H32" i="42"/>
  <c r="P32" i="42"/>
  <c r="C32" i="42"/>
  <c r="AB32" i="43"/>
  <c r="AD32" i="43" s="1"/>
  <c r="Y32" i="43"/>
  <c r="X32" i="43"/>
  <c r="V32" i="43"/>
  <c r="U32" i="43"/>
  <c r="T32" i="43"/>
  <c r="O32" i="43"/>
  <c r="M32" i="43"/>
  <c r="J32" i="43"/>
  <c r="K32" i="43" s="1"/>
  <c r="H32" i="43"/>
  <c r="P32" i="43"/>
  <c r="Q32" i="43" s="1"/>
  <c r="C32" i="43"/>
  <c r="C3" i="44"/>
  <c r="AB32" i="44"/>
  <c r="AD32" i="44" s="1"/>
  <c r="X32" i="44"/>
  <c r="V32" i="44"/>
  <c r="U32" i="44"/>
  <c r="T32" i="44"/>
  <c r="P32" i="44"/>
  <c r="O32" i="44"/>
  <c r="Q32" i="44" s="1"/>
  <c r="M32" i="44"/>
  <c r="H32" i="44"/>
  <c r="Y32" i="44"/>
  <c r="C32" i="44"/>
  <c r="AD32" i="45"/>
  <c r="AB32" i="45"/>
  <c r="Y32" i="45"/>
  <c r="X32" i="45"/>
  <c r="V32" i="45"/>
  <c r="U32" i="45"/>
  <c r="T32" i="45"/>
  <c r="O32" i="45"/>
  <c r="Q32" i="45"/>
  <c r="M32" i="45"/>
  <c r="P32" i="45"/>
  <c r="C3" i="46"/>
  <c r="AB32" i="46"/>
  <c r="AD32" i="46" s="1"/>
  <c r="X32" i="46"/>
  <c r="V32" i="46"/>
  <c r="U32" i="46"/>
  <c r="T32" i="46"/>
  <c r="H32" i="46"/>
  <c r="P32" i="46"/>
  <c r="C32" i="46"/>
  <c r="AB32" i="47"/>
  <c r="AD32" i="47" s="1"/>
  <c r="Y32" i="47"/>
  <c r="W3" i="47"/>
  <c r="V32" i="47"/>
  <c r="U32" i="47"/>
  <c r="T32" i="47"/>
  <c r="O32" i="47"/>
  <c r="M32" i="47"/>
  <c r="J32" i="47"/>
  <c r="K32" i="47" s="1"/>
  <c r="H32" i="47"/>
  <c r="P32" i="47"/>
  <c r="Q32" i="47" s="1"/>
  <c r="C32" i="47"/>
  <c r="AG3" i="48"/>
  <c r="C3" i="48"/>
  <c r="AB32" i="48"/>
  <c r="AD32" i="48" s="1"/>
  <c r="X32" i="48"/>
  <c r="V32" i="48"/>
  <c r="U32" i="48"/>
  <c r="T32" i="48"/>
  <c r="P32" i="48"/>
  <c r="O32" i="48"/>
  <c r="Q32" i="48" s="1"/>
  <c r="M32" i="48"/>
  <c r="H32" i="48"/>
  <c r="Y32" i="48"/>
  <c r="C32" i="48"/>
  <c r="AD32" i="49"/>
  <c r="AB32" i="49"/>
  <c r="Y32" i="49"/>
  <c r="X32" i="49"/>
  <c r="V32" i="49"/>
  <c r="U32" i="49"/>
  <c r="T32" i="49"/>
  <c r="O32" i="49"/>
  <c r="Q32" i="49"/>
  <c r="M32" i="49"/>
  <c r="P32" i="49"/>
  <c r="C3" i="50"/>
  <c r="AB32" i="50"/>
  <c r="AD32" i="50" s="1"/>
  <c r="X32" i="50"/>
  <c r="V32" i="50"/>
  <c r="U32" i="50"/>
  <c r="T32" i="50"/>
  <c r="H32" i="50"/>
  <c r="P32" i="50"/>
  <c r="C32" i="50"/>
  <c r="AB32" i="51"/>
  <c r="AD32" i="51" s="1"/>
  <c r="Y32" i="51"/>
  <c r="W3" i="51"/>
  <c r="V32" i="51"/>
  <c r="U32" i="51"/>
  <c r="T32" i="51"/>
  <c r="O32" i="51"/>
  <c r="M32" i="51"/>
  <c r="J32" i="51"/>
  <c r="K32" i="51" s="1"/>
  <c r="H32" i="51"/>
  <c r="P32" i="51"/>
  <c r="Q32" i="51" s="1"/>
  <c r="C32" i="51"/>
  <c r="C3" i="52"/>
  <c r="AB32" i="52"/>
  <c r="AD32" i="52" s="1"/>
  <c r="X32" i="52"/>
  <c r="W3" i="52"/>
  <c r="X3" i="52" s="1"/>
  <c r="V32" i="52"/>
  <c r="U32" i="52"/>
  <c r="T32" i="52"/>
  <c r="P32" i="52"/>
  <c r="O32" i="52"/>
  <c r="Q32" i="52" s="1"/>
  <c r="M32" i="52"/>
  <c r="H32" i="52"/>
  <c r="Y32" i="52"/>
  <c r="C32" i="52"/>
  <c r="AD32" i="53"/>
  <c r="AB32" i="53"/>
  <c r="Y32" i="53"/>
  <c r="W3" i="53"/>
  <c r="X3" i="53" s="1"/>
  <c r="V32" i="53"/>
  <c r="U32" i="53"/>
  <c r="T32" i="53"/>
  <c r="O32" i="53"/>
  <c r="Q32" i="53"/>
  <c r="M32" i="53"/>
  <c r="P32" i="53"/>
  <c r="C3" i="54"/>
  <c r="AB32" i="54"/>
  <c r="AD32" i="54" s="1"/>
  <c r="V32" i="54"/>
  <c r="U32" i="54"/>
  <c r="T32" i="54"/>
  <c r="O32" i="54"/>
  <c r="P32" i="54"/>
  <c r="C32" i="54"/>
  <c r="AB32" i="55"/>
  <c r="AD32" i="55" s="1"/>
  <c r="J32" i="55" s="1"/>
  <c r="Y32" i="55"/>
  <c r="W3" i="55"/>
  <c r="V32" i="55"/>
  <c r="U32" i="55"/>
  <c r="T32" i="55"/>
  <c r="Q32" i="55"/>
  <c r="O32" i="55"/>
  <c r="M32" i="55"/>
  <c r="H32" i="55"/>
  <c r="P32" i="55"/>
  <c r="C32" i="55"/>
  <c r="C3" i="1"/>
  <c r="AB32" i="1"/>
  <c r="AD32" i="1" s="1"/>
  <c r="X32" i="1"/>
  <c r="V32" i="1"/>
  <c r="U32" i="1"/>
  <c r="T32" i="1"/>
  <c r="P32" i="1"/>
  <c r="O32" i="1"/>
  <c r="M32" i="1"/>
  <c r="Y32" i="1"/>
  <c r="J32" i="1"/>
  <c r="I32" i="1" s="1"/>
  <c r="C32" i="1"/>
  <c r="C3" i="2"/>
  <c r="C3" i="3"/>
  <c r="C3" i="4"/>
  <c r="C3" i="5"/>
  <c r="C3" i="6"/>
  <c r="C3" i="7"/>
  <c r="C3" i="8"/>
  <c r="C3" i="9"/>
  <c r="C3" i="10"/>
  <c r="C3" i="11"/>
  <c r="C3" i="12"/>
  <c r="C3" i="13"/>
  <c r="C3" i="14"/>
  <c r="C3" i="15"/>
  <c r="C3" i="16"/>
  <c r="C3" i="17"/>
  <c r="C3" i="18"/>
  <c r="C3" i="19"/>
  <c r="C3" i="20"/>
  <c r="C3" i="21"/>
  <c r="C3" i="22"/>
  <c r="C3" i="23"/>
  <c r="C3" i="24"/>
  <c r="C3" i="25"/>
  <c r="C3" i="26"/>
  <c r="C3" i="27"/>
  <c r="C3" i="28"/>
  <c r="C3" i="29"/>
  <c r="C3" i="30"/>
  <c r="C3" i="31"/>
  <c r="C3" i="32"/>
  <c r="C3" i="33"/>
  <c r="C3" i="34"/>
  <c r="C3" i="35"/>
  <c r="C3" i="36"/>
  <c r="C3" i="37"/>
  <c r="C3" i="38"/>
  <c r="C3" i="39"/>
  <c r="C3" i="40"/>
  <c r="C3" i="41"/>
  <c r="C3" i="42"/>
  <c r="C3" i="43"/>
  <c r="C3" i="45"/>
  <c r="C3" i="47"/>
  <c r="C3" i="49"/>
  <c r="C3" i="51"/>
  <c r="C3" i="53"/>
  <c r="C3" i="55"/>
  <c r="AB31" i="55"/>
  <c r="AD31" i="55" s="1"/>
  <c r="J31" i="55" s="1"/>
  <c r="Y31" i="55"/>
  <c r="X31" i="55"/>
  <c r="P31" i="55"/>
  <c r="O31" i="55"/>
  <c r="Q31" i="55" s="1"/>
  <c r="M31" i="55"/>
  <c r="H31" i="55"/>
  <c r="C31" i="55"/>
  <c r="AB30" i="55"/>
  <c r="AD30" i="55" s="1"/>
  <c r="J30" i="55" s="1"/>
  <c r="Y30" i="55"/>
  <c r="X30" i="55"/>
  <c r="P30" i="55"/>
  <c r="O30" i="55"/>
  <c r="M30" i="55"/>
  <c r="H30" i="55"/>
  <c r="C30" i="55"/>
  <c r="AB29" i="55"/>
  <c r="AD29" i="55" s="1"/>
  <c r="J29" i="55" s="1"/>
  <c r="Y29" i="55"/>
  <c r="X29" i="55"/>
  <c r="P29" i="55"/>
  <c r="O29" i="55"/>
  <c r="Q29" i="55" s="1"/>
  <c r="M29" i="55"/>
  <c r="H29" i="55"/>
  <c r="C29" i="55"/>
  <c r="AB28" i="55"/>
  <c r="AD28" i="55" s="1"/>
  <c r="J28" i="55" s="1"/>
  <c r="Y28" i="55"/>
  <c r="X28" i="55"/>
  <c r="P28" i="55"/>
  <c r="O28" i="55"/>
  <c r="M28" i="55"/>
  <c r="H28" i="55"/>
  <c r="C28" i="55"/>
  <c r="AD27" i="55"/>
  <c r="J27" i="55" s="1"/>
  <c r="I27" i="55" s="1"/>
  <c r="AB27" i="55"/>
  <c r="Y27" i="55"/>
  <c r="X27" i="55"/>
  <c r="P27" i="55"/>
  <c r="O27" i="55"/>
  <c r="M27" i="55"/>
  <c r="H27" i="55"/>
  <c r="C27" i="55"/>
  <c r="AB26" i="55"/>
  <c r="AD26" i="55" s="1"/>
  <c r="J26" i="55" s="1"/>
  <c r="K26" i="55" s="1"/>
  <c r="Y26" i="55"/>
  <c r="X26" i="55"/>
  <c r="Q26" i="55"/>
  <c r="P26" i="55"/>
  <c r="O26" i="55"/>
  <c r="M26" i="55"/>
  <c r="H26" i="55"/>
  <c r="C26" i="55"/>
  <c r="AB25" i="55"/>
  <c r="AD25" i="55" s="1"/>
  <c r="J25" i="55" s="1"/>
  <c r="Y25" i="55"/>
  <c r="X25" i="55"/>
  <c r="P25" i="55"/>
  <c r="O25" i="55"/>
  <c r="M25" i="55"/>
  <c r="H25" i="55"/>
  <c r="C25" i="55"/>
  <c r="AB24" i="55"/>
  <c r="AD24" i="55" s="1"/>
  <c r="J24" i="55" s="1"/>
  <c r="Y24" i="55"/>
  <c r="X24" i="55"/>
  <c r="P24" i="55"/>
  <c r="O24" i="55"/>
  <c r="M24" i="55"/>
  <c r="H24" i="55"/>
  <c r="C24" i="55"/>
  <c r="AB23" i="55"/>
  <c r="AD23" i="55" s="1"/>
  <c r="J23" i="55" s="1"/>
  <c r="Y23" i="55"/>
  <c r="X23" i="55"/>
  <c r="P23" i="55"/>
  <c r="O23" i="55"/>
  <c r="Q23" i="55" s="1"/>
  <c r="M23" i="55"/>
  <c r="H23" i="55"/>
  <c r="C23" i="55"/>
  <c r="AB22" i="55"/>
  <c r="AD22" i="55" s="1"/>
  <c r="J22" i="55" s="1"/>
  <c r="Y22" i="55"/>
  <c r="X22" i="55"/>
  <c r="P22" i="55"/>
  <c r="O22" i="55"/>
  <c r="Q22" i="55" s="1"/>
  <c r="M22" i="55"/>
  <c r="H22" i="55"/>
  <c r="C22" i="55"/>
  <c r="AB21" i="55"/>
  <c r="AD21" i="55" s="1"/>
  <c r="Y21" i="55"/>
  <c r="X21" i="55"/>
  <c r="P21" i="55"/>
  <c r="O21" i="55"/>
  <c r="Q21" i="55" s="1"/>
  <c r="M21" i="55"/>
  <c r="H21" i="55"/>
  <c r="C21" i="55"/>
  <c r="AG3" i="55"/>
  <c r="AF3" i="55"/>
  <c r="V3" i="55"/>
  <c r="U3" i="55"/>
  <c r="T3" i="55"/>
  <c r="O3" i="55"/>
  <c r="G3" i="55"/>
  <c r="H3" i="55" s="1"/>
  <c r="F3" i="55"/>
  <c r="D3" i="55"/>
  <c r="A2" i="55"/>
  <c r="A1" i="55"/>
  <c r="AB31" i="54"/>
  <c r="AD31" i="54" s="1"/>
  <c r="J31" i="54" s="1"/>
  <c r="Y31" i="54"/>
  <c r="X31" i="54"/>
  <c r="P31" i="54"/>
  <c r="O31" i="54"/>
  <c r="Q31" i="54" s="1"/>
  <c r="M31" i="54"/>
  <c r="H31" i="54"/>
  <c r="C31" i="54"/>
  <c r="AB30" i="54"/>
  <c r="AD30" i="54" s="1"/>
  <c r="J30" i="54" s="1"/>
  <c r="Y30" i="54"/>
  <c r="X30" i="54"/>
  <c r="P30" i="54"/>
  <c r="O30" i="54"/>
  <c r="M30" i="54"/>
  <c r="H30" i="54"/>
  <c r="C30" i="54"/>
  <c r="AD29" i="54"/>
  <c r="J29" i="54" s="1"/>
  <c r="AB29" i="54"/>
  <c r="Y29" i="54"/>
  <c r="X29" i="54"/>
  <c r="P29" i="54"/>
  <c r="O29" i="54"/>
  <c r="M29" i="54"/>
  <c r="H29" i="54"/>
  <c r="C29" i="54"/>
  <c r="AB28" i="54"/>
  <c r="AD28" i="54" s="1"/>
  <c r="J28" i="54" s="1"/>
  <c r="Y28" i="54"/>
  <c r="X28" i="54"/>
  <c r="P28" i="54"/>
  <c r="O28" i="54"/>
  <c r="M28" i="54"/>
  <c r="H28" i="54"/>
  <c r="C28" i="54"/>
  <c r="AB27" i="54"/>
  <c r="AD27" i="54" s="1"/>
  <c r="Y27" i="54"/>
  <c r="X27" i="54"/>
  <c r="P27" i="54"/>
  <c r="O27" i="54"/>
  <c r="M27" i="54"/>
  <c r="J27" i="54"/>
  <c r="H27" i="54"/>
  <c r="C27" i="54"/>
  <c r="AB26" i="54"/>
  <c r="AD26" i="54" s="1"/>
  <c r="J26" i="54" s="1"/>
  <c r="Y26" i="54"/>
  <c r="X26" i="54"/>
  <c r="P26" i="54"/>
  <c r="Q26" i="54" s="1"/>
  <c r="O26" i="54"/>
  <c r="M26" i="54"/>
  <c r="H26" i="54"/>
  <c r="C26" i="54"/>
  <c r="AB25" i="54"/>
  <c r="AD25" i="54" s="1"/>
  <c r="J25" i="54" s="1"/>
  <c r="Y25" i="54"/>
  <c r="X25" i="54"/>
  <c r="P25" i="54"/>
  <c r="O25" i="54"/>
  <c r="Q25" i="54" s="1"/>
  <c r="M25" i="54"/>
  <c r="H25" i="54"/>
  <c r="C25" i="54"/>
  <c r="AB24" i="54"/>
  <c r="AD24" i="54" s="1"/>
  <c r="J24" i="54" s="1"/>
  <c r="Y24" i="54"/>
  <c r="X24" i="54"/>
  <c r="Q24" i="54"/>
  <c r="P24" i="54"/>
  <c r="O24" i="54"/>
  <c r="M24" i="54"/>
  <c r="H24" i="54"/>
  <c r="C24" i="54"/>
  <c r="AB23" i="54"/>
  <c r="AD23" i="54" s="1"/>
  <c r="J23" i="54" s="1"/>
  <c r="Y23" i="54"/>
  <c r="X23" i="54"/>
  <c r="P23" i="54"/>
  <c r="O23" i="54"/>
  <c r="M23" i="54"/>
  <c r="H23" i="54"/>
  <c r="C23" i="54"/>
  <c r="AB22" i="54"/>
  <c r="AD22" i="54" s="1"/>
  <c r="J22" i="54" s="1"/>
  <c r="Y22" i="54"/>
  <c r="X22" i="54"/>
  <c r="P22" i="54"/>
  <c r="O22" i="54"/>
  <c r="M22" i="54"/>
  <c r="H22" i="54"/>
  <c r="C22" i="54"/>
  <c r="AD21" i="54"/>
  <c r="AB21" i="54"/>
  <c r="Y21" i="54"/>
  <c r="X21" i="54"/>
  <c r="P21" i="54"/>
  <c r="O21" i="54"/>
  <c r="M21" i="54"/>
  <c r="H21" i="54"/>
  <c r="C21" i="54"/>
  <c r="AG3" i="54"/>
  <c r="AF3" i="54"/>
  <c r="V3" i="54"/>
  <c r="U3" i="54"/>
  <c r="T3" i="54"/>
  <c r="O3" i="54"/>
  <c r="F3" i="54"/>
  <c r="A2" i="54"/>
  <c r="A1" i="54"/>
  <c r="AD31" i="53"/>
  <c r="J31" i="53" s="1"/>
  <c r="I31" i="53" s="1"/>
  <c r="AB31" i="53"/>
  <c r="Y31" i="53"/>
  <c r="X31" i="53"/>
  <c r="P31" i="53"/>
  <c r="O31" i="53"/>
  <c r="M31" i="53"/>
  <c r="H31" i="53"/>
  <c r="C31" i="53"/>
  <c r="AB30" i="53"/>
  <c r="AD30" i="53" s="1"/>
  <c r="J30" i="53" s="1"/>
  <c r="Y30" i="53"/>
  <c r="X30" i="53"/>
  <c r="P30" i="53"/>
  <c r="O30" i="53"/>
  <c r="Q30" i="53" s="1"/>
  <c r="M30" i="53"/>
  <c r="H30" i="53"/>
  <c r="C30" i="53"/>
  <c r="AB29" i="53"/>
  <c r="AD29" i="53" s="1"/>
  <c r="J29" i="53" s="1"/>
  <c r="Y29" i="53"/>
  <c r="X29" i="53"/>
  <c r="P29" i="53"/>
  <c r="O29" i="53"/>
  <c r="M29" i="53"/>
  <c r="H29" i="53"/>
  <c r="C29" i="53"/>
  <c r="AB28" i="53"/>
  <c r="AD28" i="53" s="1"/>
  <c r="Y28" i="53"/>
  <c r="X28" i="53"/>
  <c r="P28" i="53"/>
  <c r="O28" i="53"/>
  <c r="Q28" i="53" s="1"/>
  <c r="M28" i="53"/>
  <c r="J28" i="53"/>
  <c r="K28" i="53" s="1"/>
  <c r="H28" i="53"/>
  <c r="C28" i="53"/>
  <c r="AB27" i="53"/>
  <c r="AD27" i="53" s="1"/>
  <c r="J27" i="53" s="1"/>
  <c r="Y27" i="53"/>
  <c r="X27" i="53"/>
  <c r="P27" i="53"/>
  <c r="O27" i="53"/>
  <c r="Q27" i="53" s="1"/>
  <c r="M27" i="53"/>
  <c r="H27" i="53"/>
  <c r="C27" i="53"/>
  <c r="AD26" i="53"/>
  <c r="J26" i="53" s="1"/>
  <c r="I26" i="53" s="1"/>
  <c r="AB26" i="53"/>
  <c r="Y26" i="53"/>
  <c r="X26" i="53"/>
  <c r="Q26" i="53"/>
  <c r="P26" i="53"/>
  <c r="O26" i="53"/>
  <c r="M26" i="53"/>
  <c r="K26" i="53"/>
  <c r="H26" i="53"/>
  <c r="C26" i="53"/>
  <c r="AB25" i="53"/>
  <c r="AD25" i="53" s="1"/>
  <c r="J25" i="53" s="1"/>
  <c r="K25" i="53" s="1"/>
  <c r="Y25" i="53"/>
  <c r="X25" i="53"/>
  <c r="P25" i="53"/>
  <c r="O25" i="53"/>
  <c r="Q25" i="53" s="1"/>
  <c r="M25" i="53"/>
  <c r="H25" i="53"/>
  <c r="C25" i="53"/>
  <c r="AB24" i="53"/>
  <c r="AD24" i="53" s="1"/>
  <c r="J24" i="53" s="1"/>
  <c r="Y24" i="53"/>
  <c r="X24" i="53"/>
  <c r="P24" i="53"/>
  <c r="O24" i="53"/>
  <c r="M24" i="53"/>
  <c r="H24" i="53"/>
  <c r="C24" i="53"/>
  <c r="AB23" i="53"/>
  <c r="AD23" i="53" s="1"/>
  <c r="Y23" i="53"/>
  <c r="X23" i="53"/>
  <c r="P23" i="53"/>
  <c r="O23" i="53"/>
  <c r="M23" i="53"/>
  <c r="H23" i="53"/>
  <c r="C23" i="53"/>
  <c r="AB22" i="53"/>
  <c r="AD22" i="53" s="1"/>
  <c r="J22" i="53" s="1"/>
  <c r="Y22" i="53"/>
  <c r="X22" i="53"/>
  <c r="P22" i="53"/>
  <c r="O22" i="53"/>
  <c r="M22" i="53"/>
  <c r="H22" i="53"/>
  <c r="C22" i="53"/>
  <c r="AD21" i="53"/>
  <c r="J21" i="53" s="1"/>
  <c r="I21" i="53" s="1"/>
  <c r="AB21" i="53"/>
  <c r="Y21" i="53"/>
  <c r="X21" i="53"/>
  <c r="P21" i="53"/>
  <c r="O21" i="53"/>
  <c r="Q21" i="53" s="1"/>
  <c r="M21" i="53"/>
  <c r="H21" i="53"/>
  <c r="C21" i="53"/>
  <c r="AG3" i="53"/>
  <c r="AF3" i="53"/>
  <c r="V3" i="53"/>
  <c r="U3" i="53"/>
  <c r="T3" i="53"/>
  <c r="O3" i="53"/>
  <c r="G3" i="53"/>
  <c r="D3" i="53"/>
  <c r="A2" i="53"/>
  <c r="A1" i="53"/>
  <c r="AD31" i="52"/>
  <c r="J31" i="52" s="1"/>
  <c r="AB31" i="52"/>
  <c r="Y31" i="52"/>
  <c r="X31" i="52"/>
  <c r="P31" i="52"/>
  <c r="O31" i="52"/>
  <c r="Q31" i="52" s="1"/>
  <c r="M31" i="52"/>
  <c r="H31" i="52"/>
  <c r="C31" i="52"/>
  <c r="AD30" i="52"/>
  <c r="J30" i="52" s="1"/>
  <c r="I30" i="52" s="1"/>
  <c r="AB30" i="52"/>
  <c r="Y30" i="52"/>
  <c r="X30" i="52"/>
  <c r="P30" i="52"/>
  <c r="O30" i="52"/>
  <c r="Q30" i="52" s="1"/>
  <c r="M30" i="52"/>
  <c r="H30" i="52"/>
  <c r="C30" i="52"/>
  <c r="AB29" i="52"/>
  <c r="AD29" i="52" s="1"/>
  <c r="Y29" i="52"/>
  <c r="X29" i="52"/>
  <c r="P29" i="52"/>
  <c r="O29" i="52"/>
  <c r="Q29" i="52" s="1"/>
  <c r="M29" i="52"/>
  <c r="J29" i="52"/>
  <c r="K29" i="52" s="1"/>
  <c r="H29" i="52"/>
  <c r="C29" i="52"/>
  <c r="AB28" i="52"/>
  <c r="AD28" i="52" s="1"/>
  <c r="J28" i="52" s="1"/>
  <c r="Y28" i="52"/>
  <c r="X28" i="52"/>
  <c r="P28" i="52"/>
  <c r="O28" i="52"/>
  <c r="M28" i="52"/>
  <c r="H28" i="52"/>
  <c r="C28" i="52"/>
  <c r="AD27" i="52"/>
  <c r="J27" i="52" s="1"/>
  <c r="AB27" i="52"/>
  <c r="Y27" i="52"/>
  <c r="X27" i="52"/>
  <c r="P27" i="52"/>
  <c r="Q27" i="52" s="1"/>
  <c r="O27" i="52"/>
  <c r="M27" i="52"/>
  <c r="H27" i="52"/>
  <c r="C27" i="52"/>
  <c r="AB26" i="52"/>
  <c r="AD26" i="52" s="1"/>
  <c r="J26" i="52" s="1"/>
  <c r="K26" i="52" s="1"/>
  <c r="Y26" i="52"/>
  <c r="X26" i="52"/>
  <c r="Q26" i="52"/>
  <c r="P26" i="52"/>
  <c r="O26" i="52"/>
  <c r="M26" i="52"/>
  <c r="H26" i="52"/>
  <c r="C26" i="52"/>
  <c r="AB25" i="52"/>
  <c r="AD25" i="52" s="1"/>
  <c r="J25" i="52" s="1"/>
  <c r="Y25" i="52"/>
  <c r="X25" i="52"/>
  <c r="P25" i="52"/>
  <c r="O25" i="52"/>
  <c r="M25" i="52"/>
  <c r="H25" i="52"/>
  <c r="C25" i="52"/>
  <c r="AD24" i="52"/>
  <c r="AB24" i="52"/>
  <c r="Y24" i="52"/>
  <c r="X24" i="52"/>
  <c r="P24" i="52"/>
  <c r="O24" i="52"/>
  <c r="M24" i="52"/>
  <c r="J24" i="52"/>
  <c r="H24" i="52"/>
  <c r="C24" i="52"/>
  <c r="AD23" i="52"/>
  <c r="J23" i="52" s="1"/>
  <c r="AB23" i="52"/>
  <c r="Y23" i="52"/>
  <c r="X23" i="52"/>
  <c r="P23" i="52"/>
  <c r="Q23" i="52" s="1"/>
  <c r="O23" i="52"/>
  <c r="M23" i="52"/>
  <c r="H23" i="52"/>
  <c r="C23" i="52"/>
  <c r="AB22" i="52"/>
  <c r="AD22" i="52" s="1"/>
  <c r="J22" i="52" s="1"/>
  <c r="Y22" i="52"/>
  <c r="X22" i="52"/>
  <c r="P22" i="52"/>
  <c r="O22" i="52"/>
  <c r="M22" i="52"/>
  <c r="H22" i="52"/>
  <c r="C22" i="52"/>
  <c r="AB21" i="52"/>
  <c r="AD21" i="52" s="1"/>
  <c r="J21" i="52" s="1"/>
  <c r="Y21" i="52"/>
  <c r="X21" i="52"/>
  <c r="P21" i="52"/>
  <c r="O21" i="52"/>
  <c r="Q21" i="52" s="1"/>
  <c r="M21" i="52"/>
  <c r="H21" i="52"/>
  <c r="C21" i="52"/>
  <c r="AG3" i="52"/>
  <c r="AF3" i="52"/>
  <c r="V3" i="52"/>
  <c r="U3" i="52"/>
  <c r="T3" i="52"/>
  <c r="O3" i="52"/>
  <c r="F3" i="52"/>
  <c r="D3" i="52"/>
  <c r="A2" i="52"/>
  <c r="A1" i="52"/>
  <c r="AB31" i="51"/>
  <c r="AD31" i="51" s="1"/>
  <c r="J31" i="51" s="1"/>
  <c r="I31" i="51" s="1"/>
  <c r="Y31" i="51"/>
  <c r="X31" i="51"/>
  <c r="P31" i="51"/>
  <c r="O31" i="51"/>
  <c r="M31" i="51"/>
  <c r="H31" i="51"/>
  <c r="C31" i="51"/>
  <c r="AB30" i="51"/>
  <c r="AD30" i="51" s="1"/>
  <c r="J30" i="51" s="1"/>
  <c r="K30" i="51" s="1"/>
  <c r="Y30" i="51"/>
  <c r="X30" i="51"/>
  <c r="Q30" i="51"/>
  <c r="P30" i="51"/>
  <c r="O30" i="51"/>
  <c r="M30" i="51"/>
  <c r="H30" i="51"/>
  <c r="C30" i="51"/>
  <c r="AB29" i="51"/>
  <c r="AD29" i="51" s="1"/>
  <c r="J29" i="51" s="1"/>
  <c r="Y29" i="51"/>
  <c r="X29" i="51"/>
  <c r="P29" i="51"/>
  <c r="O29" i="51"/>
  <c r="Q29" i="51" s="1"/>
  <c r="M29" i="51"/>
  <c r="H29" i="51"/>
  <c r="C29" i="51"/>
  <c r="AB28" i="51"/>
  <c r="AD28" i="51" s="1"/>
  <c r="J28" i="51" s="1"/>
  <c r="Y28" i="51"/>
  <c r="X28" i="51"/>
  <c r="P28" i="51"/>
  <c r="O28" i="51"/>
  <c r="Q28" i="51" s="1"/>
  <c r="M28" i="51"/>
  <c r="H28" i="51"/>
  <c r="C28" i="51"/>
  <c r="AB27" i="51"/>
  <c r="AD27" i="51" s="1"/>
  <c r="J27" i="51" s="1"/>
  <c r="K27" i="51" s="1"/>
  <c r="Y27" i="51"/>
  <c r="X27" i="51"/>
  <c r="P27" i="51"/>
  <c r="Q27" i="51" s="1"/>
  <c r="O27" i="51"/>
  <c r="M27" i="51"/>
  <c r="I27" i="51"/>
  <c r="H27" i="51"/>
  <c r="C27" i="51"/>
  <c r="AB26" i="51"/>
  <c r="AD26" i="51" s="1"/>
  <c r="J26" i="51" s="1"/>
  <c r="Y26" i="51"/>
  <c r="X26" i="51"/>
  <c r="P26" i="51"/>
  <c r="O26" i="51"/>
  <c r="Q26" i="51" s="1"/>
  <c r="M26" i="51"/>
  <c r="H26" i="51"/>
  <c r="C26" i="51"/>
  <c r="AB25" i="51"/>
  <c r="AD25" i="51" s="1"/>
  <c r="J25" i="51" s="1"/>
  <c r="Y25" i="51"/>
  <c r="X25" i="51"/>
  <c r="P25" i="51"/>
  <c r="Q25" i="51" s="1"/>
  <c r="O25" i="51"/>
  <c r="M25" i="51"/>
  <c r="H25" i="51"/>
  <c r="C25" i="51"/>
  <c r="AB24" i="51"/>
  <c r="AD24" i="51" s="1"/>
  <c r="J24" i="51" s="1"/>
  <c r="Y24" i="51"/>
  <c r="X24" i="51"/>
  <c r="P24" i="51"/>
  <c r="O24" i="51"/>
  <c r="Q24" i="51" s="1"/>
  <c r="M24" i="51"/>
  <c r="H24" i="51"/>
  <c r="C24" i="51"/>
  <c r="AB23" i="51"/>
  <c r="AD23" i="51" s="1"/>
  <c r="J23" i="51" s="1"/>
  <c r="Y23" i="51"/>
  <c r="X23" i="51"/>
  <c r="P23" i="51"/>
  <c r="O23" i="51"/>
  <c r="M23" i="51"/>
  <c r="H23" i="51"/>
  <c r="C23" i="51"/>
  <c r="AB22" i="51"/>
  <c r="AD22" i="51" s="1"/>
  <c r="J22" i="51" s="1"/>
  <c r="Y22" i="51"/>
  <c r="X22" i="51"/>
  <c r="P22" i="51"/>
  <c r="O22" i="51"/>
  <c r="Q22" i="51" s="1"/>
  <c r="M22" i="51"/>
  <c r="H22" i="51"/>
  <c r="C22" i="51"/>
  <c r="AB21" i="51"/>
  <c r="AD21" i="51" s="1"/>
  <c r="Y21" i="51"/>
  <c r="X21" i="51"/>
  <c r="P21" i="51"/>
  <c r="O21" i="51"/>
  <c r="Q21" i="51" s="1"/>
  <c r="M21" i="51"/>
  <c r="H21" i="51"/>
  <c r="C21" i="51"/>
  <c r="AG3" i="51"/>
  <c r="AF3" i="51"/>
  <c r="V3" i="51"/>
  <c r="U3" i="51"/>
  <c r="T3" i="51"/>
  <c r="O3" i="51"/>
  <c r="G3" i="51"/>
  <c r="F3" i="51"/>
  <c r="D3" i="51"/>
  <c r="A2" i="51"/>
  <c r="A1" i="51"/>
  <c r="AB31" i="50"/>
  <c r="AD31" i="50" s="1"/>
  <c r="Y31" i="50"/>
  <c r="X31" i="50"/>
  <c r="P31" i="50"/>
  <c r="O31" i="50"/>
  <c r="Q31" i="50" s="1"/>
  <c r="M31" i="50"/>
  <c r="J31" i="50"/>
  <c r="K31" i="50" s="1"/>
  <c r="I31" i="50"/>
  <c r="H31" i="50"/>
  <c r="C31" i="50"/>
  <c r="AB30" i="50"/>
  <c r="AD30" i="50" s="1"/>
  <c r="J30" i="50" s="1"/>
  <c r="Y30" i="50"/>
  <c r="X30" i="50"/>
  <c r="P30" i="50"/>
  <c r="O30" i="50"/>
  <c r="Q30" i="50" s="1"/>
  <c r="M30" i="50"/>
  <c r="H30" i="50"/>
  <c r="C30" i="50"/>
  <c r="AB29" i="50"/>
  <c r="AD29" i="50" s="1"/>
  <c r="J29" i="50" s="1"/>
  <c r="Y29" i="50"/>
  <c r="X29" i="50"/>
  <c r="P29" i="50"/>
  <c r="O29" i="50"/>
  <c r="Q29" i="50" s="1"/>
  <c r="M29" i="50"/>
  <c r="H29" i="50"/>
  <c r="C29" i="50"/>
  <c r="AB28" i="50"/>
  <c r="AD28" i="50" s="1"/>
  <c r="J28" i="50" s="1"/>
  <c r="Y28" i="50"/>
  <c r="X28" i="50"/>
  <c r="P28" i="50"/>
  <c r="Q28" i="50" s="1"/>
  <c r="O28" i="50"/>
  <c r="M28" i="50"/>
  <c r="H28" i="50"/>
  <c r="C28" i="50"/>
  <c r="AB27" i="50"/>
  <c r="AD27" i="50" s="1"/>
  <c r="J27" i="50" s="1"/>
  <c r="Y27" i="50"/>
  <c r="X27" i="50"/>
  <c r="P27" i="50"/>
  <c r="O27" i="50"/>
  <c r="M27" i="50"/>
  <c r="H27" i="50"/>
  <c r="C27" i="50"/>
  <c r="AB26" i="50"/>
  <c r="AD26" i="50" s="1"/>
  <c r="J26" i="50" s="1"/>
  <c r="Y26" i="50"/>
  <c r="X26" i="50"/>
  <c r="P26" i="50"/>
  <c r="O26" i="50"/>
  <c r="M26" i="50"/>
  <c r="H26" i="50"/>
  <c r="C26" i="50"/>
  <c r="AD25" i="50"/>
  <c r="J25" i="50" s="1"/>
  <c r="AB25" i="50"/>
  <c r="Y25" i="50"/>
  <c r="X25" i="50"/>
  <c r="P25" i="50"/>
  <c r="O25" i="50"/>
  <c r="Q25" i="50" s="1"/>
  <c r="M25" i="50"/>
  <c r="H25" i="50"/>
  <c r="C25" i="50"/>
  <c r="AD24" i="50"/>
  <c r="J24" i="50" s="1"/>
  <c r="AB24" i="50"/>
  <c r="Y24" i="50"/>
  <c r="X24" i="50"/>
  <c r="P24" i="50"/>
  <c r="O24" i="50"/>
  <c r="Q24" i="50" s="1"/>
  <c r="M24" i="50"/>
  <c r="H24" i="50"/>
  <c r="C24" i="50"/>
  <c r="AB23" i="50"/>
  <c r="AD23" i="50" s="1"/>
  <c r="Y23" i="50"/>
  <c r="X23" i="50"/>
  <c r="P23" i="50"/>
  <c r="Q23" i="50" s="1"/>
  <c r="O23" i="50"/>
  <c r="M23" i="50"/>
  <c r="J23" i="50"/>
  <c r="H23" i="50"/>
  <c r="C23" i="50"/>
  <c r="AB22" i="50"/>
  <c r="AD22" i="50" s="1"/>
  <c r="J22" i="50" s="1"/>
  <c r="Y22" i="50"/>
  <c r="X22" i="50"/>
  <c r="P22" i="50"/>
  <c r="Q22" i="50" s="1"/>
  <c r="O22" i="50"/>
  <c r="M22" i="50"/>
  <c r="H22" i="50"/>
  <c r="C22" i="50"/>
  <c r="AB21" i="50"/>
  <c r="AD21" i="50" s="1"/>
  <c r="Y21" i="50"/>
  <c r="X21" i="50"/>
  <c r="P21" i="50"/>
  <c r="O21" i="50"/>
  <c r="Q21" i="50" s="1"/>
  <c r="M21" i="50"/>
  <c r="H21" i="50"/>
  <c r="C21" i="50"/>
  <c r="AG3" i="50"/>
  <c r="AF3" i="50"/>
  <c r="W3" i="50"/>
  <c r="V3" i="50"/>
  <c r="U3" i="50"/>
  <c r="T3" i="50"/>
  <c r="O3" i="50"/>
  <c r="F3" i="50"/>
  <c r="D3" i="50"/>
  <c r="X3" i="50" s="1"/>
  <c r="A2" i="50"/>
  <c r="A1" i="50"/>
  <c r="AB31" i="49"/>
  <c r="AD31" i="49" s="1"/>
  <c r="J31" i="49" s="1"/>
  <c r="Y31" i="49"/>
  <c r="X31" i="49"/>
  <c r="P31" i="49"/>
  <c r="O31" i="49"/>
  <c r="M31" i="49"/>
  <c r="H31" i="49"/>
  <c r="C31" i="49"/>
  <c r="AD30" i="49"/>
  <c r="J30" i="49" s="1"/>
  <c r="I30" i="49" s="1"/>
  <c r="AB30" i="49"/>
  <c r="Y30" i="49"/>
  <c r="X30" i="49"/>
  <c r="P30" i="49"/>
  <c r="O30" i="49"/>
  <c r="Q30" i="49" s="1"/>
  <c r="M30" i="49"/>
  <c r="K30" i="49"/>
  <c r="H30" i="49"/>
  <c r="C30" i="49"/>
  <c r="AB29" i="49"/>
  <c r="AD29" i="49" s="1"/>
  <c r="J29" i="49" s="1"/>
  <c r="Y29" i="49"/>
  <c r="X29" i="49"/>
  <c r="P29" i="49"/>
  <c r="O29" i="49"/>
  <c r="Q29" i="49" s="1"/>
  <c r="M29" i="49"/>
  <c r="H29" i="49"/>
  <c r="C29" i="49"/>
  <c r="AB28" i="49"/>
  <c r="AD28" i="49" s="1"/>
  <c r="J28" i="49" s="1"/>
  <c r="Y28" i="49"/>
  <c r="X28" i="49"/>
  <c r="P28" i="49"/>
  <c r="O28" i="49"/>
  <c r="M28" i="49"/>
  <c r="H28" i="49"/>
  <c r="C28" i="49"/>
  <c r="AB27" i="49"/>
  <c r="AD27" i="49" s="1"/>
  <c r="J27" i="49" s="1"/>
  <c r="Y27" i="49"/>
  <c r="X27" i="49"/>
  <c r="P27" i="49"/>
  <c r="Q27" i="49" s="1"/>
  <c r="O27" i="49"/>
  <c r="M27" i="49"/>
  <c r="H27" i="49"/>
  <c r="C27" i="49"/>
  <c r="AB26" i="49"/>
  <c r="AD26" i="49" s="1"/>
  <c r="J26" i="49" s="1"/>
  <c r="Y26" i="49"/>
  <c r="X26" i="49"/>
  <c r="P26" i="49"/>
  <c r="O26" i="49"/>
  <c r="Q26" i="49" s="1"/>
  <c r="M26" i="49"/>
  <c r="H26" i="49"/>
  <c r="C26" i="49"/>
  <c r="AB25" i="49"/>
  <c r="AD25" i="49" s="1"/>
  <c r="J25" i="49" s="1"/>
  <c r="I25" i="49" s="1"/>
  <c r="Y25" i="49"/>
  <c r="X25" i="49"/>
  <c r="P25" i="49"/>
  <c r="O25" i="49"/>
  <c r="M25" i="49"/>
  <c r="H25" i="49"/>
  <c r="C25" i="49"/>
  <c r="AB24" i="49"/>
  <c r="AD24" i="49" s="1"/>
  <c r="J24" i="49" s="1"/>
  <c r="Y24" i="49"/>
  <c r="X24" i="49"/>
  <c r="P24" i="49"/>
  <c r="O24" i="49"/>
  <c r="M24" i="49"/>
  <c r="H24" i="49"/>
  <c r="C24" i="49"/>
  <c r="AB23" i="49"/>
  <c r="AD23" i="49" s="1"/>
  <c r="J23" i="49" s="1"/>
  <c r="Y23" i="49"/>
  <c r="X23" i="49"/>
  <c r="P23" i="49"/>
  <c r="O23" i="49"/>
  <c r="M23" i="49"/>
  <c r="H23" i="49"/>
  <c r="C23" i="49"/>
  <c r="AB22" i="49"/>
  <c r="AD22" i="49" s="1"/>
  <c r="J22" i="49" s="1"/>
  <c r="Y22" i="49"/>
  <c r="X22" i="49"/>
  <c r="Q22" i="49"/>
  <c r="P22" i="49"/>
  <c r="O22" i="49"/>
  <c r="M22" i="49"/>
  <c r="H22" i="49"/>
  <c r="C22" i="49"/>
  <c r="AB21" i="49"/>
  <c r="AD21" i="49" s="1"/>
  <c r="Y21" i="49"/>
  <c r="X21" i="49"/>
  <c r="P21" i="49"/>
  <c r="O21" i="49"/>
  <c r="Q21" i="49" s="1"/>
  <c r="M21" i="49"/>
  <c r="H21" i="49"/>
  <c r="C21" i="49"/>
  <c r="AG3" i="49"/>
  <c r="AF3" i="49"/>
  <c r="W3" i="49"/>
  <c r="V3" i="49"/>
  <c r="U3" i="49"/>
  <c r="T3" i="49"/>
  <c r="O3" i="49"/>
  <c r="G3" i="49"/>
  <c r="D3" i="49"/>
  <c r="A2" i="49"/>
  <c r="A1" i="49"/>
  <c r="AB31" i="48"/>
  <c r="AD31" i="48" s="1"/>
  <c r="J31" i="48" s="1"/>
  <c r="Y31" i="48"/>
  <c r="X31" i="48"/>
  <c r="Q31" i="48"/>
  <c r="P31" i="48"/>
  <c r="O31" i="48"/>
  <c r="M31" i="48"/>
  <c r="H31" i="48"/>
  <c r="C31" i="48"/>
  <c r="AB30" i="48"/>
  <c r="AD30" i="48" s="1"/>
  <c r="J30" i="48" s="1"/>
  <c r="K30" i="48" s="1"/>
  <c r="Y30" i="48"/>
  <c r="X30" i="48"/>
  <c r="P30" i="48"/>
  <c r="O30" i="48"/>
  <c r="Q30" i="48" s="1"/>
  <c r="M30" i="48"/>
  <c r="H30" i="48"/>
  <c r="C30" i="48"/>
  <c r="AD29" i="48"/>
  <c r="J29" i="48" s="1"/>
  <c r="AB29" i="48"/>
  <c r="Y29" i="48"/>
  <c r="X29" i="48"/>
  <c r="P29" i="48"/>
  <c r="O29" i="48"/>
  <c r="M29" i="48"/>
  <c r="H29" i="48"/>
  <c r="C29" i="48"/>
  <c r="AD28" i="48"/>
  <c r="AB28" i="48"/>
  <c r="Y28" i="48"/>
  <c r="X28" i="48"/>
  <c r="P28" i="48"/>
  <c r="Q28" i="48" s="1"/>
  <c r="O28" i="48"/>
  <c r="M28" i="48"/>
  <c r="K28" i="48"/>
  <c r="J28" i="48"/>
  <c r="I28" i="48" s="1"/>
  <c r="H28" i="48"/>
  <c r="C28" i="48"/>
  <c r="AB27" i="48"/>
  <c r="AD27" i="48" s="1"/>
  <c r="J27" i="48" s="1"/>
  <c r="Y27" i="48"/>
  <c r="X27" i="48"/>
  <c r="Q27" i="48"/>
  <c r="P27" i="48"/>
  <c r="O27" i="48"/>
  <c r="M27" i="48"/>
  <c r="H27" i="48"/>
  <c r="C27" i="48"/>
  <c r="AB26" i="48"/>
  <c r="AD26" i="48" s="1"/>
  <c r="J26" i="48" s="1"/>
  <c r="Y26" i="48"/>
  <c r="X26" i="48"/>
  <c r="P26" i="48"/>
  <c r="O26" i="48"/>
  <c r="Q26" i="48" s="1"/>
  <c r="M26" i="48"/>
  <c r="H26" i="48"/>
  <c r="C26" i="48"/>
  <c r="AB25" i="48"/>
  <c r="AD25" i="48" s="1"/>
  <c r="J25" i="48" s="1"/>
  <c r="Y25" i="48"/>
  <c r="X25" i="48"/>
  <c r="P25" i="48"/>
  <c r="O25" i="48"/>
  <c r="Q25" i="48" s="1"/>
  <c r="M25" i="48"/>
  <c r="H25" i="48"/>
  <c r="C25" i="48"/>
  <c r="AB24" i="48"/>
  <c r="AD24" i="48" s="1"/>
  <c r="J24" i="48" s="1"/>
  <c r="Y24" i="48"/>
  <c r="X24" i="48"/>
  <c r="P24" i="48"/>
  <c r="O24" i="48"/>
  <c r="Q24" i="48" s="1"/>
  <c r="M24" i="48"/>
  <c r="H24" i="48"/>
  <c r="C24" i="48"/>
  <c r="AB23" i="48"/>
  <c r="AD23" i="48" s="1"/>
  <c r="J23" i="48" s="1"/>
  <c r="Y23" i="48"/>
  <c r="X23" i="48"/>
  <c r="P23" i="48"/>
  <c r="O23" i="48"/>
  <c r="Q23" i="48" s="1"/>
  <c r="M23" i="48"/>
  <c r="H23" i="48"/>
  <c r="C23" i="48"/>
  <c r="AB22" i="48"/>
  <c r="AD22" i="48" s="1"/>
  <c r="Y22" i="48"/>
  <c r="X22" i="48"/>
  <c r="P22" i="48"/>
  <c r="Q22" i="48" s="1"/>
  <c r="O22" i="48"/>
  <c r="M22" i="48"/>
  <c r="H22" i="48"/>
  <c r="C22" i="48"/>
  <c r="AB21" i="48"/>
  <c r="AD21" i="48" s="1"/>
  <c r="J21" i="48" s="1"/>
  <c r="Y21" i="48"/>
  <c r="X21" i="48"/>
  <c r="P21" i="48"/>
  <c r="O21" i="48"/>
  <c r="Q21" i="48" s="1"/>
  <c r="M21" i="48"/>
  <c r="H21" i="48"/>
  <c r="C21" i="48"/>
  <c r="AF3" i="48"/>
  <c r="W3" i="48"/>
  <c r="V3" i="48"/>
  <c r="U3" i="48"/>
  <c r="T3" i="48"/>
  <c r="O3" i="48"/>
  <c r="G3" i="48"/>
  <c r="F3" i="48"/>
  <c r="D3" i="48"/>
  <c r="A2" i="48"/>
  <c r="A1" i="48"/>
  <c r="AD31" i="47"/>
  <c r="J31" i="47" s="1"/>
  <c r="K31" i="47" s="1"/>
  <c r="AB31" i="47"/>
  <c r="Y31" i="47"/>
  <c r="X31" i="47"/>
  <c r="P31" i="47"/>
  <c r="Q31" i="47" s="1"/>
  <c r="O31" i="47"/>
  <c r="M31" i="47"/>
  <c r="H31" i="47"/>
  <c r="C31" i="47"/>
  <c r="AD30" i="47"/>
  <c r="J30" i="47" s="1"/>
  <c r="AB30" i="47"/>
  <c r="Y30" i="47"/>
  <c r="X30" i="47"/>
  <c r="P30" i="47"/>
  <c r="O30" i="47"/>
  <c r="Q30" i="47" s="1"/>
  <c r="M30" i="47"/>
  <c r="H30" i="47"/>
  <c r="C30" i="47"/>
  <c r="AB29" i="47"/>
  <c r="AD29" i="47" s="1"/>
  <c r="J29" i="47" s="1"/>
  <c r="Y29" i="47"/>
  <c r="X29" i="47"/>
  <c r="P29" i="47"/>
  <c r="O29" i="47"/>
  <c r="M29" i="47"/>
  <c r="H29" i="47"/>
  <c r="C29" i="47"/>
  <c r="AB28" i="47"/>
  <c r="AD28" i="47" s="1"/>
  <c r="J28" i="47" s="1"/>
  <c r="Y28" i="47"/>
  <c r="X28" i="47"/>
  <c r="P28" i="47"/>
  <c r="O28" i="47"/>
  <c r="Q28" i="47" s="1"/>
  <c r="M28" i="47"/>
  <c r="H28" i="47"/>
  <c r="C28" i="47"/>
  <c r="AB27" i="47"/>
  <c r="AD27" i="47" s="1"/>
  <c r="J27" i="47" s="1"/>
  <c r="Y27" i="47"/>
  <c r="X27" i="47"/>
  <c r="P27" i="47"/>
  <c r="O27" i="47"/>
  <c r="M27" i="47"/>
  <c r="H27" i="47"/>
  <c r="C27" i="47"/>
  <c r="AB26" i="47"/>
  <c r="AD26" i="47" s="1"/>
  <c r="Y26" i="47"/>
  <c r="X26" i="47"/>
  <c r="P26" i="47"/>
  <c r="O26" i="47"/>
  <c r="M26" i="47"/>
  <c r="J26" i="47"/>
  <c r="K26" i="47" s="1"/>
  <c r="H26" i="47"/>
  <c r="C26" i="47"/>
  <c r="AB25" i="47"/>
  <c r="AD25" i="47" s="1"/>
  <c r="J25" i="47" s="1"/>
  <c r="Y25" i="47"/>
  <c r="X25" i="47"/>
  <c r="P25" i="47"/>
  <c r="O25" i="47"/>
  <c r="Q25" i="47" s="1"/>
  <c r="M25" i="47"/>
  <c r="H25" i="47"/>
  <c r="C25" i="47"/>
  <c r="AD24" i="47"/>
  <c r="J24" i="47" s="1"/>
  <c r="I24" i="47" s="1"/>
  <c r="AB24" i="47"/>
  <c r="Y24" i="47"/>
  <c r="X24" i="47"/>
  <c r="P24" i="47"/>
  <c r="Q24" i="47" s="1"/>
  <c r="O24" i="47"/>
  <c r="M24" i="47"/>
  <c r="K24" i="47"/>
  <c r="H24" i="47"/>
  <c r="C24" i="47"/>
  <c r="AB23" i="47"/>
  <c r="AD23" i="47" s="1"/>
  <c r="J23" i="47" s="1"/>
  <c r="K23" i="47" s="1"/>
  <c r="Y23" i="47"/>
  <c r="X23" i="47"/>
  <c r="P23" i="47"/>
  <c r="O23" i="47"/>
  <c r="Q23" i="47" s="1"/>
  <c r="M23" i="47"/>
  <c r="H23" i="47"/>
  <c r="C23" i="47"/>
  <c r="AD22" i="47"/>
  <c r="J22" i="47" s="1"/>
  <c r="AB22" i="47"/>
  <c r="Y22" i="47"/>
  <c r="X22" i="47"/>
  <c r="P22" i="47"/>
  <c r="O22" i="47"/>
  <c r="M22" i="47"/>
  <c r="H22" i="47"/>
  <c r="C22" i="47"/>
  <c r="AB21" i="47"/>
  <c r="AD21" i="47" s="1"/>
  <c r="Y21" i="47"/>
  <c r="X21" i="47"/>
  <c r="P21" i="47"/>
  <c r="Q21" i="47" s="1"/>
  <c r="O21" i="47"/>
  <c r="M21" i="47"/>
  <c r="H21" i="47"/>
  <c r="C21" i="47"/>
  <c r="AG3" i="47"/>
  <c r="AF3" i="47"/>
  <c r="X3" i="47"/>
  <c r="V3" i="47"/>
  <c r="U3" i="47"/>
  <c r="T3" i="47"/>
  <c r="O3" i="47"/>
  <c r="G3" i="47"/>
  <c r="F3" i="47"/>
  <c r="D3" i="47"/>
  <c r="A2" i="47"/>
  <c r="A1" i="47"/>
  <c r="AB31" i="46"/>
  <c r="AD31" i="46" s="1"/>
  <c r="J31" i="46" s="1"/>
  <c r="Y31" i="46"/>
  <c r="X31" i="46"/>
  <c r="P31" i="46"/>
  <c r="O31" i="46"/>
  <c r="Q31" i="46" s="1"/>
  <c r="M31" i="46"/>
  <c r="H31" i="46"/>
  <c r="C31" i="46"/>
  <c r="AB30" i="46"/>
  <c r="AD30" i="46" s="1"/>
  <c r="J30" i="46" s="1"/>
  <c r="K30" i="46" s="1"/>
  <c r="Y30" i="46"/>
  <c r="X30" i="46"/>
  <c r="P30" i="46"/>
  <c r="O30" i="46"/>
  <c r="M30" i="46"/>
  <c r="I30" i="46"/>
  <c r="H30" i="46"/>
  <c r="C30" i="46"/>
  <c r="AD29" i="46"/>
  <c r="J29" i="46" s="1"/>
  <c r="AB29" i="46"/>
  <c r="Y29" i="46"/>
  <c r="X29" i="46"/>
  <c r="P29" i="46"/>
  <c r="O29" i="46"/>
  <c r="M29" i="46"/>
  <c r="H29" i="46"/>
  <c r="C29" i="46"/>
  <c r="AD28" i="46"/>
  <c r="J28" i="46" s="1"/>
  <c r="I28" i="46" s="1"/>
  <c r="AB28" i="46"/>
  <c r="Y28" i="46"/>
  <c r="X28" i="46"/>
  <c r="P28" i="46"/>
  <c r="O28" i="46"/>
  <c r="M28" i="46"/>
  <c r="K28" i="46"/>
  <c r="H28" i="46"/>
  <c r="C28" i="46"/>
  <c r="AB27" i="46"/>
  <c r="AD27" i="46" s="1"/>
  <c r="J27" i="46" s="1"/>
  <c r="K27" i="46" s="1"/>
  <c r="Y27" i="46"/>
  <c r="X27" i="46"/>
  <c r="P27" i="46"/>
  <c r="O27" i="46"/>
  <c r="M27" i="46"/>
  <c r="H27" i="46"/>
  <c r="C27" i="46"/>
  <c r="AB26" i="46"/>
  <c r="AD26" i="46" s="1"/>
  <c r="J26" i="46" s="1"/>
  <c r="Y26" i="46"/>
  <c r="X26" i="46"/>
  <c r="P26" i="46"/>
  <c r="O26" i="46"/>
  <c r="Q26" i="46" s="1"/>
  <c r="M26" i="46"/>
  <c r="H26" i="46"/>
  <c r="C26" i="46"/>
  <c r="AD25" i="46"/>
  <c r="J25" i="46" s="1"/>
  <c r="I25" i="46" s="1"/>
  <c r="AB25" i="46"/>
  <c r="Y25" i="46"/>
  <c r="X25" i="46"/>
  <c r="P25" i="46"/>
  <c r="O25" i="46"/>
  <c r="Q25" i="46" s="1"/>
  <c r="M25" i="46"/>
  <c r="H25" i="46"/>
  <c r="C25" i="46"/>
  <c r="AB24" i="46"/>
  <c r="AD24" i="46" s="1"/>
  <c r="J24" i="46" s="1"/>
  <c r="K24" i="46" s="1"/>
  <c r="Y24" i="46"/>
  <c r="X24" i="46"/>
  <c r="P24" i="46"/>
  <c r="O24" i="46"/>
  <c r="Q24" i="46" s="1"/>
  <c r="M24" i="46"/>
  <c r="H24" i="46"/>
  <c r="C24" i="46"/>
  <c r="AB23" i="46"/>
  <c r="AD23" i="46" s="1"/>
  <c r="J23" i="46" s="1"/>
  <c r="Y23" i="46"/>
  <c r="X23" i="46"/>
  <c r="P23" i="46"/>
  <c r="O23" i="46"/>
  <c r="M23" i="46"/>
  <c r="H23" i="46"/>
  <c r="C23" i="46"/>
  <c r="AB22" i="46"/>
  <c r="AD22" i="46" s="1"/>
  <c r="J22" i="46" s="1"/>
  <c r="Y22" i="46"/>
  <c r="X22" i="46"/>
  <c r="P22" i="46"/>
  <c r="Q22" i="46" s="1"/>
  <c r="O22" i="46"/>
  <c r="M22" i="46"/>
  <c r="H22" i="46"/>
  <c r="C22" i="46"/>
  <c r="AB21" i="46"/>
  <c r="AD21" i="46" s="1"/>
  <c r="Y21" i="46"/>
  <c r="X21" i="46"/>
  <c r="P21" i="46"/>
  <c r="O21" i="46"/>
  <c r="Q21" i="46" s="1"/>
  <c r="M21" i="46"/>
  <c r="H21" i="46"/>
  <c r="C21" i="46"/>
  <c r="AG3" i="46"/>
  <c r="AF3" i="46"/>
  <c r="W3" i="46"/>
  <c r="V3" i="46"/>
  <c r="U3" i="46"/>
  <c r="T3" i="46"/>
  <c r="O3" i="46"/>
  <c r="G3" i="46"/>
  <c r="F3" i="46"/>
  <c r="H3" i="46" s="1"/>
  <c r="D3" i="46"/>
  <c r="X3" i="46" s="1"/>
  <c r="A2" i="46"/>
  <c r="A1" i="46"/>
  <c r="AD31" i="45"/>
  <c r="J31" i="45" s="1"/>
  <c r="AB31" i="45"/>
  <c r="Y31" i="45"/>
  <c r="X31" i="45"/>
  <c r="P31" i="45"/>
  <c r="O31" i="45"/>
  <c r="M31" i="45"/>
  <c r="H31" i="45"/>
  <c r="C31" i="45"/>
  <c r="AB30" i="45"/>
  <c r="AD30" i="45" s="1"/>
  <c r="J30" i="45" s="1"/>
  <c r="Y30" i="45"/>
  <c r="X30" i="45"/>
  <c r="P30" i="45"/>
  <c r="O30" i="45"/>
  <c r="M30" i="45"/>
  <c r="H30" i="45"/>
  <c r="C30" i="45"/>
  <c r="AD29" i="45"/>
  <c r="J29" i="45" s="1"/>
  <c r="AB29" i="45"/>
  <c r="Y29" i="45"/>
  <c r="X29" i="45"/>
  <c r="P29" i="45"/>
  <c r="O29" i="45"/>
  <c r="Q29" i="45" s="1"/>
  <c r="M29" i="45"/>
  <c r="H29" i="45"/>
  <c r="C29" i="45"/>
  <c r="AB28" i="45"/>
  <c r="AD28" i="45" s="1"/>
  <c r="J28" i="45" s="1"/>
  <c r="Y28" i="45"/>
  <c r="X28" i="45"/>
  <c r="P28" i="45"/>
  <c r="O28" i="45"/>
  <c r="Q28" i="45" s="1"/>
  <c r="M28" i="45"/>
  <c r="H28" i="45"/>
  <c r="C28" i="45"/>
  <c r="AB27" i="45"/>
  <c r="AD27" i="45" s="1"/>
  <c r="J27" i="45" s="1"/>
  <c r="Y27" i="45"/>
  <c r="X27" i="45"/>
  <c r="P27" i="45"/>
  <c r="Q27" i="45" s="1"/>
  <c r="O27" i="45"/>
  <c r="M27" i="45"/>
  <c r="H27" i="45"/>
  <c r="C27" i="45"/>
  <c r="AB26" i="45"/>
  <c r="AD26" i="45" s="1"/>
  <c r="J26" i="45" s="1"/>
  <c r="Y26" i="45"/>
  <c r="X26" i="45"/>
  <c r="Q26" i="45"/>
  <c r="P26" i="45"/>
  <c r="O26" i="45"/>
  <c r="M26" i="45"/>
  <c r="H26" i="45"/>
  <c r="C26" i="45"/>
  <c r="AB25" i="45"/>
  <c r="AD25" i="45" s="1"/>
  <c r="J25" i="45" s="1"/>
  <c r="K25" i="45" s="1"/>
  <c r="Y25" i="45"/>
  <c r="X25" i="45"/>
  <c r="P25" i="45"/>
  <c r="O25" i="45"/>
  <c r="Q25" i="45" s="1"/>
  <c r="M25" i="45"/>
  <c r="H25" i="45"/>
  <c r="C25" i="45"/>
  <c r="AB24" i="45"/>
  <c r="AD24" i="45" s="1"/>
  <c r="J24" i="45" s="1"/>
  <c r="Y24" i="45"/>
  <c r="X24" i="45"/>
  <c r="P24" i="45"/>
  <c r="O24" i="45"/>
  <c r="M24" i="45"/>
  <c r="H24" i="45"/>
  <c r="C24" i="45"/>
  <c r="AB23" i="45"/>
  <c r="AD23" i="45" s="1"/>
  <c r="J23" i="45" s="1"/>
  <c r="Y23" i="45"/>
  <c r="X23" i="45"/>
  <c r="P23" i="45"/>
  <c r="Q23" i="45" s="1"/>
  <c r="O23" i="45"/>
  <c r="M23" i="45"/>
  <c r="H23" i="45"/>
  <c r="C23" i="45"/>
  <c r="AD22" i="45"/>
  <c r="J22" i="45" s="1"/>
  <c r="I22" i="45" s="1"/>
  <c r="AB22" i="45"/>
  <c r="Y22" i="45"/>
  <c r="X22" i="45"/>
  <c r="P22" i="45"/>
  <c r="O22" i="45"/>
  <c r="M22" i="45"/>
  <c r="H22" i="45"/>
  <c r="C22" i="45"/>
  <c r="AB21" i="45"/>
  <c r="AD21" i="45" s="1"/>
  <c r="J21" i="45" s="1"/>
  <c r="Y21" i="45"/>
  <c r="X21" i="45"/>
  <c r="P21" i="45"/>
  <c r="O21" i="45"/>
  <c r="Q21" i="45" s="1"/>
  <c r="M21" i="45"/>
  <c r="H21" i="45"/>
  <c r="C21" i="45"/>
  <c r="AG3" i="45"/>
  <c r="AF3" i="45"/>
  <c r="W3" i="45"/>
  <c r="V3" i="45"/>
  <c r="U3" i="45"/>
  <c r="T3" i="45"/>
  <c r="O3" i="45"/>
  <c r="G3" i="45"/>
  <c r="D3" i="45"/>
  <c r="A2" i="45"/>
  <c r="A1" i="45"/>
  <c r="AB31" i="44"/>
  <c r="AD31" i="44" s="1"/>
  <c r="J31" i="44" s="1"/>
  <c r="Y31" i="44"/>
  <c r="X31" i="44"/>
  <c r="P31" i="44"/>
  <c r="O31" i="44"/>
  <c r="M31" i="44"/>
  <c r="H31" i="44"/>
  <c r="C31" i="44"/>
  <c r="AB30" i="44"/>
  <c r="AD30" i="44" s="1"/>
  <c r="J30" i="44" s="1"/>
  <c r="K30" i="44" s="1"/>
  <c r="Y30" i="44"/>
  <c r="X30" i="44"/>
  <c r="P30" i="44"/>
  <c r="O30" i="44"/>
  <c r="M30" i="44"/>
  <c r="H30" i="44"/>
  <c r="C30" i="44"/>
  <c r="AB29" i="44"/>
  <c r="AD29" i="44" s="1"/>
  <c r="Y29" i="44"/>
  <c r="X29" i="44"/>
  <c r="P29" i="44"/>
  <c r="O29" i="44"/>
  <c r="M29" i="44"/>
  <c r="K29" i="44"/>
  <c r="J29" i="44"/>
  <c r="I29" i="44" s="1"/>
  <c r="H29" i="44"/>
  <c r="C29" i="44"/>
  <c r="AB28" i="44"/>
  <c r="AD28" i="44" s="1"/>
  <c r="J28" i="44" s="1"/>
  <c r="Y28" i="44"/>
  <c r="X28" i="44"/>
  <c r="P28" i="44"/>
  <c r="O28" i="44"/>
  <c r="Q28" i="44" s="1"/>
  <c r="M28" i="44"/>
  <c r="H28" i="44"/>
  <c r="C28" i="44"/>
  <c r="AD27" i="44"/>
  <c r="J27" i="44" s="1"/>
  <c r="K27" i="44" s="1"/>
  <c r="AB27" i="44"/>
  <c r="Y27" i="44"/>
  <c r="X27" i="44"/>
  <c r="P27" i="44"/>
  <c r="Q27" i="44" s="1"/>
  <c r="O27" i="44"/>
  <c r="M27" i="44"/>
  <c r="H27" i="44"/>
  <c r="C27" i="44"/>
  <c r="AB26" i="44"/>
  <c r="AD26" i="44" s="1"/>
  <c r="J26" i="44" s="1"/>
  <c r="I26" i="44" s="1"/>
  <c r="Y26" i="44"/>
  <c r="X26" i="44"/>
  <c r="P26" i="44"/>
  <c r="O26" i="44"/>
  <c r="Q26" i="44" s="1"/>
  <c r="M26" i="44"/>
  <c r="H26" i="44"/>
  <c r="C26" i="44"/>
  <c r="AB25" i="44"/>
  <c r="AD25" i="44" s="1"/>
  <c r="J25" i="44" s="1"/>
  <c r="Y25" i="44"/>
  <c r="X25" i="44"/>
  <c r="P25" i="44"/>
  <c r="O25" i="44"/>
  <c r="Q25" i="44" s="1"/>
  <c r="M25" i="44"/>
  <c r="H25" i="44"/>
  <c r="C25" i="44"/>
  <c r="AD24" i="44"/>
  <c r="J24" i="44" s="1"/>
  <c r="AB24" i="44"/>
  <c r="Y24" i="44"/>
  <c r="X24" i="44"/>
  <c r="P24" i="44"/>
  <c r="Q24" i="44" s="1"/>
  <c r="O24" i="44"/>
  <c r="M24" i="44"/>
  <c r="H24" i="44"/>
  <c r="C24" i="44"/>
  <c r="AB23" i="44"/>
  <c r="AD23" i="44" s="1"/>
  <c r="J23" i="44" s="1"/>
  <c r="Y23" i="44"/>
  <c r="X23" i="44"/>
  <c r="P23" i="44"/>
  <c r="O23" i="44"/>
  <c r="M23" i="44"/>
  <c r="H23" i="44"/>
  <c r="C23" i="44"/>
  <c r="AB22" i="44"/>
  <c r="AD22" i="44" s="1"/>
  <c r="J22" i="44" s="1"/>
  <c r="K22" i="44" s="1"/>
  <c r="Y22" i="44"/>
  <c r="X22" i="44"/>
  <c r="P22" i="44"/>
  <c r="O22" i="44"/>
  <c r="M22" i="44"/>
  <c r="H22" i="44"/>
  <c r="C22" i="44"/>
  <c r="AD21" i="44"/>
  <c r="AB21" i="44"/>
  <c r="Y21" i="44"/>
  <c r="X21" i="44"/>
  <c r="P21" i="44"/>
  <c r="O21" i="44"/>
  <c r="M21" i="44"/>
  <c r="H21" i="44"/>
  <c r="C21" i="44"/>
  <c r="AG3" i="44"/>
  <c r="AF3" i="44"/>
  <c r="W3" i="44"/>
  <c r="X3" i="44" s="1"/>
  <c r="V3" i="44"/>
  <c r="U3" i="44"/>
  <c r="T3" i="44"/>
  <c r="O3" i="44"/>
  <c r="G3" i="44"/>
  <c r="F3" i="44"/>
  <c r="H3" i="44" s="1"/>
  <c r="D3" i="44"/>
  <c r="A2" i="44"/>
  <c r="A1" i="44"/>
  <c r="AD31" i="43"/>
  <c r="J31" i="43" s="1"/>
  <c r="AB31" i="43"/>
  <c r="Y31" i="43"/>
  <c r="X31" i="43"/>
  <c r="P31" i="43"/>
  <c r="O31" i="43"/>
  <c r="M31" i="43"/>
  <c r="H31" i="43"/>
  <c r="C31" i="43"/>
  <c r="AD30" i="43"/>
  <c r="J30" i="43" s="1"/>
  <c r="I30" i="43" s="1"/>
  <c r="AB30" i="43"/>
  <c r="Y30" i="43"/>
  <c r="X30" i="43"/>
  <c r="Q30" i="43"/>
  <c r="P30" i="43"/>
  <c r="O30" i="43"/>
  <c r="M30" i="43"/>
  <c r="K30" i="43"/>
  <c r="H30" i="43"/>
  <c r="C30" i="43"/>
  <c r="AB29" i="43"/>
  <c r="AD29" i="43" s="1"/>
  <c r="J29" i="43" s="1"/>
  <c r="Y29" i="43"/>
  <c r="X29" i="43"/>
  <c r="P29" i="43"/>
  <c r="O29" i="43"/>
  <c r="Q29" i="43" s="1"/>
  <c r="M29" i="43"/>
  <c r="H29" i="43"/>
  <c r="C29" i="43"/>
  <c r="AD28" i="43"/>
  <c r="J28" i="43" s="1"/>
  <c r="K28" i="43" s="1"/>
  <c r="AB28" i="43"/>
  <c r="Y28" i="43"/>
  <c r="X28" i="43"/>
  <c r="Q28" i="43"/>
  <c r="P28" i="43"/>
  <c r="O28" i="43"/>
  <c r="M28" i="43"/>
  <c r="I28" i="43"/>
  <c r="H28" i="43"/>
  <c r="C28" i="43"/>
  <c r="AB27" i="43"/>
  <c r="AD27" i="43" s="1"/>
  <c r="J27" i="43" s="1"/>
  <c r="Y27" i="43"/>
  <c r="X27" i="43"/>
  <c r="P27" i="43"/>
  <c r="O27" i="43"/>
  <c r="M27" i="43"/>
  <c r="H27" i="43"/>
  <c r="C27" i="43"/>
  <c r="AB26" i="43"/>
  <c r="AD26" i="43" s="1"/>
  <c r="J26" i="43" s="1"/>
  <c r="Y26" i="43"/>
  <c r="X26" i="43"/>
  <c r="P26" i="43"/>
  <c r="O26" i="43"/>
  <c r="M26" i="43"/>
  <c r="H26" i="43"/>
  <c r="C26" i="43"/>
  <c r="AD25" i="43"/>
  <c r="J25" i="43" s="1"/>
  <c r="AB25" i="43"/>
  <c r="Y25" i="43"/>
  <c r="X25" i="43"/>
  <c r="P25" i="43"/>
  <c r="O25" i="43"/>
  <c r="M25" i="43"/>
  <c r="H25" i="43"/>
  <c r="C25" i="43"/>
  <c r="AB24" i="43"/>
  <c r="AD24" i="43" s="1"/>
  <c r="J24" i="43" s="1"/>
  <c r="Y24" i="43"/>
  <c r="X24" i="43"/>
  <c r="P24" i="43"/>
  <c r="O24" i="43"/>
  <c r="M24" i="43"/>
  <c r="H24" i="43"/>
  <c r="C24" i="43"/>
  <c r="AB23" i="43"/>
  <c r="AD23" i="43" s="1"/>
  <c r="J23" i="43" s="1"/>
  <c r="Y23" i="43"/>
  <c r="X23" i="43"/>
  <c r="Q23" i="43"/>
  <c r="P23" i="43"/>
  <c r="O23" i="43"/>
  <c r="M23" i="43"/>
  <c r="H23" i="43"/>
  <c r="C23" i="43"/>
  <c r="AD22" i="43"/>
  <c r="J22" i="43" s="1"/>
  <c r="I22" i="43" s="1"/>
  <c r="AB22" i="43"/>
  <c r="Y22" i="43"/>
  <c r="X22" i="43"/>
  <c r="P22" i="43"/>
  <c r="O22" i="43"/>
  <c r="M22" i="43"/>
  <c r="K22" i="43"/>
  <c r="H22" i="43"/>
  <c r="C22" i="43"/>
  <c r="AD21" i="43"/>
  <c r="J21" i="43" s="1"/>
  <c r="K21" i="43" s="1"/>
  <c r="AB21" i="43"/>
  <c r="Y21" i="43"/>
  <c r="X21" i="43"/>
  <c r="P21" i="43"/>
  <c r="Q21" i="43" s="1"/>
  <c r="O21" i="43"/>
  <c r="M21" i="43"/>
  <c r="I21" i="43"/>
  <c r="H21" i="43"/>
  <c r="C21" i="43"/>
  <c r="AB20" i="43"/>
  <c r="AD20" i="43" s="1"/>
  <c r="J20" i="43" s="1"/>
  <c r="K20" i="43" s="1"/>
  <c r="Y20" i="43"/>
  <c r="X20" i="43"/>
  <c r="P20" i="43"/>
  <c r="O20" i="43"/>
  <c r="M20" i="43"/>
  <c r="I20" i="43"/>
  <c r="H20" i="43"/>
  <c r="C20" i="43"/>
  <c r="AB19" i="43"/>
  <c r="AD19" i="43" s="1"/>
  <c r="J19" i="43" s="1"/>
  <c r="Y19" i="43"/>
  <c r="X19" i="43"/>
  <c r="P19" i="43"/>
  <c r="O19" i="43"/>
  <c r="M19" i="43"/>
  <c r="H19" i="43"/>
  <c r="C19" i="43"/>
  <c r="AB18" i="43"/>
  <c r="AD18" i="43" s="1"/>
  <c r="J18" i="43" s="1"/>
  <c r="Y18" i="43"/>
  <c r="X18" i="43"/>
  <c r="Q18" i="43"/>
  <c r="P18" i="43"/>
  <c r="O18" i="43"/>
  <c r="M18" i="43"/>
  <c r="H18" i="43"/>
  <c r="C18" i="43"/>
  <c r="AB17" i="43"/>
  <c r="AD17" i="43" s="1"/>
  <c r="J17" i="43" s="1"/>
  <c r="Y17" i="43"/>
  <c r="X17" i="43"/>
  <c r="P17" i="43"/>
  <c r="O17" i="43"/>
  <c r="M17" i="43"/>
  <c r="H17" i="43"/>
  <c r="C17" i="43"/>
  <c r="AB16" i="43"/>
  <c r="AD16" i="43" s="1"/>
  <c r="J16" i="43" s="1"/>
  <c r="K16" i="43" s="1"/>
  <c r="Y16" i="43"/>
  <c r="X16" i="43"/>
  <c r="P16" i="43"/>
  <c r="O16" i="43"/>
  <c r="M16" i="43"/>
  <c r="H16" i="43"/>
  <c r="C16" i="43"/>
  <c r="AB15" i="43"/>
  <c r="AD15" i="43" s="1"/>
  <c r="J15" i="43" s="1"/>
  <c r="Y15" i="43"/>
  <c r="X15" i="43"/>
  <c r="Q15" i="43"/>
  <c r="P15" i="43"/>
  <c r="O15" i="43"/>
  <c r="M15" i="43"/>
  <c r="H15" i="43"/>
  <c r="C15" i="43"/>
  <c r="AB14" i="43"/>
  <c r="AD14" i="43" s="1"/>
  <c r="J14" i="43" s="1"/>
  <c r="Y14" i="43"/>
  <c r="X14" i="43"/>
  <c r="P14" i="43"/>
  <c r="O14" i="43"/>
  <c r="M14" i="43"/>
  <c r="H14" i="43"/>
  <c r="C14" i="43"/>
  <c r="AD13" i="43"/>
  <c r="J13" i="43" s="1"/>
  <c r="I13" i="43" s="1"/>
  <c r="AB13" i="43"/>
  <c r="Y13" i="43"/>
  <c r="X13" i="43"/>
  <c r="Q13" i="43"/>
  <c r="P13" i="43"/>
  <c r="O13" i="43"/>
  <c r="M13" i="43"/>
  <c r="K13" i="43"/>
  <c r="H13" i="43"/>
  <c r="C13" i="43"/>
  <c r="AB12" i="43"/>
  <c r="AD12" i="43" s="1"/>
  <c r="J12" i="43" s="1"/>
  <c r="K12" i="43" s="1"/>
  <c r="Y12" i="43"/>
  <c r="X12" i="43"/>
  <c r="P12" i="43"/>
  <c r="O12" i="43"/>
  <c r="Q12" i="43" s="1"/>
  <c r="M12" i="43"/>
  <c r="H12" i="43"/>
  <c r="C12" i="43"/>
  <c r="AB11" i="43"/>
  <c r="AD11" i="43" s="1"/>
  <c r="J11" i="43" s="1"/>
  <c r="Y11" i="43"/>
  <c r="X11" i="43"/>
  <c r="P11" i="43"/>
  <c r="O11" i="43"/>
  <c r="M11" i="43"/>
  <c r="H11" i="43"/>
  <c r="C11" i="43"/>
  <c r="AD10" i="43"/>
  <c r="J10" i="43" s="1"/>
  <c r="I10" i="43" s="1"/>
  <c r="AB10" i="43"/>
  <c r="Y10" i="43"/>
  <c r="X10" i="43"/>
  <c r="Q10" i="43"/>
  <c r="P10" i="43"/>
  <c r="O10" i="43"/>
  <c r="M10" i="43"/>
  <c r="K10" i="43"/>
  <c r="H10" i="43"/>
  <c r="C10" i="43"/>
  <c r="AB9" i="43"/>
  <c r="AD9" i="43" s="1"/>
  <c r="J9" i="43" s="1"/>
  <c r="Y9" i="43"/>
  <c r="X9" i="43"/>
  <c r="P9" i="43"/>
  <c r="O9" i="43"/>
  <c r="M9" i="43"/>
  <c r="H9" i="43"/>
  <c r="C9" i="43"/>
  <c r="AD8" i="43"/>
  <c r="J8" i="43" s="1"/>
  <c r="AB8" i="43"/>
  <c r="Y8" i="43"/>
  <c r="X8" i="43"/>
  <c r="P8" i="43"/>
  <c r="O8" i="43"/>
  <c r="M8" i="43"/>
  <c r="H8" i="43"/>
  <c r="C8" i="43"/>
  <c r="AB7" i="43"/>
  <c r="AD7" i="43" s="1"/>
  <c r="J7" i="43" s="1"/>
  <c r="Y7" i="43"/>
  <c r="X7" i="43"/>
  <c r="P7" i="43"/>
  <c r="Q7" i="43" s="1"/>
  <c r="O7" i="43"/>
  <c r="M7" i="43"/>
  <c r="H7" i="43"/>
  <c r="C7" i="43"/>
  <c r="AD6" i="43"/>
  <c r="J6" i="43" s="1"/>
  <c r="I6" i="43" s="1"/>
  <c r="AB6" i="43"/>
  <c r="Y6" i="43"/>
  <c r="X6" i="43"/>
  <c r="P6" i="43"/>
  <c r="O6" i="43"/>
  <c r="M6" i="43"/>
  <c r="K6" i="43"/>
  <c r="H6" i="43"/>
  <c r="C6" i="43"/>
  <c r="AD5" i="43"/>
  <c r="J5" i="43" s="1"/>
  <c r="AB5" i="43"/>
  <c r="Y5" i="43"/>
  <c r="X5" i="43"/>
  <c r="P5" i="43"/>
  <c r="Q5" i="43" s="1"/>
  <c r="O5" i="43"/>
  <c r="M5" i="43"/>
  <c r="H5" i="43"/>
  <c r="C5" i="43"/>
  <c r="AB4" i="43"/>
  <c r="AD4" i="43" s="1"/>
  <c r="Y4" i="43"/>
  <c r="X4" i="43"/>
  <c r="P4" i="43"/>
  <c r="O4" i="43"/>
  <c r="M4" i="43"/>
  <c r="H4" i="43"/>
  <c r="C4" i="43"/>
  <c r="AG3" i="43"/>
  <c r="AF3" i="43"/>
  <c r="W3" i="43"/>
  <c r="V3" i="43"/>
  <c r="U3" i="43"/>
  <c r="T3" i="43"/>
  <c r="O3" i="43"/>
  <c r="G3" i="43"/>
  <c r="H3" i="43" s="1"/>
  <c r="F3" i="43"/>
  <c r="D3" i="43"/>
  <c r="A2" i="43"/>
  <c r="A1" i="43"/>
  <c r="AB31" i="42"/>
  <c r="AD31" i="42" s="1"/>
  <c r="J31" i="42" s="1"/>
  <c r="Y31" i="42"/>
  <c r="X31" i="42"/>
  <c r="P31" i="42"/>
  <c r="Q31" i="42" s="1"/>
  <c r="O31" i="42"/>
  <c r="M31" i="42"/>
  <c r="H31" i="42"/>
  <c r="C31" i="42"/>
  <c r="AB30" i="42"/>
  <c r="AD30" i="42" s="1"/>
  <c r="J30" i="42" s="1"/>
  <c r="Y30" i="42"/>
  <c r="X30" i="42"/>
  <c r="Q30" i="42"/>
  <c r="P30" i="42"/>
  <c r="O30" i="42"/>
  <c r="M30" i="42"/>
  <c r="H30" i="42"/>
  <c r="C30" i="42"/>
  <c r="AB29" i="42"/>
  <c r="AD29" i="42" s="1"/>
  <c r="J29" i="42" s="1"/>
  <c r="Y29" i="42"/>
  <c r="X29" i="42"/>
  <c r="P29" i="42"/>
  <c r="O29" i="42"/>
  <c r="M29" i="42"/>
  <c r="H29" i="42"/>
  <c r="C29" i="42"/>
  <c r="AB28" i="42"/>
  <c r="AD28" i="42" s="1"/>
  <c r="J28" i="42" s="1"/>
  <c r="Y28" i="42"/>
  <c r="X28" i="42"/>
  <c r="P28" i="42"/>
  <c r="O28" i="42"/>
  <c r="Q28" i="42" s="1"/>
  <c r="M28" i="42"/>
  <c r="H28" i="42"/>
  <c r="C28" i="42"/>
  <c r="AB27" i="42"/>
  <c r="AD27" i="42" s="1"/>
  <c r="J27" i="42" s="1"/>
  <c r="Y27" i="42"/>
  <c r="X27" i="42"/>
  <c r="P27" i="42"/>
  <c r="O27" i="42"/>
  <c r="M27" i="42"/>
  <c r="H27" i="42"/>
  <c r="C27" i="42"/>
  <c r="AD26" i="42"/>
  <c r="AB26" i="42"/>
  <c r="Y26" i="42"/>
  <c r="X26" i="42"/>
  <c r="P26" i="42"/>
  <c r="O26" i="42"/>
  <c r="M26" i="42"/>
  <c r="J26" i="42"/>
  <c r="I26" i="42" s="1"/>
  <c r="H26" i="42"/>
  <c r="C26" i="42"/>
  <c r="AB25" i="42"/>
  <c r="AD25" i="42" s="1"/>
  <c r="J25" i="42" s="1"/>
  <c r="Y25" i="42"/>
  <c r="X25" i="42"/>
  <c r="P25" i="42"/>
  <c r="O25" i="42"/>
  <c r="Q25" i="42" s="1"/>
  <c r="M25" i="42"/>
  <c r="H25" i="42"/>
  <c r="C25" i="42"/>
  <c r="AD24" i="42"/>
  <c r="J24" i="42" s="1"/>
  <c r="I24" i="42" s="1"/>
  <c r="AB24" i="42"/>
  <c r="Y24" i="42"/>
  <c r="X24" i="42"/>
  <c r="P24" i="42"/>
  <c r="O24" i="42"/>
  <c r="M24" i="42"/>
  <c r="H24" i="42"/>
  <c r="C24" i="42"/>
  <c r="AB23" i="42"/>
  <c r="AD23" i="42" s="1"/>
  <c r="J23" i="42" s="1"/>
  <c r="Y23" i="42"/>
  <c r="X23" i="42"/>
  <c r="P23" i="42"/>
  <c r="O23" i="42"/>
  <c r="Q23" i="42" s="1"/>
  <c r="M23" i="42"/>
  <c r="H23" i="42"/>
  <c r="C23" i="42"/>
  <c r="AB22" i="42"/>
  <c r="AD22" i="42" s="1"/>
  <c r="J22" i="42" s="1"/>
  <c r="Y22" i="42"/>
  <c r="X22" i="42"/>
  <c r="P22" i="42"/>
  <c r="O22" i="42"/>
  <c r="M22" i="42"/>
  <c r="H22" i="42"/>
  <c r="C22" i="42"/>
  <c r="AB21" i="42"/>
  <c r="AD21" i="42" s="1"/>
  <c r="J21" i="42" s="1"/>
  <c r="Y21" i="42"/>
  <c r="X21" i="42"/>
  <c r="P21" i="42"/>
  <c r="O21" i="42"/>
  <c r="M21" i="42"/>
  <c r="H21" i="42"/>
  <c r="C21" i="42"/>
  <c r="AD20" i="42"/>
  <c r="J20" i="42" s="1"/>
  <c r="AB20" i="42"/>
  <c r="Y20" i="42"/>
  <c r="X20" i="42"/>
  <c r="P20" i="42"/>
  <c r="O20" i="42"/>
  <c r="Q20" i="42" s="1"/>
  <c r="M20" i="42"/>
  <c r="H20" i="42"/>
  <c r="C20" i="42"/>
  <c r="AD19" i="42"/>
  <c r="J19" i="42" s="1"/>
  <c r="AB19" i="42"/>
  <c r="Y19" i="42"/>
  <c r="X19" i="42"/>
  <c r="P19" i="42"/>
  <c r="O19" i="42"/>
  <c r="M19" i="42"/>
  <c r="H19" i="42"/>
  <c r="C19" i="42"/>
  <c r="AB18" i="42"/>
  <c r="AD18" i="42" s="1"/>
  <c r="J18" i="42" s="1"/>
  <c r="K18" i="42" s="1"/>
  <c r="Y18" i="42"/>
  <c r="X18" i="42"/>
  <c r="P18" i="42"/>
  <c r="O18" i="42"/>
  <c r="M18" i="42"/>
  <c r="H18" i="42"/>
  <c r="C18" i="42"/>
  <c r="AB17" i="42"/>
  <c r="AD17" i="42" s="1"/>
  <c r="J17" i="42" s="1"/>
  <c r="Y17" i="42"/>
  <c r="X17" i="42"/>
  <c r="Q17" i="42"/>
  <c r="P17" i="42"/>
  <c r="O17" i="42"/>
  <c r="M17" i="42"/>
  <c r="H17" i="42"/>
  <c r="C17" i="42"/>
  <c r="AB16" i="42"/>
  <c r="AD16" i="42" s="1"/>
  <c r="J16" i="42" s="1"/>
  <c r="Y16" i="42"/>
  <c r="X16" i="42"/>
  <c r="P16" i="42"/>
  <c r="Q16" i="42" s="1"/>
  <c r="O16" i="42"/>
  <c r="M16" i="42"/>
  <c r="H16" i="42"/>
  <c r="C16" i="42"/>
  <c r="AB15" i="42"/>
  <c r="AD15" i="42" s="1"/>
  <c r="J15" i="42" s="1"/>
  <c r="Y15" i="42"/>
  <c r="X15" i="42"/>
  <c r="Q15" i="42"/>
  <c r="P15" i="42"/>
  <c r="O15" i="42"/>
  <c r="M15" i="42"/>
  <c r="H15" i="42"/>
  <c r="C15" i="42"/>
  <c r="AB14" i="42"/>
  <c r="AD14" i="42" s="1"/>
  <c r="J14" i="42" s="1"/>
  <c r="K14" i="42" s="1"/>
  <c r="Y14" i="42"/>
  <c r="X14" i="42"/>
  <c r="P14" i="42"/>
  <c r="O14" i="42"/>
  <c r="Q14" i="42" s="1"/>
  <c r="M14" i="42"/>
  <c r="H14" i="42"/>
  <c r="C14" i="42"/>
  <c r="AB13" i="42"/>
  <c r="AD13" i="42" s="1"/>
  <c r="J13" i="42" s="1"/>
  <c r="Y13" i="42"/>
  <c r="X13" i="42"/>
  <c r="P13" i="42"/>
  <c r="O13" i="42"/>
  <c r="M13" i="42"/>
  <c r="H13" i="42"/>
  <c r="C13" i="42"/>
  <c r="AD12" i="42"/>
  <c r="J12" i="42" s="1"/>
  <c r="I12" i="42" s="1"/>
  <c r="AB12" i="42"/>
  <c r="Y12" i="42"/>
  <c r="X12" i="42"/>
  <c r="P12" i="42"/>
  <c r="Q12" i="42" s="1"/>
  <c r="O12" i="42"/>
  <c r="M12" i="42"/>
  <c r="K12" i="42"/>
  <c r="H12" i="42"/>
  <c r="C12" i="42"/>
  <c r="AB11" i="42"/>
  <c r="AD11" i="42" s="1"/>
  <c r="J11" i="42" s="1"/>
  <c r="Y11" i="42"/>
  <c r="X11" i="42"/>
  <c r="P11" i="42"/>
  <c r="O11" i="42"/>
  <c r="Q11" i="42" s="1"/>
  <c r="M11" i="42"/>
  <c r="H11" i="42"/>
  <c r="C11" i="42"/>
  <c r="AB10" i="42"/>
  <c r="AD10" i="42" s="1"/>
  <c r="J10" i="42" s="1"/>
  <c r="Y10" i="42"/>
  <c r="X10" i="42"/>
  <c r="P10" i="42"/>
  <c r="O10" i="42"/>
  <c r="M10" i="42"/>
  <c r="H10" i="42"/>
  <c r="C10" i="42"/>
  <c r="AB9" i="42"/>
  <c r="AD9" i="42" s="1"/>
  <c r="J9" i="42" s="1"/>
  <c r="Y9" i="42"/>
  <c r="X9" i="42"/>
  <c r="P9" i="42"/>
  <c r="O9" i="42"/>
  <c r="M9" i="42"/>
  <c r="H9" i="42"/>
  <c r="C9" i="42"/>
  <c r="AB8" i="42"/>
  <c r="AD8" i="42" s="1"/>
  <c r="J8" i="42" s="1"/>
  <c r="Y8" i="42"/>
  <c r="X8" i="42"/>
  <c r="P8" i="42"/>
  <c r="O8" i="42"/>
  <c r="M8" i="42"/>
  <c r="H8" i="42"/>
  <c r="C8" i="42"/>
  <c r="AD7" i="42"/>
  <c r="J7" i="42" s="1"/>
  <c r="AB7" i="42"/>
  <c r="Y7" i="42"/>
  <c r="X7" i="42"/>
  <c r="Q7" i="42"/>
  <c r="P7" i="42"/>
  <c r="O7" i="42"/>
  <c r="M7" i="42"/>
  <c r="H7" i="42"/>
  <c r="C7" i="42"/>
  <c r="AB6" i="42"/>
  <c r="AD6" i="42" s="1"/>
  <c r="J6" i="42" s="1"/>
  <c r="K6" i="42" s="1"/>
  <c r="Y6" i="42"/>
  <c r="X6" i="42"/>
  <c r="P6" i="42"/>
  <c r="O6" i="42"/>
  <c r="M6" i="42"/>
  <c r="I6" i="42"/>
  <c r="H6" i="42"/>
  <c r="C6" i="42"/>
  <c r="AD5" i="42"/>
  <c r="J5" i="42" s="1"/>
  <c r="AB5" i="42"/>
  <c r="Y5" i="42"/>
  <c r="X5" i="42"/>
  <c r="P5" i="42"/>
  <c r="O5" i="42"/>
  <c r="M5" i="42"/>
  <c r="H5" i="42"/>
  <c r="C5" i="42"/>
  <c r="AB4" i="42"/>
  <c r="AD4" i="42" s="1"/>
  <c r="J4" i="42" s="1"/>
  <c r="I4" i="42" s="1"/>
  <c r="Y4" i="42"/>
  <c r="X4" i="42"/>
  <c r="P4" i="42"/>
  <c r="O4" i="42"/>
  <c r="Q4" i="42" s="1"/>
  <c r="M4" i="42"/>
  <c r="H4" i="42"/>
  <c r="C4" i="42"/>
  <c r="AG3" i="42"/>
  <c r="AF3" i="42"/>
  <c r="W3" i="42"/>
  <c r="X3" i="42" s="1"/>
  <c r="V3" i="42"/>
  <c r="U3" i="42"/>
  <c r="T3" i="42"/>
  <c r="O3" i="42"/>
  <c r="G3" i="42"/>
  <c r="F3" i="42"/>
  <c r="D3" i="42"/>
  <c r="A2" i="42"/>
  <c r="AB31" i="41"/>
  <c r="AD31" i="41" s="1"/>
  <c r="J31" i="41" s="1"/>
  <c r="Y31" i="41"/>
  <c r="X31" i="41"/>
  <c r="P31" i="41"/>
  <c r="O31" i="41"/>
  <c r="Q31" i="41" s="1"/>
  <c r="M31" i="41"/>
  <c r="H31" i="41"/>
  <c r="C31" i="41"/>
  <c r="AB30" i="41"/>
  <c r="AD30" i="41" s="1"/>
  <c r="J30" i="41" s="1"/>
  <c r="K30" i="41" s="1"/>
  <c r="Y30" i="41"/>
  <c r="X30" i="41"/>
  <c r="P30" i="41"/>
  <c r="Q30" i="41" s="1"/>
  <c r="O30" i="41"/>
  <c r="M30" i="41"/>
  <c r="I30" i="41"/>
  <c r="H30" i="41"/>
  <c r="C30" i="41"/>
  <c r="AB29" i="41"/>
  <c r="AD29" i="41" s="1"/>
  <c r="J29" i="41" s="1"/>
  <c r="I29" i="41" s="1"/>
  <c r="Y29" i="41"/>
  <c r="X29" i="41"/>
  <c r="P29" i="41"/>
  <c r="O29" i="41"/>
  <c r="M29" i="41"/>
  <c r="H29" i="41"/>
  <c r="C29" i="41"/>
  <c r="AB28" i="41"/>
  <c r="AD28" i="41" s="1"/>
  <c r="J28" i="41" s="1"/>
  <c r="Y28" i="41"/>
  <c r="X28" i="41"/>
  <c r="P28" i="41"/>
  <c r="O28" i="41"/>
  <c r="Q28" i="41" s="1"/>
  <c r="M28" i="41"/>
  <c r="H28" i="41"/>
  <c r="C28" i="41"/>
  <c r="AB27" i="41"/>
  <c r="AD27" i="41" s="1"/>
  <c r="J27" i="41" s="1"/>
  <c r="K27" i="41" s="1"/>
  <c r="Y27" i="41"/>
  <c r="X27" i="41"/>
  <c r="P27" i="41"/>
  <c r="O27" i="41"/>
  <c r="M27" i="41"/>
  <c r="I27" i="41"/>
  <c r="H27" i="41"/>
  <c r="C27" i="41"/>
  <c r="AB26" i="41"/>
  <c r="AD26" i="41" s="1"/>
  <c r="J26" i="41" s="1"/>
  <c r="K26" i="41" s="1"/>
  <c r="Y26" i="41"/>
  <c r="X26" i="41"/>
  <c r="P26" i="41"/>
  <c r="O26" i="41"/>
  <c r="Q26" i="41" s="1"/>
  <c r="M26" i="41"/>
  <c r="H26" i="41"/>
  <c r="C26" i="41"/>
  <c r="AB25" i="41"/>
  <c r="AD25" i="41" s="1"/>
  <c r="Y25" i="41"/>
  <c r="X25" i="41"/>
  <c r="Q25" i="41"/>
  <c r="P25" i="41"/>
  <c r="O25" i="41"/>
  <c r="M25" i="41"/>
  <c r="J25" i="41"/>
  <c r="H25" i="41"/>
  <c r="C25" i="41"/>
  <c r="AB24" i="41"/>
  <c r="AD24" i="41" s="1"/>
  <c r="J24" i="41" s="1"/>
  <c r="Y24" i="41"/>
  <c r="X24" i="41"/>
  <c r="P24" i="41"/>
  <c r="O24" i="41"/>
  <c r="M24" i="41"/>
  <c r="H24" i="41"/>
  <c r="C24" i="41"/>
  <c r="AB23" i="41"/>
  <c r="AD23" i="41" s="1"/>
  <c r="J23" i="41" s="1"/>
  <c r="Y23" i="41"/>
  <c r="X23" i="41"/>
  <c r="P23" i="41"/>
  <c r="O23" i="41"/>
  <c r="M23" i="41"/>
  <c r="H23" i="41"/>
  <c r="C23" i="41"/>
  <c r="AB22" i="41"/>
  <c r="AD22" i="41" s="1"/>
  <c r="J22" i="41" s="1"/>
  <c r="Y22" i="41"/>
  <c r="X22" i="41"/>
  <c r="Q22" i="41"/>
  <c r="P22" i="41"/>
  <c r="O22" i="41"/>
  <c r="M22" i="41"/>
  <c r="H22" i="41"/>
  <c r="C22" i="41"/>
  <c r="AB21" i="41"/>
  <c r="AD21" i="41" s="1"/>
  <c r="J21" i="41" s="1"/>
  <c r="Y21" i="41"/>
  <c r="X21" i="41"/>
  <c r="P21" i="41"/>
  <c r="O21" i="41"/>
  <c r="M21" i="41"/>
  <c r="H21" i="41"/>
  <c r="C21" i="41"/>
  <c r="AB20" i="41"/>
  <c r="AD20" i="41" s="1"/>
  <c r="J20" i="41" s="1"/>
  <c r="Y20" i="41"/>
  <c r="X20" i="41"/>
  <c r="Q20" i="41"/>
  <c r="P20" i="41"/>
  <c r="O20" i="41"/>
  <c r="M20" i="41"/>
  <c r="H20" i="41"/>
  <c r="C20" i="41"/>
  <c r="AB19" i="41"/>
  <c r="AD19" i="41" s="1"/>
  <c r="J19" i="41" s="1"/>
  <c r="I19" i="41" s="1"/>
  <c r="Y19" i="41"/>
  <c r="X19" i="41"/>
  <c r="P19" i="41"/>
  <c r="Q19" i="41" s="1"/>
  <c r="O19" i="41"/>
  <c r="M19" i="41"/>
  <c r="K19" i="41"/>
  <c r="H19" i="41"/>
  <c r="C19" i="41"/>
  <c r="AD18" i="41"/>
  <c r="J18" i="41" s="1"/>
  <c r="AB18" i="41"/>
  <c r="Y18" i="41"/>
  <c r="X18" i="41"/>
  <c r="P18" i="41"/>
  <c r="Q18" i="41" s="1"/>
  <c r="O18" i="41"/>
  <c r="M18" i="41"/>
  <c r="H18" i="41"/>
  <c r="C18" i="41"/>
  <c r="AD17" i="41"/>
  <c r="J17" i="41" s="1"/>
  <c r="I17" i="41" s="1"/>
  <c r="AB17" i="41"/>
  <c r="Y17" i="41"/>
  <c r="X17" i="41"/>
  <c r="P17" i="41"/>
  <c r="O17" i="41"/>
  <c r="M17" i="41"/>
  <c r="H17" i="41"/>
  <c r="C17" i="41"/>
  <c r="AB16" i="41"/>
  <c r="AD16" i="41" s="1"/>
  <c r="J16" i="41" s="1"/>
  <c r="K16" i="41" s="1"/>
  <c r="Y16" i="41"/>
  <c r="X16" i="41"/>
  <c r="P16" i="41"/>
  <c r="O16" i="41"/>
  <c r="M16" i="41"/>
  <c r="I16" i="41"/>
  <c r="H16" i="41"/>
  <c r="C16" i="41"/>
  <c r="AB15" i="41"/>
  <c r="AD15" i="41" s="1"/>
  <c r="J15" i="41" s="1"/>
  <c r="Y15" i="41"/>
  <c r="X15" i="41"/>
  <c r="P15" i="41"/>
  <c r="O15" i="41"/>
  <c r="Q15" i="41" s="1"/>
  <c r="M15" i="41"/>
  <c r="H15" i="41"/>
  <c r="C15" i="41"/>
  <c r="AD14" i="41"/>
  <c r="J14" i="41" s="1"/>
  <c r="AB14" i="41"/>
  <c r="Y14" i="41"/>
  <c r="X14" i="41"/>
  <c r="P14" i="41"/>
  <c r="O14" i="41"/>
  <c r="Q14" i="41" s="1"/>
  <c r="M14" i="41"/>
  <c r="H14" i="41"/>
  <c r="C14" i="41"/>
  <c r="AB13" i="41"/>
  <c r="AD13" i="41" s="1"/>
  <c r="J13" i="41" s="1"/>
  <c r="Y13" i="41"/>
  <c r="X13" i="41"/>
  <c r="Q13" i="41"/>
  <c r="P13" i="41"/>
  <c r="O13" i="41"/>
  <c r="M13" i="41"/>
  <c r="H13" i="41"/>
  <c r="C13" i="41"/>
  <c r="AB12" i="41"/>
  <c r="AD12" i="41" s="1"/>
  <c r="J12" i="41" s="1"/>
  <c r="Y12" i="41"/>
  <c r="X12" i="41"/>
  <c r="P12" i="41"/>
  <c r="O12" i="41"/>
  <c r="Q12" i="41" s="1"/>
  <c r="M12" i="41"/>
  <c r="H12" i="41"/>
  <c r="C12" i="41"/>
  <c r="AB11" i="41"/>
  <c r="AD11" i="41" s="1"/>
  <c r="J11" i="41" s="1"/>
  <c r="Y11" i="41"/>
  <c r="X11" i="41"/>
  <c r="P11" i="41"/>
  <c r="O11" i="41"/>
  <c r="M11" i="41"/>
  <c r="H11" i="41"/>
  <c r="C11" i="41"/>
  <c r="AB10" i="41"/>
  <c r="AD10" i="41" s="1"/>
  <c r="J10" i="41" s="1"/>
  <c r="Y10" i="41"/>
  <c r="X10" i="41"/>
  <c r="P10" i="41"/>
  <c r="Q10" i="41" s="1"/>
  <c r="O10" i="41"/>
  <c r="M10" i="41"/>
  <c r="H10" i="41"/>
  <c r="C10" i="41"/>
  <c r="AD9" i="41"/>
  <c r="J9" i="41" s="1"/>
  <c r="AB9" i="41"/>
  <c r="Y9" i="41"/>
  <c r="X9" i="41"/>
  <c r="P9" i="41"/>
  <c r="O9" i="41"/>
  <c r="M9" i="41"/>
  <c r="H9" i="41"/>
  <c r="C9" i="41"/>
  <c r="AB8" i="41"/>
  <c r="AD8" i="41" s="1"/>
  <c r="J8" i="41" s="1"/>
  <c r="Y8" i="41"/>
  <c r="X8" i="41"/>
  <c r="P8" i="41"/>
  <c r="O8" i="41"/>
  <c r="Q8" i="41" s="1"/>
  <c r="M8" i="41"/>
  <c r="H8" i="41"/>
  <c r="C8" i="41"/>
  <c r="AB7" i="41"/>
  <c r="AD7" i="41" s="1"/>
  <c r="J7" i="41" s="1"/>
  <c r="Y7" i="41"/>
  <c r="X7" i="41"/>
  <c r="P7" i="41"/>
  <c r="O7" i="41"/>
  <c r="M7" i="41"/>
  <c r="H7" i="41"/>
  <c r="C7" i="41"/>
  <c r="AB6" i="41"/>
  <c r="AD6" i="41" s="1"/>
  <c r="J6" i="41" s="1"/>
  <c r="Y6" i="41"/>
  <c r="X6" i="41"/>
  <c r="P6" i="41"/>
  <c r="O6" i="41"/>
  <c r="Q6" i="41" s="1"/>
  <c r="M6" i="41"/>
  <c r="H6" i="41"/>
  <c r="C6" i="41"/>
  <c r="AB5" i="41"/>
  <c r="AD5" i="41" s="1"/>
  <c r="Y5" i="41"/>
  <c r="X5" i="41"/>
  <c r="P5" i="41"/>
  <c r="Q5" i="41" s="1"/>
  <c r="O5" i="41"/>
  <c r="M5" i="41"/>
  <c r="H5" i="41"/>
  <c r="C5" i="41"/>
  <c r="AD4" i="41"/>
  <c r="J4" i="41" s="1"/>
  <c r="AB4" i="41"/>
  <c r="Y4" i="41"/>
  <c r="X4" i="41"/>
  <c r="P4" i="41"/>
  <c r="Q4" i="41" s="1"/>
  <c r="O4" i="41"/>
  <c r="M4" i="41"/>
  <c r="H4" i="41"/>
  <c r="C4" i="41"/>
  <c r="AG3" i="41"/>
  <c r="AF3" i="41"/>
  <c r="W3" i="41"/>
  <c r="X3" i="41" s="1"/>
  <c r="V3" i="41"/>
  <c r="U3" i="41"/>
  <c r="T3" i="41"/>
  <c r="O3" i="41"/>
  <c r="G3" i="41"/>
  <c r="F3" i="41"/>
  <c r="D3" i="41"/>
  <c r="A2" i="41"/>
  <c r="A1" i="41"/>
  <c r="AB31" i="40"/>
  <c r="AD31" i="40" s="1"/>
  <c r="J31" i="40" s="1"/>
  <c r="K31" i="40" s="1"/>
  <c r="Y31" i="40"/>
  <c r="X31" i="40"/>
  <c r="Q31" i="40"/>
  <c r="P31" i="40"/>
  <c r="O31" i="40"/>
  <c r="M31" i="40"/>
  <c r="I31" i="40"/>
  <c r="H31" i="40"/>
  <c r="C31" i="40"/>
  <c r="AB30" i="40"/>
  <c r="AD30" i="40" s="1"/>
  <c r="J30" i="40" s="1"/>
  <c r="Y30" i="40"/>
  <c r="X30" i="40"/>
  <c r="P30" i="40"/>
  <c r="O30" i="40"/>
  <c r="Q30" i="40" s="1"/>
  <c r="M30" i="40"/>
  <c r="H30" i="40"/>
  <c r="C30" i="40"/>
  <c r="AB29" i="40"/>
  <c r="AD29" i="40" s="1"/>
  <c r="J29" i="40" s="1"/>
  <c r="Y29" i="40"/>
  <c r="X29" i="40"/>
  <c r="P29" i="40"/>
  <c r="Q29" i="40" s="1"/>
  <c r="O29" i="40"/>
  <c r="M29" i="40"/>
  <c r="H29" i="40"/>
  <c r="C29" i="40"/>
  <c r="AD28" i="40"/>
  <c r="J28" i="40" s="1"/>
  <c r="AB28" i="40"/>
  <c r="Y28" i="40"/>
  <c r="X28" i="40"/>
  <c r="P28" i="40"/>
  <c r="Q28" i="40" s="1"/>
  <c r="O28" i="40"/>
  <c r="M28" i="40"/>
  <c r="K28" i="40"/>
  <c r="I28" i="40"/>
  <c r="H28" i="40"/>
  <c r="C28" i="40"/>
  <c r="AD27" i="40"/>
  <c r="J27" i="40" s="1"/>
  <c r="AB27" i="40"/>
  <c r="Y27" i="40"/>
  <c r="X27" i="40"/>
  <c r="P27" i="40"/>
  <c r="O27" i="40"/>
  <c r="M27" i="40"/>
  <c r="H27" i="40"/>
  <c r="C27" i="40"/>
  <c r="AD26" i="40"/>
  <c r="J26" i="40" s="1"/>
  <c r="AB26" i="40"/>
  <c r="Y26" i="40"/>
  <c r="X26" i="40"/>
  <c r="P26" i="40"/>
  <c r="O26" i="40"/>
  <c r="M26" i="40"/>
  <c r="H26" i="40"/>
  <c r="C26" i="40"/>
  <c r="AB25" i="40"/>
  <c r="AD25" i="40" s="1"/>
  <c r="J25" i="40" s="1"/>
  <c r="Y25" i="40"/>
  <c r="X25" i="40"/>
  <c r="P25" i="40"/>
  <c r="O25" i="40"/>
  <c r="M25" i="40"/>
  <c r="H25" i="40"/>
  <c r="C25" i="40"/>
  <c r="AB24" i="40"/>
  <c r="AD24" i="40" s="1"/>
  <c r="J24" i="40" s="1"/>
  <c r="Y24" i="40"/>
  <c r="X24" i="40"/>
  <c r="P24" i="40"/>
  <c r="O24" i="40"/>
  <c r="Q24" i="40" s="1"/>
  <c r="M24" i="40"/>
  <c r="H24" i="40"/>
  <c r="C24" i="40"/>
  <c r="AB23" i="40"/>
  <c r="AD23" i="40" s="1"/>
  <c r="J23" i="40" s="1"/>
  <c r="Y23" i="40"/>
  <c r="X23" i="40"/>
  <c r="Q23" i="40"/>
  <c r="P23" i="40"/>
  <c r="O23" i="40"/>
  <c r="M23" i="40"/>
  <c r="H23" i="40"/>
  <c r="C23" i="40"/>
  <c r="AB22" i="40"/>
  <c r="AD22" i="40" s="1"/>
  <c r="J22" i="40" s="1"/>
  <c r="K22" i="40" s="1"/>
  <c r="Y22" i="40"/>
  <c r="X22" i="40"/>
  <c r="P22" i="40"/>
  <c r="O22" i="40"/>
  <c r="Q22" i="40" s="1"/>
  <c r="M22" i="40"/>
  <c r="I22" i="40"/>
  <c r="H22" i="40"/>
  <c r="C22" i="40"/>
  <c r="AB21" i="40"/>
  <c r="AD21" i="40" s="1"/>
  <c r="Y21" i="40"/>
  <c r="X21" i="40"/>
  <c r="P21" i="40"/>
  <c r="Q21" i="40" s="1"/>
  <c r="O21" i="40"/>
  <c r="M21" i="40"/>
  <c r="H21" i="40"/>
  <c r="C21" i="40"/>
  <c r="AD20" i="40"/>
  <c r="J20" i="40" s="1"/>
  <c r="AB20" i="40"/>
  <c r="Y20" i="40"/>
  <c r="X20" i="40"/>
  <c r="P20" i="40"/>
  <c r="Q20" i="40" s="1"/>
  <c r="O20" i="40"/>
  <c r="M20" i="40"/>
  <c r="K20" i="40"/>
  <c r="I20" i="40"/>
  <c r="H20" i="40"/>
  <c r="C20" i="40"/>
  <c r="AD19" i="40"/>
  <c r="J19" i="40" s="1"/>
  <c r="AB19" i="40"/>
  <c r="Y19" i="40"/>
  <c r="X19" i="40"/>
  <c r="P19" i="40"/>
  <c r="O19" i="40"/>
  <c r="M19" i="40"/>
  <c r="H19" i="40"/>
  <c r="C19" i="40"/>
  <c r="AD18" i="40"/>
  <c r="AB18" i="40"/>
  <c r="Y18" i="40"/>
  <c r="X18" i="40"/>
  <c r="P18" i="40"/>
  <c r="O18" i="40"/>
  <c r="M18" i="40"/>
  <c r="J18" i="40"/>
  <c r="H18" i="40"/>
  <c r="C18" i="40"/>
  <c r="AB17" i="40"/>
  <c r="AD17" i="40" s="1"/>
  <c r="Y17" i="40"/>
  <c r="X17" i="40"/>
  <c r="P17" i="40"/>
  <c r="Q17" i="40" s="1"/>
  <c r="O17" i="40"/>
  <c r="M17" i="40"/>
  <c r="J17" i="40"/>
  <c r="H17" i="40"/>
  <c r="C17" i="40"/>
  <c r="AB16" i="40"/>
  <c r="AD16" i="40" s="1"/>
  <c r="J16" i="40" s="1"/>
  <c r="Y16" i="40"/>
  <c r="X16" i="40"/>
  <c r="P16" i="40"/>
  <c r="O16" i="40"/>
  <c r="Q16" i="40" s="1"/>
  <c r="M16" i="40"/>
  <c r="H16" i="40"/>
  <c r="C16" i="40"/>
  <c r="AB15" i="40"/>
  <c r="AD15" i="40" s="1"/>
  <c r="J15" i="40" s="1"/>
  <c r="Y15" i="40"/>
  <c r="X15" i="40"/>
  <c r="P15" i="40"/>
  <c r="O15" i="40"/>
  <c r="Q15" i="40" s="1"/>
  <c r="M15" i="40"/>
  <c r="H15" i="40"/>
  <c r="C15" i="40"/>
  <c r="AB14" i="40"/>
  <c r="AD14" i="40" s="1"/>
  <c r="J14" i="40" s="1"/>
  <c r="Y14" i="40"/>
  <c r="X14" i="40"/>
  <c r="P14" i="40"/>
  <c r="Q14" i="40" s="1"/>
  <c r="O14" i="40"/>
  <c r="M14" i="40"/>
  <c r="H14" i="40"/>
  <c r="C14" i="40"/>
  <c r="AD13" i="40"/>
  <c r="J13" i="40" s="1"/>
  <c r="AB13" i="40"/>
  <c r="Y13" i="40"/>
  <c r="X13" i="40"/>
  <c r="P13" i="40"/>
  <c r="Q13" i="40" s="1"/>
  <c r="O13" i="40"/>
  <c r="M13" i="40"/>
  <c r="H13" i="40"/>
  <c r="C13" i="40"/>
  <c r="AB12" i="40"/>
  <c r="AD12" i="40" s="1"/>
  <c r="J12" i="40" s="1"/>
  <c r="Y12" i="40"/>
  <c r="X12" i="40"/>
  <c r="P12" i="40"/>
  <c r="O12" i="40"/>
  <c r="Q12" i="40" s="1"/>
  <c r="M12" i="40"/>
  <c r="H12" i="40"/>
  <c r="C12" i="40"/>
  <c r="AD11" i="40"/>
  <c r="J11" i="40" s="1"/>
  <c r="AB11" i="40"/>
  <c r="Y11" i="40"/>
  <c r="X11" i="40"/>
  <c r="P11" i="40"/>
  <c r="O11" i="40"/>
  <c r="M11" i="40"/>
  <c r="K11" i="40"/>
  <c r="I11" i="40"/>
  <c r="H11" i="40"/>
  <c r="C11" i="40"/>
  <c r="AB10" i="40"/>
  <c r="AD10" i="40" s="1"/>
  <c r="J10" i="40" s="1"/>
  <c r="K10" i="40" s="1"/>
  <c r="Y10" i="40"/>
  <c r="X10" i="40"/>
  <c r="P10" i="40"/>
  <c r="O10" i="40"/>
  <c r="M10" i="40"/>
  <c r="H10" i="40"/>
  <c r="C10" i="40"/>
  <c r="AB9" i="40"/>
  <c r="AD9" i="40" s="1"/>
  <c r="J9" i="40" s="1"/>
  <c r="Y9" i="40"/>
  <c r="X9" i="40"/>
  <c r="P9" i="40"/>
  <c r="O9" i="40"/>
  <c r="M9" i="40"/>
  <c r="H9" i="40"/>
  <c r="C9" i="40"/>
  <c r="AB8" i="40"/>
  <c r="AD8" i="40" s="1"/>
  <c r="J8" i="40" s="1"/>
  <c r="Y8" i="40"/>
  <c r="X8" i="40"/>
  <c r="Q8" i="40"/>
  <c r="P8" i="40"/>
  <c r="O8" i="40"/>
  <c r="M8" i="40"/>
  <c r="H8" i="40"/>
  <c r="C8" i="40"/>
  <c r="AB7" i="40"/>
  <c r="AD7" i="40" s="1"/>
  <c r="Y7" i="40"/>
  <c r="X7" i="40"/>
  <c r="P7" i="40"/>
  <c r="O7" i="40"/>
  <c r="M7" i="40"/>
  <c r="J7" i="40"/>
  <c r="H7" i="40"/>
  <c r="C7" i="40"/>
  <c r="AB6" i="40"/>
  <c r="AD6" i="40" s="1"/>
  <c r="J6" i="40" s="1"/>
  <c r="Y6" i="40"/>
  <c r="X6" i="40"/>
  <c r="P6" i="40"/>
  <c r="O6" i="40"/>
  <c r="Q6" i="40" s="1"/>
  <c r="M6" i="40"/>
  <c r="H6" i="40"/>
  <c r="C6" i="40"/>
  <c r="AB5" i="40"/>
  <c r="AD5" i="40" s="1"/>
  <c r="J5" i="40" s="1"/>
  <c r="Y5" i="40"/>
  <c r="X5" i="40"/>
  <c r="Q5" i="40"/>
  <c r="P5" i="40"/>
  <c r="O5" i="40"/>
  <c r="M5" i="40"/>
  <c r="H5" i="40"/>
  <c r="C5" i="40"/>
  <c r="AD4" i="40"/>
  <c r="J4" i="40" s="1"/>
  <c r="AB4" i="40"/>
  <c r="Y4" i="40"/>
  <c r="X4" i="40"/>
  <c r="P4" i="40"/>
  <c r="Q4" i="40" s="1"/>
  <c r="O4" i="40"/>
  <c r="M4" i="40"/>
  <c r="K4" i="40"/>
  <c r="I4" i="40"/>
  <c r="H4" i="40"/>
  <c r="C4" i="40"/>
  <c r="AF3" i="40"/>
  <c r="W3" i="40"/>
  <c r="V3" i="40"/>
  <c r="U3" i="40"/>
  <c r="T3" i="40"/>
  <c r="O3" i="40"/>
  <c r="G3" i="40"/>
  <c r="F3" i="40"/>
  <c r="D3" i="40"/>
  <c r="A2" i="40"/>
  <c r="A1" i="40"/>
  <c r="AD31" i="39"/>
  <c r="J31" i="39" s="1"/>
  <c r="AB31" i="39"/>
  <c r="Y31" i="39"/>
  <c r="X31" i="39"/>
  <c r="P31" i="39"/>
  <c r="Q31" i="39" s="1"/>
  <c r="O31" i="39"/>
  <c r="M31" i="39"/>
  <c r="H31" i="39"/>
  <c r="C31" i="39"/>
  <c r="AD30" i="39"/>
  <c r="J30" i="39" s="1"/>
  <c r="AB30" i="39"/>
  <c r="Y30" i="39"/>
  <c r="X30" i="39"/>
  <c r="P30" i="39"/>
  <c r="O30" i="39"/>
  <c r="M30" i="39"/>
  <c r="K30" i="39"/>
  <c r="I30" i="39"/>
  <c r="H30" i="39"/>
  <c r="C30" i="39"/>
  <c r="AD29" i="39"/>
  <c r="J29" i="39" s="1"/>
  <c r="AB29" i="39"/>
  <c r="Y29" i="39"/>
  <c r="X29" i="39"/>
  <c r="P29" i="39"/>
  <c r="O29" i="39"/>
  <c r="M29" i="39"/>
  <c r="H29" i="39"/>
  <c r="C29" i="39"/>
  <c r="AB28" i="39"/>
  <c r="AD28" i="39" s="1"/>
  <c r="J28" i="39" s="1"/>
  <c r="Y28" i="39"/>
  <c r="X28" i="39"/>
  <c r="P28" i="39"/>
  <c r="O28" i="39"/>
  <c r="Q28" i="39" s="1"/>
  <c r="M28" i="39"/>
  <c r="H28" i="39"/>
  <c r="C28" i="39"/>
  <c r="AB27" i="39"/>
  <c r="AD27" i="39" s="1"/>
  <c r="J27" i="39" s="1"/>
  <c r="Y27" i="39"/>
  <c r="X27" i="39"/>
  <c r="P27" i="39"/>
  <c r="Q27" i="39" s="1"/>
  <c r="O27" i="39"/>
  <c r="M27" i="39"/>
  <c r="H27" i="39"/>
  <c r="C27" i="39"/>
  <c r="AD26" i="39"/>
  <c r="J26" i="39" s="1"/>
  <c r="I26" i="39" s="1"/>
  <c r="AB26" i="39"/>
  <c r="Y26" i="39"/>
  <c r="X26" i="39"/>
  <c r="P26" i="39"/>
  <c r="O26" i="39"/>
  <c r="M26" i="39"/>
  <c r="H26" i="39"/>
  <c r="C26" i="39"/>
  <c r="AB25" i="39"/>
  <c r="AD25" i="39" s="1"/>
  <c r="J25" i="39" s="1"/>
  <c r="Y25" i="39"/>
  <c r="X25" i="39"/>
  <c r="P25" i="39"/>
  <c r="O25" i="39"/>
  <c r="Q25" i="39" s="1"/>
  <c r="M25" i="39"/>
  <c r="H25" i="39"/>
  <c r="C25" i="39"/>
  <c r="AB24" i="39"/>
  <c r="AD24" i="39" s="1"/>
  <c r="J24" i="39" s="1"/>
  <c r="Y24" i="39"/>
  <c r="X24" i="39"/>
  <c r="P24" i="39"/>
  <c r="O24" i="39"/>
  <c r="M24" i="39"/>
  <c r="H24" i="39"/>
  <c r="C24" i="39"/>
  <c r="AB23" i="39"/>
  <c r="AD23" i="39" s="1"/>
  <c r="J23" i="39" s="1"/>
  <c r="Y23" i="39"/>
  <c r="X23" i="39"/>
  <c r="P23" i="39"/>
  <c r="Q23" i="39" s="1"/>
  <c r="O23" i="39"/>
  <c r="M23" i="39"/>
  <c r="H23" i="39"/>
  <c r="C23" i="39"/>
  <c r="AD22" i="39"/>
  <c r="J22" i="39" s="1"/>
  <c r="I22" i="39" s="1"/>
  <c r="AB22" i="39"/>
  <c r="Y22" i="39"/>
  <c r="X22" i="39"/>
  <c r="P22" i="39"/>
  <c r="O22" i="39"/>
  <c r="Q22" i="39" s="1"/>
  <c r="M22" i="39"/>
  <c r="K22" i="39"/>
  <c r="H22" i="39"/>
  <c r="C22" i="39"/>
  <c r="AD21" i="39"/>
  <c r="J21" i="39" s="1"/>
  <c r="AB21" i="39"/>
  <c r="Y21" i="39"/>
  <c r="X21" i="39"/>
  <c r="P21" i="39"/>
  <c r="O21" i="39"/>
  <c r="M21" i="39"/>
  <c r="H21" i="39"/>
  <c r="C21" i="39"/>
  <c r="AB20" i="39"/>
  <c r="AD20" i="39" s="1"/>
  <c r="J20" i="39" s="1"/>
  <c r="Y20" i="39"/>
  <c r="X20" i="39"/>
  <c r="P20" i="39"/>
  <c r="O20" i="39"/>
  <c r="M20" i="39"/>
  <c r="H20" i="39"/>
  <c r="C20" i="39"/>
  <c r="AB19" i="39"/>
  <c r="AD19" i="39" s="1"/>
  <c r="J19" i="39" s="1"/>
  <c r="Y19" i="39"/>
  <c r="X19" i="39"/>
  <c r="P19" i="39"/>
  <c r="O19" i="39"/>
  <c r="M19" i="39"/>
  <c r="H19" i="39"/>
  <c r="C19" i="39"/>
  <c r="AB18" i="39"/>
  <c r="AD18" i="39" s="1"/>
  <c r="J18" i="39" s="1"/>
  <c r="Y18" i="39"/>
  <c r="X18" i="39"/>
  <c r="P18" i="39"/>
  <c r="O18" i="39"/>
  <c r="Q18" i="39" s="1"/>
  <c r="M18" i="39"/>
  <c r="H18" i="39"/>
  <c r="C18" i="39"/>
  <c r="AB17" i="39"/>
  <c r="AD17" i="39" s="1"/>
  <c r="Y17" i="39"/>
  <c r="X17" i="39"/>
  <c r="Q17" i="39"/>
  <c r="P17" i="39"/>
  <c r="O17" i="39"/>
  <c r="M17" i="39"/>
  <c r="J17" i="39"/>
  <c r="K17" i="39" s="1"/>
  <c r="H17" i="39"/>
  <c r="C17" i="39"/>
  <c r="AD16" i="39"/>
  <c r="J16" i="39" s="1"/>
  <c r="I16" i="39" s="1"/>
  <c r="AB16" i="39"/>
  <c r="Y16" i="39"/>
  <c r="X16" i="39"/>
  <c r="Q16" i="39"/>
  <c r="P16" i="39"/>
  <c r="O16" i="39"/>
  <c r="M16" i="39"/>
  <c r="K16" i="39"/>
  <c r="H16" i="39"/>
  <c r="C16" i="39"/>
  <c r="AB15" i="39"/>
  <c r="AD15" i="39" s="1"/>
  <c r="J15" i="39" s="1"/>
  <c r="Y15" i="39"/>
  <c r="X15" i="39"/>
  <c r="P15" i="39"/>
  <c r="Q15" i="39" s="1"/>
  <c r="O15" i="39"/>
  <c r="M15" i="39"/>
  <c r="H15" i="39"/>
  <c r="C15" i="39"/>
  <c r="AD14" i="39"/>
  <c r="J14" i="39" s="1"/>
  <c r="K14" i="39" s="1"/>
  <c r="AB14" i="39"/>
  <c r="Y14" i="39"/>
  <c r="X14" i="39"/>
  <c r="P14" i="39"/>
  <c r="O14" i="39"/>
  <c r="M14" i="39"/>
  <c r="I14" i="39"/>
  <c r="H14" i="39"/>
  <c r="C14" i="39"/>
  <c r="AB13" i="39"/>
  <c r="AD13" i="39" s="1"/>
  <c r="J13" i="39" s="1"/>
  <c r="Y13" i="39"/>
  <c r="X13" i="39"/>
  <c r="P13" i="39"/>
  <c r="O13" i="39"/>
  <c r="M13" i="39"/>
  <c r="H13" i="39"/>
  <c r="C13" i="39"/>
  <c r="AB12" i="39"/>
  <c r="AD12" i="39" s="1"/>
  <c r="J12" i="39" s="1"/>
  <c r="I12" i="39" s="1"/>
  <c r="Y12" i="39"/>
  <c r="X12" i="39"/>
  <c r="P12" i="39"/>
  <c r="O12" i="39"/>
  <c r="Q12" i="39" s="1"/>
  <c r="M12" i="39"/>
  <c r="H12" i="39"/>
  <c r="C12" i="39"/>
  <c r="AB11" i="39"/>
  <c r="AD11" i="39" s="1"/>
  <c r="J11" i="39" s="1"/>
  <c r="Y11" i="39"/>
  <c r="X11" i="39"/>
  <c r="Q11" i="39"/>
  <c r="P11" i="39"/>
  <c r="O11" i="39"/>
  <c r="M11" i="39"/>
  <c r="H11" i="39"/>
  <c r="C11" i="39"/>
  <c r="AB10" i="39"/>
  <c r="AD10" i="39" s="1"/>
  <c r="J10" i="39" s="1"/>
  <c r="Y10" i="39"/>
  <c r="X10" i="39"/>
  <c r="P10" i="39"/>
  <c r="O10" i="39"/>
  <c r="Q10" i="39" s="1"/>
  <c r="M10" i="39"/>
  <c r="H10" i="39"/>
  <c r="C10" i="39"/>
  <c r="AB9" i="39"/>
  <c r="AD9" i="39" s="1"/>
  <c r="Y9" i="39"/>
  <c r="X9" i="39"/>
  <c r="Q9" i="39"/>
  <c r="P9" i="39"/>
  <c r="O9" i="39"/>
  <c r="M9" i="39"/>
  <c r="J9" i="39"/>
  <c r="H9" i="39"/>
  <c r="C9" i="39"/>
  <c r="AB8" i="39"/>
  <c r="AD8" i="39" s="1"/>
  <c r="J8" i="39" s="1"/>
  <c r="Y8" i="39"/>
  <c r="X8" i="39"/>
  <c r="P8" i="39"/>
  <c r="O8" i="39"/>
  <c r="M8" i="39"/>
  <c r="H8" i="39"/>
  <c r="C8" i="39"/>
  <c r="AD7" i="39"/>
  <c r="J7" i="39" s="1"/>
  <c r="AB7" i="39"/>
  <c r="Y7" i="39"/>
  <c r="X7" i="39"/>
  <c r="P7" i="39"/>
  <c r="O7" i="39"/>
  <c r="Q7" i="39" s="1"/>
  <c r="M7" i="39"/>
  <c r="H7" i="39"/>
  <c r="C7" i="39"/>
  <c r="AB6" i="39"/>
  <c r="AD6" i="39" s="1"/>
  <c r="J6" i="39" s="1"/>
  <c r="K6" i="39" s="1"/>
  <c r="Y6" i="39"/>
  <c r="X6" i="39"/>
  <c r="P6" i="39"/>
  <c r="O6" i="39"/>
  <c r="M6" i="39"/>
  <c r="H6" i="39"/>
  <c r="C6" i="39"/>
  <c r="AB5" i="39"/>
  <c r="AD5" i="39" s="1"/>
  <c r="J5" i="39" s="1"/>
  <c r="I5" i="39" s="1"/>
  <c r="Y5" i="39"/>
  <c r="X5" i="39"/>
  <c r="P5" i="39"/>
  <c r="O5" i="39"/>
  <c r="Q5" i="39" s="1"/>
  <c r="M5" i="39"/>
  <c r="H5" i="39"/>
  <c r="C5" i="39"/>
  <c r="AD4" i="39"/>
  <c r="AB4" i="39"/>
  <c r="Y4" i="39"/>
  <c r="X4" i="39"/>
  <c r="P4" i="39"/>
  <c r="O4" i="39"/>
  <c r="Q4" i="39" s="1"/>
  <c r="M4" i="39"/>
  <c r="H4" i="39"/>
  <c r="C4" i="39"/>
  <c r="AG3" i="39"/>
  <c r="AF3" i="39"/>
  <c r="W3" i="39"/>
  <c r="V3" i="39"/>
  <c r="U3" i="39"/>
  <c r="T3" i="39"/>
  <c r="O3" i="39"/>
  <c r="G3" i="39"/>
  <c r="H3" i="39" s="1"/>
  <c r="F3" i="39"/>
  <c r="D3" i="39"/>
  <c r="A2" i="39"/>
  <c r="A1" i="39"/>
  <c r="AB31" i="38"/>
  <c r="AD31" i="38" s="1"/>
  <c r="J31" i="38" s="1"/>
  <c r="Y31" i="38"/>
  <c r="X31" i="38"/>
  <c r="P31" i="38"/>
  <c r="O31" i="38"/>
  <c r="M31" i="38"/>
  <c r="H31" i="38"/>
  <c r="C31" i="38"/>
  <c r="AB30" i="38"/>
  <c r="AD30" i="38" s="1"/>
  <c r="J30" i="38" s="1"/>
  <c r="Y30" i="38"/>
  <c r="X30" i="38"/>
  <c r="P30" i="38"/>
  <c r="O30" i="38"/>
  <c r="M30" i="38"/>
  <c r="H30" i="38"/>
  <c r="C30" i="38"/>
  <c r="AB29" i="38"/>
  <c r="AD29" i="38" s="1"/>
  <c r="Y29" i="38"/>
  <c r="X29" i="38"/>
  <c r="P29" i="38"/>
  <c r="O29" i="38"/>
  <c r="Q29" i="38" s="1"/>
  <c r="M29" i="38"/>
  <c r="J29" i="38"/>
  <c r="H29" i="38"/>
  <c r="C29" i="38"/>
  <c r="AD28" i="38"/>
  <c r="J28" i="38" s="1"/>
  <c r="I28" i="38" s="1"/>
  <c r="AB28" i="38"/>
  <c r="Y28" i="38"/>
  <c r="X28" i="38"/>
  <c r="P28" i="38"/>
  <c r="O28" i="38"/>
  <c r="M28" i="38"/>
  <c r="H28" i="38"/>
  <c r="C28" i="38"/>
  <c r="AB27" i="38"/>
  <c r="AD27" i="38" s="1"/>
  <c r="J27" i="38" s="1"/>
  <c r="K27" i="38" s="1"/>
  <c r="Y27" i="38"/>
  <c r="X27" i="38"/>
  <c r="P27" i="38"/>
  <c r="O27" i="38"/>
  <c r="Q27" i="38" s="1"/>
  <c r="M27" i="38"/>
  <c r="I27" i="38"/>
  <c r="H27" i="38"/>
  <c r="C27" i="38"/>
  <c r="AB26" i="38"/>
  <c r="AD26" i="38" s="1"/>
  <c r="J26" i="38" s="1"/>
  <c r="K26" i="38" s="1"/>
  <c r="Y26" i="38"/>
  <c r="X26" i="38"/>
  <c r="P26" i="38"/>
  <c r="O26" i="38"/>
  <c r="M26" i="38"/>
  <c r="H26" i="38"/>
  <c r="C26" i="38"/>
  <c r="AD25" i="38"/>
  <c r="AB25" i="38"/>
  <c r="Y25" i="38"/>
  <c r="X25" i="38"/>
  <c r="P25" i="38"/>
  <c r="O25" i="38"/>
  <c r="M25" i="38"/>
  <c r="K25" i="38"/>
  <c r="J25" i="38"/>
  <c r="I25" i="38" s="1"/>
  <c r="H25" i="38"/>
  <c r="C25" i="38"/>
  <c r="AD24" i="38"/>
  <c r="J24" i="38" s="1"/>
  <c r="I24" i="38" s="1"/>
  <c r="AB24" i="38"/>
  <c r="Y24" i="38"/>
  <c r="X24" i="38"/>
  <c r="Q24" i="38"/>
  <c r="P24" i="38"/>
  <c r="O24" i="38"/>
  <c r="M24" i="38"/>
  <c r="K24" i="38"/>
  <c r="H24" i="38"/>
  <c r="C24" i="38"/>
  <c r="AD23" i="38"/>
  <c r="J23" i="38" s="1"/>
  <c r="I23" i="38" s="1"/>
  <c r="AB23" i="38"/>
  <c r="Y23" i="38"/>
  <c r="X23" i="38"/>
  <c r="P23" i="38"/>
  <c r="O23" i="38"/>
  <c r="M23" i="38"/>
  <c r="H23" i="38"/>
  <c r="C23" i="38"/>
  <c r="AB22" i="38"/>
  <c r="AD22" i="38" s="1"/>
  <c r="J22" i="38" s="1"/>
  <c r="Y22" i="38"/>
  <c r="X22" i="38"/>
  <c r="P22" i="38"/>
  <c r="O22" i="38"/>
  <c r="M22" i="38"/>
  <c r="H22" i="38"/>
  <c r="C22" i="38"/>
  <c r="AB21" i="38"/>
  <c r="AD21" i="38" s="1"/>
  <c r="Y21" i="38"/>
  <c r="X21" i="38"/>
  <c r="P21" i="38"/>
  <c r="O21" i="38"/>
  <c r="M21" i="38"/>
  <c r="J21" i="38"/>
  <c r="H21" i="38"/>
  <c r="C21" i="38"/>
  <c r="AB20" i="38"/>
  <c r="AD20" i="38" s="1"/>
  <c r="J20" i="38" s="1"/>
  <c r="Y20" i="38"/>
  <c r="X20" i="38"/>
  <c r="P20" i="38"/>
  <c r="Q20" i="38" s="1"/>
  <c r="O20" i="38"/>
  <c r="M20" i="38"/>
  <c r="H20" i="38"/>
  <c r="C20" i="38"/>
  <c r="AB19" i="38"/>
  <c r="AD19" i="38" s="1"/>
  <c r="J19" i="38" s="1"/>
  <c r="K19" i="38" s="1"/>
  <c r="Y19" i="38"/>
  <c r="X19" i="38"/>
  <c r="Q19" i="38"/>
  <c r="P19" i="38"/>
  <c r="O19" i="38"/>
  <c r="M19" i="38"/>
  <c r="H19" i="38"/>
  <c r="C19" i="38"/>
  <c r="AB18" i="38"/>
  <c r="AD18" i="38" s="1"/>
  <c r="J18" i="38" s="1"/>
  <c r="Y18" i="38"/>
  <c r="X18" i="38"/>
  <c r="P18" i="38"/>
  <c r="O18" i="38"/>
  <c r="M18" i="38"/>
  <c r="H18" i="38"/>
  <c r="C18" i="38"/>
  <c r="AB17" i="38"/>
  <c r="AD17" i="38" s="1"/>
  <c r="J17" i="38" s="1"/>
  <c r="Y17" i="38"/>
  <c r="X17" i="38"/>
  <c r="P17" i="38"/>
  <c r="O17" i="38"/>
  <c r="M17" i="38"/>
  <c r="H17" i="38"/>
  <c r="C17" i="38"/>
  <c r="AB16" i="38"/>
  <c r="AD16" i="38" s="1"/>
  <c r="J16" i="38" s="1"/>
  <c r="Y16" i="38"/>
  <c r="X16" i="38"/>
  <c r="P16" i="38"/>
  <c r="O16" i="38"/>
  <c r="M16" i="38"/>
  <c r="H16" i="38"/>
  <c r="C16" i="38"/>
  <c r="AD15" i="38"/>
  <c r="J15" i="38" s="1"/>
  <c r="I15" i="38" s="1"/>
  <c r="AB15" i="38"/>
  <c r="Y15" i="38"/>
  <c r="X15" i="38"/>
  <c r="P15" i="38"/>
  <c r="O15" i="38"/>
  <c r="M15" i="38"/>
  <c r="K15" i="38"/>
  <c r="H15" i="38"/>
  <c r="C15" i="38"/>
  <c r="AB14" i="38"/>
  <c r="AD14" i="38" s="1"/>
  <c r="J14" i="38" s="1"/>
  <c r="Y14" i="38"/>
  <c r="X14" i="38"/>
  <c r="P14" i="38"/>
  <c r="O14" i="38"/>
  <c r="M14" i="38"/>
  <c r="H14" i="38"/>
  <c r="C14" i="38"/>
  <c r="AB13" i="38"/>
  <c r="AD13" i="38" s="1"/>
  <c r="J13" i="38" s="1"/>
  <c r="Y13" i="38"/>
  <c r="X13" i="38"/>
  <c r="P13" i="38"/>
  <c r="O13" i="38"/>
  <c r="M13" i="38"/>
  <c r="H13" i="38"/>
  <c r="C13" i="38"/>
  <c r="AB12" i="38"/>
  <c r="AD12" i="38" s="1"/>
  <c r="J12" i="38" s="1"/>
  <c r="Y12" i="38"/>
  <c r="X12" i="38"/>
  <c r="P12" i="38"/>
  <c r="O12" i="38"/>
  <c r="Q12" i="38" s="1"/>
  <c r="M12" i="38"/>
  <c r="H12" i="38"/>
  <c r="C12" i="38"/>
  <c r="AB11" i="38"/>
  <c r="AD11" i="38" s="1"/>
  <c r="J11" i="38" s="1"/>
  <c r="K11" i="38" s="1"/>
  <c r="Y11" i="38"/>
  <c r="X11" i="38"/>
  <c r="P11" i="38"/>
  <c r="O11" i="38"/>
  <c r="Q11" i="38" s="1"/>
  <c r="M11" i="38"/>
  <c r="H11" i="38"/>
  <c r="C11" i="38"/>
  <c r="AB10" i="38"/>
  <c r="AD10" i="38" s="1"/>
  <c r="J10" i="38" s="1"/>
  <c r="K10" i="38" s="1"/>
  <c r="Y10" i="38"/>
  <c r="X10" i="38"/>
  <c r="P10" i="38"/>
  <c r="O10" i="38"/>
  <c r="M10" i="38"/>
  <c r="I10" i="38"/>
  <c r="H10" i="38"/>
  <c r="C10" i="38"/>
  <c r="AB9" i="38"/>
  <c r="AD9" i="38" s="1"/>
  <c r="J9" i="38" s="1"/>
  <c r="K9" i="38" s="1"/>
  <c r="Y9" i="38"/>
  <c r="X9" i="38"/>
  <c r="P9" i="38"/>
  <c r="O9" i="38"/>
  <c r="M9" i="38"/>
  <c r="I9" i="38"/>
  <c r="H9" i="38"/>
  <c r="C9" i="38"/>
  <c r="AB8" i="38"/>
  <c r="AD8" i="38" s="1"/>
  <c r="J8" i="38" s="1"/>
  <c r="Y8" i="38"/>
  <c r="X8" i="38"/>
  <c r="P8" i="38"/>
  <c r="O8" i="38"/>
  <c r="M8" i="38"/>
  <c r="H8" i="38"/>
  <c r="C8" i="38"/>
  <c r="AB7" i="38"/>
  <c r="AD7" i="38" s="1"/>
  <c r="J7" i="38" s="1"/>
  <c r="I7" i="38" s="1"/>
  <c r="Y7" i="38"/>
  <c r="X7" i="38"/>
  <c r="P7" i="38"/>
  <c r="O7" i="38"/>
  <c r="Q7" i="38" s="1"/>
  <c r="M7" i="38"/>
  <c r="H7" i="38"/>
  <c r="C7" i="38"/>
  <c r="AB6" i="38"/>
  <c r="AD6" i="38" s="1"/>
  <c r="J6" i="38" s="1"/>
  <c r="Y6" i="38"/>
  <c r="X6" i="38"/>
  <c r="P6" i="38"/>
  <c r="O6" i="38"/>
  <c r="Q6" i="38" s="1"/>
  <c r="M6" i="38"/>
  <c r="H6" i="38"/>
  <c r="C6" i="38"/>
  <c r="AB5" i="38"/>
  <c r="AD5" i="38" s="1"/>
  <c r="J5" i="38" s="1"/>
  <c r="Y5" i="38"/>
  <c r="X5" i="38"/>
  <c r="P5" i="38"/>
  <c r="O5" i="38"/>
  <c r="Q5" i="38" s="1"/>
  <c r="M5" i="38"/>
  <c r="H5" i="38"/>
  <c r="C5" i="38"/>
  <c r="AB4" i="38"/>
  <c r="AD4" i="38" s="1"/>
  <c r="Y4" i="38"/>
  <c r="X4" i="38"/>
  <c r="P4" i="38"/>
  <c r="O4" i="38"/>
  <c r="M4" i="38"/>
  <c r="H4" i="38"/>
  <c r="C4" i="38"/>
  <c r="AG3" i="38"/>
  <c r="AF3" i="38"/>
  <c r="W3" i="38"/>
  <c r="V3" i="38"/>
  <c r="U3" i="38"/>
  <c r="T3" i="38"/>
  <c r="O3" i="38"/>
  <c r="H3" i="38"/>
  <c r="G3" i="38"/>
  <c r="F3" i="38"/>
  <c r="A2" i="38"/>
  <c r="A1" i="38"/>
  <c r="AB31" i="37"/>
  <c r="AD31" i="37" s="1"/>
  <c r="Y31" i="37"/>
  <c r="X31" i="37"/>
  <c r="Q31" i="37"/>
  <c r="P31" i="37"/>
  <c r="O31" i="37"/>
  <c r="M31" i="37"/>
  <c r="J31" i="37"/>
  <c r="H31" i="37"/>
  <c r="C31" i="37"/>
  <c r="AB30" i="37"/>
  <c r="AD30" i="37" s="1"/>
  <c r="J30" i="37" s="1"/>
  <c r="Y30" i="37"/>
  <c r="X30" i="37"/>
  <c r="P30" i="37"/>
  <c r="Q30" i="37" s="1"/>
  <c r="O30" i="37"/>
  <c r="M30" i="37"/>
  <c r="H30" i="37"/>
  <c r="C30" i="37"/>
  <c r="AB29" i="37"/>
  <c r="AD29" i="37" s="1"/>
  <c r="J29" i="37" s="1"/>
  <c r="K29" i="37" s="1"/>
  <c r="Y29" i="37"/>
  <c r="X29" i="37"/>
  <c r="P29" i="37"/>
  <c r="O29" i="37"/>
  <c r="Q29" i="37" s="1"/>
  <c r="M29" i="37"/>
  <c r="I29" i="37"/>
  <c r="H29" i="37"/>
  <c r="C29" i="37"/>
  <c r="AB28" i="37"/>
  <c r="AD28" i="37" s="1"/>
  <c r="J28" i="37" s="1"/>
  <c r="Y28" i="37"/>
  <c r="X28" i="37"/>
  <c r="P28" i="37"/>
  <c r="O28" i="37"/>
  <c r="M28" i="37"/>
  <c r="H28" i="37"/>
  <c r="C28" i="37"/>
  <c r="AD27" i="37"/>
  <c r="AB27" i="37"/>
  <c r="Y27" i="37"/>
  <c r="X27" i="37"/>
  <c r="P27" i="37"/>
  <c r="O27" i="37"/>
  <c r="M27" i="37"/>
  <c r="K27" i="37"/>
  <c r="J27" i="37"/>
  <c r="I27" i="37" s="1"/>
  <c r="H27" i="37"/>
  <c r="C27" i="37"/>
  <c r="AD26" i="37"/>
  <c r="J26" i="37" s="1"/>
  <c r="I26" i="37" s="1"/>
  <c r="AB26" i="37"/>
  <c r="Y26" i="37"/>
  <c r="X26" i="37"/>
  <c r="Q26" i="37"/>
  <c r="P26" i="37"/>
  <c r="O26" i="37"/>
  <c r="M26" i="37"/>
  <c r="K26" i="37"/>
  <c r="H26" i="37"/>
  <c r="C26" i="37"/>
  <c r="AD25" i="37"/>
  <c r="J25" i="37" s="1"/>
  <c r="I25" i="37" s="1"/>
  <c r="AB25" i="37"/>
  <c r="Y25" i="37"/>
  <c r="X25" i="37"/>
  <c r="P25" i="37"/>
  <c r="O25" i="37"/>
  <c r="M25" i="37"/>
  <c r="H25" i="37"/>
  <c r="C25" i="37"/>
  <c r="AB24" i="37"/>
  <c r="AD24" i="37" s="1"/>
  <c r="J24" i="37" s="1"/>
  <c r="K24" i="37" s="1"/>
  <c r="Y24" i="37"/>
  <c r="X24" i="37"/>
  <c r="P24" i="37"/>
  <c r="O24" i="37"/>
  <c r="M24" i="37"/>
  <c r="I24" i="37"/>
  <c r="H24" i="37"/>
  <c r="C24" i="37"/>
  <c r="AB23" i="37"/>
  <c r="AD23" i="37" s="1"/>
  <c r="J23" i="37" s="1"/>
  <c r="Y23" i="37"/>
  <c r="X23" i="37"/>
  <c r="P23" i="37"/>
  <c r="O23" i="37"/>
  <c r="Q23" i="37" s="1"/>
  <c r="M23" i="37"/>
  <c r="H23" i="37"/>
  <c r="C23" i="37"/>
  <c r="AD22" i="37"/>
  <c r="J22" i="37" s="1"/>
  <c r="AB22" i="37"/>
  <c r="Y22" i="37"/>
  <c r="X22" i="37"/>
  <c r="Q22" i="37"/>
  <c r="P22" i="37"/>
  <c r="O22" i="37"/>
  <c r="M22" i="37"/>
  <c r="H22" i="37"/>
  <c r="C22" i="37"/>
  <c r="AB21" i="37"/>
  <c r="AD21" i="37" s="1"/>
  <c r="Y21" i="37"/>
  <c r="X21" i="37"/>
  <c r="Q21" i="37"/>
  <c r="P21" i="37"/>
  <c r="O21" i="37"/>
  <c r="M21" i="37"/>
  <c r="J21" i="37"/>
  <c r="K21" i="37" s="1"/>
  <c r="H21" i="37"/>
  <c r="C21" i="37"/>
  <c r="AB20" i="37"/>
  <c r="AD20" i="37" s="1"/>
  <c r="J20" i="37" s="1"/>
  <c r="Y20" i="37"/>
  <c r="X20" i="37"/>
  <c r="P20" i="37"/>
  <c r="O20" i="37"/>
  <c r="M20" i="37"/>
  <c r="H20" i="37"/>
  <c r="C20" i="37"/>
  <c r="AB19" i="37"/>
  <c r="AD19" i="37" s="1"/>
  <c r="J19" i="37" s="1"/>
  <c r="K19" i="37" s="1"/>
  <c r="Y19" i="37"/>
  <c r="X19" i="37"/>
  <c r="P19" i="37"/>
  <c r="O19" i="37"/>
  <c r="M19" i="37"/>
  <c r="H19" i="37"/>
  <c r="C19" i="37"/>
  <c r="AB18" i="37"/>
  <c r="AD18" i="37" s="1"/>
  <c r="J18" i="37" s="1"/>
  <c r="I18" i="37" s="1"/>
  <c r="Y18" i="37"/>
  <c r="X18" i="37"/>
  <c r="P18" i="37"/>
  <c r="O18" i="37"/>
  <c r="M18" i="37"/>
  <c r="K18" i="37"/>
  <c r="H18" i="37"/>
  <c r="C18" i="37"/>
  <c r="AD17" i="37"/>
  <c r="J17" i="37" s="1"/>
  <c r="I17" i="37" s="1"/>
  <c r="AB17" i="37"/>
  <c r="Y17" i="37"/>
  <c r="X17" i="37"/>
  <c r="P17" i="37"/>
  <c r="O17" i="37"/>
  <c r="M17" i="37"/>
  <c r="H17" i="37"/>
  <c r="C17" i="37"/>
  <c r="AB16" i="37"/>
  <c r="AD16" i="37" s="1"/>
  <c r="Y16" i="37"/>
  <c r="X16" i="37"/>
  <c r="P16" i="37"/>
  <c r="O16" i="37"/>
  <c r="M16" i="37"/>
  <c r="J16" i="37"/>
  <c r="H16" i="37"/>
  <c r="C16" i="37"/>
  <c r="AB15" i="37"/>
  <c r="AD15" i="37" s="1"/>
  <c r="J15" i="37" s="1"/>
  <c r="Y15" i="37"/>
  <c r="X15" i="37"/>
  <c r="P15" i="37"/>
  <c r="O15" i="37"/>
  <c r="M15" i="37"/>
  <c r="H15" i="37"/>
  <c r="C15" i="37"/>
  <c r="AB14" i="37"/>
  <c r="AD14" i="37" s="1"/>
  <c r="J14" i="37" s="1"/>
  <c r="Y14" i="37"/>
  <c r="X14" i="37"/>
  <c r="P14" i="37"/>
  <c r="O14" i="37"/>
  <c r="Q14" i="37" s="1"/>
  <c r="M14" i="37"/>
  <c r="H14" i="37"/>
  <c r="C14" i="37"/>
  <c r="AB13" i="37"/>
  <c r="AD13" i="37" s="1"/>
  <c r="J13" i="37" s="1"/>
  <c r="Y13" i="37"/>
  <c r="X13" i="37"/>
  <c r="P13" i="37"/>
  <c r="Q13" i="37" s="1"/>
  <c r="O13" i="37"/>
  <c r="M13" i="37"/>
  <c r="H13" i="37"/>
  <c r="C13" i="37"/>
  <c r="AB12" i="37"/>
  <c r="AD12" i="37" s="1"/>
  <c r="J12" i="37" s="1"/>
  <c r="K12" i="37" s="1"/>
  <c r="Y12" i="37"/>
  <c r="X12" i="37"/>
  <c r="P12" i="37"/>
  <c r="O12" i="37"/>
  <c r="Q12" i="37" s="1"/>
  <c r="M12" i="37"/>
  <c r="I12" i="37"/>
  <c r="H12" i="37"/>
  <c r="C12" i="37"/>
  <c r="AD11" i="37"/>
  <c r="J11" i="37" s="1"/>
  <c r="K11" i="37" s="1"/>
  <c r="AB11" i="37"/>
  <c r="Y11" i="37"/>
  <c r="X11" i="37"/>
  <c r="P11" i="37"/>
  <c r="O11" i="37"/>
  <c r="M11" i="37"/>
  <c r="H11" i="37"/>
  <c r="C11" i="37"/>
  <c r="AB10" i="37"/>
  <c r="AD10" i="37" s="1"/>
  <c r="J10" i="37" s="1"/>
  <c r="Y10" i="37"/>
  <c r="X10" i="37"/>
  <c r="P10" i="37"/>
  <c r="O10" i="37"/>
  <c r="Q10" i="37" s="1"/>
  <c r="M10" i="37"/>
  <c r="H10" i="37"/>
  <c r="C10" i="37"/>
  <c r="AD9" i="37"/>
  <c r="J9" i="37" s="1"/>
  <c r="I9" i="37" s="1"/>
  <c r="AB9" i="37"/>
  <c r="Y9" i="37"/>
  <c r="X9" i="37"/>
  <c r="P9" i="37"/>
  <c r="O9" i="37"/>
  <c r="M9" i="37"/>
  <c r="K9" i="37"/>
  <c r="H9" i="37"/>
  <c r="C9" i="37"/>
  <c r="AB8" i="37"/>
  <c r="AD8" i="37" s="1"/>
  <c r="J8" i="37" s="1"/>
  <c r="K8" i="37" s="1"/>
  <c r="Y8" i="37"/>
  <c r="X8" i="37"/>
  <c r="P8" i="37"/>
  <c r="O8" i="37"/>
  <c r="Q8" i="37" s="1"/>
  <c r="M8" i="37"/>
  <c r="H8" i="37"/>
  <c r="C8" i="37"/>
  <c r="AB7" i="37"/>
  <c r="AD7" i="37" s="1"/>
  <c r="J7" i="37" s="1"/>
  <c r="Y7" i="37"/>
  <c r="X7" i="37"/>
  <c r="P7" i="37"/>
  <c r="Q7" i="37" s="1"/>
  <c r="O7" i="37"/>
  <c r="M7" i="37"/>
  <c r="H7" i="37"/>
  <c r="C7" i="37"/>
  <c r="AB6" i="37"/>
  <c r="AD6" i="37" s="1"/>
  <c r="J6" i="37" s="1"/>
  <c r="Y6" i="37"/>
  <c r="X6" i="37"/>
  <c r="Q6" i="37"/>
  <c r="P6" i="37"/>
  <c r="O6" i="37"/>
  <c r="M6" i="37"/>
  <c r="H6" i="37"/>
  <c r="C6" i="37"/>
  <c r="AB5" i="37"/>
  <c r="AD5" i="37" s="1"/>
  <c r="Y5" i="37"/>
  <c r="X5" i="37"/>
  <c r="P5" i="37"/>
  <c r="O5" i="37"/>
  <c r="M5" i="37"/>
  <c r="J5" i="37"/>
  <c r="H5" i="37"/>
  <c r="C5" i="37"/>
  <c r="AB4" i="37"/>
  <c r="AD4" i="37" s="1"/>
  <c r="Y4" i="37"/>
  <c r="X4" i="37"/>
  <c r="P4" i="37"/>
  <c r="O4" i="37"/>
  <c r="M4" i="37"/>
  <c r="H4" i="37"/>
  <c r="C4" i="37"/>
  <c r="AG3" i="37"/>
  <c r="AF3" i="37"/>
  <c r="W3" i="37"/>
  <c r="V3" i="37"/>
  <c r="U3" i="37"/>
  <c r="T3" i="37"/>
  <c r="O3" i="37"/>
  <c r="G3" i="37"/>
  <c r="F3" i="37"/>
  <c r="D3" i="37"/>
  <c r="A2" i="37"/>
  <c r="A1" i="37"/>
  <c r="AB31" i="36"/>
  <c r="AD31" i="36" s="1"/>
  <c r="J31" i="36" s="1"/>
  <c r="I31" i="36" s="1"/>
  <c r="Y31" i="36"/>
  <c r="X31" i="36"/>
  <c r="P31" i="36"/>
  <c r="O31" i="36"/>
  <c r="Q31" i="36" s="1"/>
  <c r="M31" i="36"/>
  <c r="K31" i="36"/>
  <c r="H31" i="36"/>
  <c r="C31" i="36"/>
  <c r="AB30" i="36"/>
  <c r="AD30" i="36" s="1"/>
  <c r="J30" i="36" s="1"/>
  <c r="Y30" i="36"/>
  <c r="X30" i="36"/>
  <c r="P30" i="36"/>
  <c r="O30" i="36"/>
  <c r="M30" i="36"/>
  <c r="H30" i="36"/>
  <c r="C30" i="36"/>
  <c r="AB29" i="36"/>
  <c r="AD29" i="36" s="1"/>
  <c r="J29" i="36" s="1"/>
  <c r="Y29" i="36"/>
  <c r="X29" i="36"/>
  <c r="P29" i="36"/>
  <c r="O29" i="36"/>
  <c r="M29" i="36"/>
  <c r="H29" i="36"/>
  <c r="C29" i="36"/>
  <c r="AB28" i="36"/>
  <c r="AD28" i="36" s="1"/>
  <c r="J28" i="36" s="1"/>
  <c r="Y28" i="36"/>
  <c r="X28" i="36"/>
  <c r="P28" i="36"/>
  <c r="O28" i="36"/>
  <c r="M28" i="36"/>
  <c r="H28" i="36"/>
  <c r="C28" i="36"/>
  <c r="AD27" i="36"/>
  <c r="J27" i="36" s="1"/>
  <c r="AB27" i="36"/>
  <c r="Y27" i="36"/>
  <c r="X27" i="36"/>
  <c r="P27" i="36"/>
  <c r="O27" i="36"/>
  <c r="Q27" i="36" s="1"/>
  <c r="M27" i="36"/>
  <c r="H27" i="36"/>
  <c r="C27" i="36"/>
  <c r="AD26" i="36"/>
  <c r="J26" i="36" s="1"/>
  <c r="I26" i="36" s="1"/>
  <c r="AB26" i="36"/>
  <c r="Y26" i="36"/>
  <c r="X26" i="36"/>
  <c r="P26" i="36"/>
  <c r="O26" i="36"/>
  <c r="Q26" i="36" s="1"/>
  <c r="M26" i="36"/>
  <c r="K26" i="36"/>
  <c r="H26" i="36"/>
  <c r="C26" i="36"/>
  <c r="AB25" i="36"/>
  <c r="AD25" i="36" s="1"/>
  <c r="J25" i="36" s="1"/>
  <c r="Y25" i="36"/>
  <c r="X25" i="36"/>
  <c r="Q25" i="36"/>
  <c r="P25" i="36"/>
  <c r="O25" i="36"/>
  <c r="M25" i="36"/>
  <c r="H25" i="36"/>
  <c r="C25" i="36"/>
  <c r="AB24" i="36"/>
  <c r="AD24" i="36" s="1"/>
  <c r="J24" i="36" s="1"/>
  <c r="Y24" i="36"/>
  <c r="X24" i="36"/>
  <c r="P24" i="36"/>
  <c r="O24" i="36"/>
  <c r="M24" i="36"/>
  <c r="H24" i="36"/>
  <c r="C24" i="36"/>
  <c r="AB23" i="36"/>
  <c r="AD23" i="36" s="1"/>
  <c r="J23" i="36" s="1"/>
  <c r="K23" i="36" s="1"/>
  <c r="Y23" i="36"/>
  <c r="X23" i="36"/>
  <c r="P23" i="36"/>
  <c r="O23" i="36"/>
  <c r="Q23" i="36" s="1"/>
  <c r="M23" i="36"/>
  <c r="H23" i="36"/>
  <c r="C23" i="36"/>
  <c r="AD22" i="36"/>
  <c r="J22" i="36" s="1"/>
  <c r="AB22" i="36"/>
  <c r="Y22" i="36"/>
  <c r="X22" i="36"/>
  <c r="P22" i="36"/>
  <c r="O22" i="36"/>
  <c r="M22" i="36"/>
  <c r="H22" i="36"/>
  <c r="C22" i="36"/>
  <c r="AB21" i="36"/>
  <c r="AD21" i="36" s="1"/>
  <c r="J21" i="36" s="1"/>
  <c r="Y21" i="36"/>
  <c r="X21" i="36"/>
  <c r="P21" i="36"/>
  <c r="O21" i="36"/>
  <c r="Q21" i="36" s="1"/>
  <c r="M21" i="36"/>
  <c r="H21" i="36"/>
  <c r="C21" i="36"/>
  <c r="AB20" i="36"/>
  <c r="AD20" i="36" s="1"/>
  <c r="J20" i="36" s="1"/>
  <c r="Y20" i="36"/>
  <c r="X20" i="36"/>
  <c r="P20" i="36"/>
  <c r="O20" i="36"/>
  <c r="Q20" i="36" s="1"/>
  <c r="M20" i="36"/>
  <c r="H20" i="36"/>
  <c r="C20" i="36"/>
  <c r="AB19" i="36"/>
  <c r="AD19" i="36" s="1"/>
  <c r="J19" i="36" s="1"/>
  <c r="Y19" i="36"/>
  <c r="X19" i="36"/>
  <c r="P19" i="36"/>
  <c r="O19" i="36"/>
  <c r="M19" i="36"/>
  <c r="H19" i="36"/>
  <c r="C19" i="36"/>
  <c r="AB18" i="36"/>
  <c r="AD18" i="36" s="1"/>
  <c r="J18" i="36" s="1"/>
  <c r="Y18" i="36"/>
  <c r="X18" i="36"/>
  <c r="P18" i="36"/>
  <c r="O18" i="36"/>
  <c r="Q18" i="36" s="1"/>
  <c r="M18" i="36"/>
  <c r="H18" i="36"/>
  <c r="C18" i="36"/>
  <c r="AB17" i="36"/>
  <c r="AD17" i="36" s="1"/>
  <c r="J17" i="36" s="1"/>
  <c r="Y17" i="36"/>
  <c r="X17" i="36"/>
  <c r="P17" i="36"/>
  <c r="O17" i="36"/>
  <c r="M17" i="36"/>
  <c r="H17" i="36"/>
  <c r="C17" i="36"/>
  <c r="AB16" i="36"/>
  <c r="AD16" i="36" s="1"/>
  <c r="Y16" i="36"/>
  <c r="X16" i="36"/>
  <c r="P16" i="36"/>
  <c r="O16" i="36"/>
  <c r="Q16" i="36" s="1"/>
  <c r="M16" i="36"/>
  <c r="J16" i="36"/>
  <c r="H16" i="36"/>
  <c r="C16" i="36"/>
  <c r="AD15" i="36"/>
  <c r="J15" i="36" s="1"/>
  <c r="K15" i="36" s="1"/>
  <c r="AB15" i="36"/>
  <c r="Y15" i="36"/>
  <c r="X15" i="36"/>
  <c r="P15" i="36"/>
  <c r="O15" i="36"/>
  <c r="Q15" i="36" s="1"/>
  <c r="M15" i="36"/>
  <c r="I15" i="36"/>
  <c r="H15" i="36"/>
  <c r="C15" i="36"/>
  <c r="AB14" i="36"/>
  <c r="AD14" i="36" s="1"/>
  <c r="J14" i="36" s="1"/>
  <c r="Y14" i="36"/>
  <c r="X14" i="36"/>
  <c r="P14" i="36"/>
  <c r="O14" i="36"/>
  <c r="M14" i="36"/>
  <c r="H14" i="36"/>
  <c r="C14" i="36"/>
  <c r="AD13" i="36"/>
  <c r="J13" i="36" s="1"/>
  <c r="K13" i="36" s="1"/>
  <c r="AB13" i="36"/>
  <c r="Y13" i="36"/>
  <c r="X13" i="36"/>
  <c r="P13" i="36"/>
  <c r="O13" i="36"/>
  <c r="M13" i="36"/>
  <c r="I13" i="36"/>
  <c r="H13" i="36"/>
  <c r="C13" i="36"/>
  <c r="AB12" i="36"/>
  <c r="AD12" i="36" s="1"/>
  <c r="J12" i="36" s="1"/>
  <c r="Y12" i="36"/>
  <c r="X12" i="36"/>
  <c r="P12" i="36"/>
  <c r="O12" i="36"/>
  <c r="Q12" i="36" s="1"/>
  <c r="M12" i="36"/>
  <c r="H12" i="36"/>
  <c r="C12" i="36"/>
  <c r="AB11" i="36"/>
  <c r="AD11" i="36" s="1"/>
  <c r="J11" i="36" s="1"/>
  <c r="I11" i="36" s="1"/>
  <c r="Y11" i="36"/>
  <c r="X11" i="36"/>
  <c r="P11" i="36"/>
  <c r="O11" i="36"/>
  <c r="Q11" i="36" s="1"/>
  <c r="M11" i="36"/>
  <c r="H11" i="36"/>
  <c r="C11" i="36"/>
  <c r="AB10" i="36"/>
  <c r="AD10" i="36" s="1"/>
  <c r="J10" i="36" s="1"/>
  <c r="Y10" i="36"/>
  <c r="X10" i="36"/>
  <c r="P10" i="36"/>
  <c r="O10" i="36"/>
  <c r="Q10" i="36" s="1"/>
  <c r="M10" i="36"/>
  <c r="H10" i="36"/>
  <c r="C10" i="36"/>
  <c r="AB9" i="36"/>
  <c r="AD9" i="36" s="1"/>
  <c r="J9" i="36" s="1"/>
  <c r="Y9" i="36"/>
  <c r="X9" i="36"/>
  <c r="P9" i="36"/>
  <c r="O9" i="36"/>
  <c r="Q9" i="36" s="1"/>
  <c r="M9" i="36"/>
  <c r="H9" i="36"/>
  <c r="C9" i="36"/>
  <c r="AB8" i="36"/>
  <c r="AD8" i="36" s="1"/>
  <c r="Y8" i="36"/>
  <c r="X8" i="36"/>
  <c r="P8" i="36"/>
  <c r="O8" i="36"/>
  <c r="M8" i="36"/>
  <c r="J8" i="36"/>
  <c r="H8" i="36"/>
  <c r="C8" i="36"/>
  <c r="AB7" i="36"/>
  <c r="AD7" i="36" s="1"/>
  <c r="J7" i="36" s="1"/>
  <c r="Y7" i="36"/>
  <c r="X7" i="36"/>
  <c r="P7" i="36"/>
  <c r="O7" i="36"/>
  <c r="Q7" i="36" s="1"/>
  <c r="M7" i="36"/>
  <c r="H7" i="36"/>
  <c r="C7" i="36"/>
  <c r="AD6" i="36"/>
  <c r="J6" i="36" s="1"/>
  <c r="AB6" i="36"/>
  <c r="Y6" i="36"/>
  <c r="X6" i="36"/>
  <c r="P6" i="36"/>
  <c r="O6" i="36"/>
  <c r="M6" i="36"/>
  <c r="H6" i="36"/>
  <c r="C6" i="36"/>
  <c r="AB5" i="36"/>
  <c r="AD5" i="36" s="1"/>
  <c r="J5" i="36" s="1"/>
  <c r="Y5" i="36"/>
  <c r="X5" i="36"/>
  <c r="P5" i="36"/>
  <c r="O5" i="36"/>
  <c r="Q5" i="36" s="1"/>
  <c r="M5" i="36"/>
  <c r="H5" i="36"/>
  <c r="C5" i="36"/>
  <c r="AB4" i="36"/>
  <c r="AD4" i="36" s="1"/>
  <c r="Y4" i="36"/>
  <c r="X4" i="36"/>
  <c r="P4" i="36"/>
  <c r="O4" i="36"/>
  <c r="M4" i="36"/>
  <c r="J4" i="36"/>
  <c r="H4" i="36"/>
  <c r="C4" i="36"/>
  <c r="AG3" i="36"/>
  <c r="AF3" i="36"/>
  <c r="W3" i="36"/>
  <c r="X3" i="36" s="1"/>
  <c r="V3" i="36"/>
  <c r="U3" i="36"/>
  <c r="T3" i="36"/>
  <c r="O3" i="36"/>
  <c r="G3" i="36"/>
  <c r="F3" i="36"/>
  <c r="D3" i="36"/>
  <c r="A2" i="36"/>
  <c r="A1" i="36"/>
  <c r="AB31" i="35"/>
  <c r="AD31" i="35" s="1"/>
  <c r="J31" i="35" s="1"/>
  <c r="K31" i="35" s="1"/>
  <c r="Y31" i="35"/>
  <c r="X31" i="35"/>
  <c r="P31" i="35"/>
  <c r="O31" i="35"/>
  <c r="Q31" i="35" s="1"/>
  <c r="M31" i="35"/>
  <c r="I31" i="35"/>
  <c r="H31" i="35"/>
  <c r="C31" i="35"/>
  <c r="AB30" i="35"/>
  <c r="AD30" i="35" s="1"/>
  <c r="J30" i="35" s="1"/>
  <c r="Y30" i="35"/>
  <c r="X30" i="35"/>
  <c r="P30" i="35"/>
  <c r="O30" i="35"/>
  <c r="M30" i="35"/>
  <c r="H30" i="35"/>
  <c r="C30" i="35"/>
  <c r="AB29" i="35"/>
  <c r="AD29" i="35" s="1"/>
  <c r="J29" i="35" s="1"/>
  <c r="Y29" i="35"/>
  <c r="X29" i="35"/>
  <c r="Q29" i="35"/>
  <c r="P29" i="35"/>
  <c r="O29" i="35"/>
  <c r="M29" i="35"/>
  <c r="H29" i="35"/>
  <c r="C29" i="35"/>
  <c r="AB28" i="35"/>
  <c r="AD28" i="35" s="1"/>
  <c r="J28" i="35" s="1"/>
  <c r="I28" i="35" s="1"/>
  <c r="Y28" i="35"/>
  <c r="X28" i="35"/>
  <c r="P28" i="35"/>
  <c r="O28" i="35"/>
  <c r="Q28" i="35" s="1"/>
  <c r="M28" i="35"/>
  <c r="H28" i="35"/>
  <c r="C28" i="35"/>
  <c r="AB27" i="35"/>
  <c r="AD27" i="35" s="1"/>
  <c r="J27" i="35" s="1"/>
  <c r="Y27" i="35"/>
  <c r="X27" i="35"/>
  <c r="P27" i="35"/>
  <c r="O27" i="35"/>
  <c r="Q27" i="35" s="1"/>
  <c r="M27" i="35"/>
  <c r="H27" i="35"/>
  <c r="C27" i="35"/>
  <c r="AB26" i="35"/>
  <c r="AD26" i="35" s="1"/>
  <c r="J26" i="35" s="1"/>
  <c r="Y26" i="35"/>
  <c r="X26" i="35"/>
  <c r="P26" i="35"/>
  <c r="O26" i="35"/>
  <c r="Q26" i="35" s="1"/>
  <c r="M26" i="35"/>
  <c r="H26" i="35"/>
  <c r="C26" i="35"/>
  <c r="AB25" i="35"/>
  <c r="AD25" i="35" s="1"/>
  <c r="Y25" i="35"/>
  <c r="X25" i="35"/>
  <c r="P25" i="35"/>
  <c r="Q25" i="35" s="1"/>
  <c r="O25" i="35"/>
  <c r="M25" i="35"/>
  <c r="J25" i="35"/>
  <c r="K25" i="35" s="1"/>
  <c r="H25" i="35"/>
  <c r="C25" i="35"/>
  <c r="AB24" i="35"/>
  <c r="AD24" i="35" s="1"/>
  <c r="J24" i="35" s="1"/>
  <c r="Y24" i="35"/>
  <c r="X24" i="35"/>
  <c r="Q24" i="35"/>
  <c r="P24" i="35"/>
  <c r="O24" i="35"/>
  <c r="M24" i="35"/>
  <c r="H24" i="35"/>
  <c r="C24" i="35"/>
  <c r="AD23" i="35"/>
  <c r="J23" i="35" s="1"/>
  <c r="AB23" i="35"/>
  <c r="Y23" i="35"/>
  <c r="X23" i="35"/>
  <c r="P23" i="35"/>
  <c r="O23" i="35"/>
  <c r="Q23" i="35" s="1"/>
  <c r="M23" i="35"/>
  <c r="H23" i="35"/>
  <c r="C23" i="35"/>
  <c r="AB22" i="35"/>
  <c r="AD22" i="35" s="1"/>
  <c r="J22" i="35" s="1"/>
  <c r="K22" i="35" s="1"/>
  <c r="Y22" i="35"/>
  <c r="X22" i="35"/>
  <c r="P22" i="35"/>
  <c r="O22" i="35"/>
  <c r="M22" i="35"/>
  <c r="I22" i="35"/>
  <c r="H22" i="35"/>
  <c r="C22" i="35"/>
  <c r="AD21" i="35"/>
  <c r="J21" i="35" s="1"/>
  <c r="I21" i="35" s="1"/>
  <c r="AB21" i="35"/>
  <c r="Y21" i="35"/>
  <c r="X21" i="35"/>
  <c r="P21" i="35"/>
  <c r="O21" i="35"/>
  <c r="Q21" i="35" s="1"/>
  <c r="M21" i="35"/>
  <c r="K21" i="35"/>
  <c r="H21" i="35"/>
  <c r="C21" i="35"/>
  <c r="AB20" i="35"/>
  <c r="AD20" i="35" s="1"/>
  <c r="J20" i="35" s="1"/>
  <c r="Y20" i="35"/>
  <c r="X20" i="35"/>
  <c r="P20" i="35"/>
  <c r="O20" i="35"/>
  <c r="Q20" i="35" s="1"/>
  <c r="M20" i="35"/>
  <c r="H20" i="35"/>
  <c r="C20" i="35"/>
  <c r="AB19" i="35"/>
  <c r="AD19" i="35" s="1"/>
  <c r="J19" i="35" s="1"/>
  <c r="K19" i="35" s="1"/>
  <c r="Y19" i="35"/>
  <c r="X19" i="35"/>
  <c r="Q19" i="35"/>
  <c r="P19" i="35"/>
  <c r="O19" i="35"/>
  <c r="M19" i="35"/>
  <c r="H19" i="35"/>
  <c r="C19" i="35"/>
  <c r="AB18" i="35"/>
  <c r="AD18" i="35" s="1"/>
  <c r="J18" i="35" s="1"/>
  <c r="Y18" i="35"/>
  <c r="X18" i="35"/>
  <c r="P18" i="35"/>
  <c r="O18" i="35"/>
  <c r="Q18" i="35" s="1"/>
  <c r="M18" i="35"/>
  <c r="H18" i="35"/>
  <c r="C18" i="35"/>
  <c r="AB17" i="35"/>
  <c r="AD17" i="35" s="1"/>
  <c r="J17" i="35" s="1"/>
  <c r="Y17" i="35"/>
  <c r="X17" i="35"/>
  <c r="P17" i="35"/>
  <c r="O17" i="35"/>
  <c r="Q17" i="35" s="1"/>
  <c r="M17" i="35"/>
  <c r="H17" i="35"/>
  <c r="C17" i="35"/>
  <c r="AD16" i="35"/>
  <c r="J16" i="35" s="1"/>
  <c r="AB16" i="35"/>
  <c r="Y16" i="35"/>
  <c r="X16" i="35"/>
  <c r="P16" i="35"/>
  <c r="O16" i="35"/>
  <c r="Q16" i="35" s="1"/>
  <c r="M16" i="35"/>
  <c r="H16" i="35"/>
  <c r="C16" i="35"/>
  <c r="AB15" i="35"/>
  <c r="AD15" i="35" s="1"/>
  <c r="J15" i="35" s="1"/>
  <c r="Y15" i="35"/>
  <c r="X15" i="35"/>
  <c r="P15" i="35"/>
  <c r="O15" i="35"/>
  <c r="M15" i="35"/>
  <c r="H15" i="35"/>
  <c r="C15" i="35"/>
  <c r="AB14" i="35"/>
  <c r="AD14" i="35" s="1"/>
  <c r="J14" i="35" s="1"/>
  <c r="Y14" i="35"/>
  <c r="X14" i="35"/>
  <c r="P14" i="35"/>
  <c r="O14" i="35"/>
  <c r="M14" i="35"/>
  <c r="H14" i="35"/>
  <c r="C14" i="35"/>
  <c r="AB13" i="35"/>
  <c r="AD13" i="35" s="1"/>
  <c r="J13" i="35" s="1"/>
  <c r="I13" i="35" s="1"/>
  <c r="Y13" i="35"/>
  <c r="X13" i="35"/>
  <c r="P13" i="35"/>
  <c r="O13" i="35"/>
  <c r="M13" i="35"/>
  <c r="K13" i="35"/>
  <c r="H13" i="35"/>
  <c r="C13" i="35"/>
  <c r="AD12" i="35"/>
  <c r="J12" i="35" s="1"/>
  <c r="I12" i="35" s="1"/>
  <c r="AB12" i="35"/>
  <c r="Y12" i="35"/>
  <c r="X12" i="35"/>
  <c r="P12" i="35"/>
  <c r="Q12" i="35" s="1"/>
  <c r="O12" i="35"/>
  <c r="M12" i="35"/>
  <c r="K12" i="35"/>
  <c r="H12" i="35"/>
  <c r="C12" i="35"/>
  <c r="AB11" i="35"/>
  <c r="AD11" i="35" s="1"/>
  <c r="J11" i="35" s="1"/>
  <c r="Y11" i="35"/>
  <c r="X11" i="35"/>
  <c r="P11" i="35"/>
  <c r="O11" i="35"/>
  <c r="Q11" i="35" s="1"/>
  <c r="M11" i="35"/>
  <c r="H11" i="35"/>
  <c r="C11" i="35"/>
  <c r="AB10" i="35"/>
  <c r="AD10" i="35" s="1"/>
  <c r="J10" i="35" s="1"/>
  <c r="Y10" i="35"/>
  <c r="X10" i="35"/>
  <c r="P10" i="35"/>
  <c r="O10" i="35"/>
  <c r="M10" i="35"/>
  <c r="H10" i="35"/>
  <c r="C10" i="35"/>
  <c r="AB9" i="35"/>
  <c r="AD9" i="35" s="1"/>
  <c r="Y9" i="35"/>
  <c r="X9" i="35"/>
  <c r="P9" i="35"/>
  <c r="O9" i="35"/>
  <c r="Q9" i="35" s="1"/>
  <c r="M9" i="35"/>
  <c r="H9" i="35"/>
  <c r="C9" i="35"/>
  <c r="AB8" i="35"/>
  <c r="AD8" i="35" s="1"/>
  <c r="J8" i="35" s="1"/>
  <c r="Y8" i="35"/>
  <c r="X8" i="35"/>
  <c r="P8" i="35"/>
  <c r="O8" i="35"/>
  <c r="Q8" i="35" s="1"/>
  <c r="M8" i="35"/>
  <c r="H8" i="35"/>
  <c r="C8" i="35"/>
  <c r="AD7" i="35"/>
  <c r="J7" i="35" s="1"/>
  <c r="AB7" i="35"/>
  <c r="Y7" i="35"/>
  <c r="X7" i="35"/>
  <c r="P7" i="35"/>
  <c r="O7" i="35"/>
  <c r="Q7" i="35" s="1"/>
  <c r="M7" i="35"/>
  <c r="K7" i="35"/>
  <c r="I7" i="35"/>
  <c r="H7" i="35"/>
  <c r="C7" i="35"/>
  <c r="AB6" i="35"/>
  <c r="AD6" i="35" s="1"/>
  <c r="J6" i="35" s="1"/>
  <c r="Y6" i="35"/>
  <c r="X6" i="35"/>
  <c r="P6" i="35"/>
  <c r="O6" i="35"/>
  <c r="M6" i="35"/>
  <c r="H6" i="35"/>
  <c r="C6" i="35"/>
  <c r="AD5" i="35"/>
  <c r="J5" i="35" s="1"/>
  <c r="AB5" i="35"/>
  <c r="Y5" i="35"/>
  <c r="X5" i="35"/>
  <c r="P5" i="35"/>
  <c r="O5" i="35"/>
  <c r="M5" i="35"/>
  <c r="H5" i="35"/>
  <c r="C5" i="35"/>
  <c r="AB4" i="35"/>
  <c r="AD4" i="35" s="1"/>
  <c r="J4" i="35" s="1"/>
  <c r="Y4" i="35"/>
  <c r="X4" i="35"/>
  <c r="P4" i="35"/>
  <c r="O4" i="35"/>
  <c r="Q4" i="35" s="1"/>
  <c r="M4" i="35"/>
  <c r="H4" i="35"/>
  <c r="C4" i="35"/>
  <c r="AG3" i="35"/>
  <c r="AF3" i="35"/>
  <c r="W3" i="35"/>
  <c r="X3" i="35" s="1"/>
  <c r="V3" i="35"/>
  <c r="U3" i="35"/>
  <c r="T3" i="35"/>
  <c r="O3" i="35"/>
  <c r="G3" i="35"/>
  <c r="H3" i="35" s="1"/>
  <c r="F3" i="35"/>
  <c r="D3" i="35"/>
  <c r="A2" i="35"/>
  <c r="A1" i="35"/>
  <c r="AB31" i="34"/>
  <c r="AD31" i="34" s="1"/>
  <c r="J31" i="34" s="1"/>
  <c r="Y31" i="34"/>
  <c r="X31" i="34"/>
  <c r="P31" i="34"/>
  <c r="O31" i="34"/>
  <c r="M31" i="34"/>
  <c r="H31" i="34"/>
  <c r="C31" i="34"/>
  <c r="AB30" i="34"/>
  <c r="AD30" i="34" s="1"/>
  <c r="J30" i="34" s="1"/>
  <c r="Y30" i="34"/>
  <c r="X30" i="34"/>
  <c r="P30" i="34"/>
  <c r="O30" i="34"/>
  <c r="Q30" i="34" s="1"/>
  <c r="M30" i="34"/>
  <c r="H30" i="34"/>
  <c r="C30" i="34"/>
  <c r="AB29" i="34"/>
  <c r="AD29" i="34" s="1"/>
  <c r="J29" i="34" s="1"/>
  <c r="K29" i="34" s="1"/>
  <c r="Y29" i="34"/>
  <c r="X29" i="34"/>
  <c r="P29" i="34"/>
  <c r="Q29" i="34" s="1"/>
  <c r="O29" i="34"/>
  <c r="M29" i="34"/>
  <c r="I29" i="34"/>
  <c r="H29" i="34"/>
  <c r="C29" i="34"/>
  <c r="AB28" i="34"/>
  <c r="AD28" i="34" s="1"/>
  <c r="J28" i="34" s="1"/>
  <c r="Y28" i="34"/>
  <c r="X28" i="34"/>
  <c r="P28" i="34"/>
  <c r="O28" i="34"/>
  <c r="Q28" i="34" s="1"/>
  <c r="M28" i="34"/>
  <c r="H28" i="34"/>
  <c r="C28" i="34"/>
  <c r="AB27" i="34"/>
  <c r="AD27" i="34" s="1"/>
  <c r="J27" i="34" s="1"/>
  <c r="Y27" i="34"/>
  <c r="X27" i="34"/>
  <c r="P27" i="34"/>
  <c r="O27" i="34"/>
  <c r="Q27" i="34" s="1"/>
  <c r="M27" i="34"/>
  <c r="H27" i="34"/>
  <c r="C27" i="34"/>
  <c r="AB26" i="34"/>
  <c r="AD26" i="34" s="1"/>
  <c r="J26" i="34" s="1"/>
  <c r="Y26" i="34"/>
  <c r="X26" i="34"/>
  <c r="P26" i="34"/>
  <c r="O26" i="34"/>
  <c r="Q26" i="34" s="1"/>
  <c r="M26" i="34"/>
  <c r="H26" i="34"/>
  <c r="C26" i="34"/>
  <c r="AB25" i="34"/>
  <c r="AD25" i="34" s="1"/>
  <c r="J25" i="34" s="1"/>
  <c r="Y25" i="34"/>
  <c r="X25" i="34"/>
  <c r="P25" i="34"/>
  <c r="O25" i="34"/>
  <c r="M25" i="34"/>
  <c r="H25" i="34"/>
  <c r="C25" i="34"/>
  <c r="AB24" i="34"/>
  <c r="AD24" i="34" s="1"/>
  <c r="J24" i="34" s="1"/>
  <c r="Y24" i="34"/>
  <c r="X24" i="34"/>
  <c r="P24" i="34"/>
  <c r="O24" i="34"/>
  <c r="Q24" i="34" s="1"/>
  <c r="M24" i="34"/>
  <c r="H24" i="34"/>
  <c r="C24" i="34"/>
  <c r="AB23" i="34"/>
  <c r="AD23" i="34" s="1"/>
  <c r="J23" i="34" s="1"/>
  <c r="I23" i="34" s="1"/>
  <c r="Y23" i="34"/>
  <c r="X23" i="34"/>
  <c r="P23" i="34"/>
  <c r="O23" i="34"/>
  <c r="M23" i="34"/>
  <c r="K23" i="34"/>
  <c r="H23" i="34"/>
  <c r="C23" i="34"/>
  <c r="AD22" i="34"/>
  <c r="J22" i="34" s="1"/>
  <c r="I22" i="34" s="1"/>
  <c r="AB22" i="34"/>
  <c r="Y22" i="34"/>
  <c r="X22" i="34"/>
  <c r="P22" i="34"/>
  <c r="Q22" i="34" s="1"/>
  <c r="O22" i="34"/>
  <c r="M22" i="34"/>
  <c r="H22" i="34"/>
  <c r="C22" i="34"/>
  <c r="AB21" i="34"/>
  <c r="AD21" i="34" s="1"/>
  <c r="J21" i="34" s="1"/>
  <c r="Y21" i="34"/>
  <c r="X21" i="34"/>
  <c r="Q21" i="34"/>
  <c r="P21" i="34"/>
  <c r="O21" i="34"/>
  <c r="M21" i="34"/>
  <c r="H21" i="34"/>
  <c r="C21" i="34"/>
  <c r="AB20" i="34"/>
  <c r="AD20" i="34" s="1"/>
  <c r="J20" i="34" s="1"/>
  <c r="Y20" i="34"/>
  <c r="X20" i="34"/>
  <c r="P20" i="34"/>
  <c r="O20" i="34"/>
  <c r="Q20" i="34" s="1"/>
  <c r="M20" i="34"/>
  <c r="H20" i="34"/>
  <c r="C20" i="34"/>
  <c r="AD19" i="34"/>
  <c r="J19" i="34" s="1"/>
  <c r="AB19" i="34"/>
  <c r="Y19" i="34"/>
  <c r="X19" i="34"/>
  <c r="P19" i="34"/>
  <c r="Q19" i="34" s="1"/>
  <c r="O19" i="34"/>
  <c r="M19" i="34"/>
  <c r="H19" i="34"/>
  <c r="C19" i="34"/>
  <c r="AD18" i="34"/>
  <c r="J18" i="34" s="1"/>
  <c r="AB18" i="34"/>
  <c r="Y18" i="34"/>
  <c r="X18" i="34"/>
  <c r="P18" i="34"/>
  <c r="O18" i="34"/>
  <c r="Q18" i="34" s="1"/>
  <c r="M18" i="34"/>
  <c r="H18" i="34"/>
  <c r="C18" i="34"/>
  <c r="AB17" i="34"/>
  <c r="AD17" i="34" s="1"/>
  <c r="J17" i="34" s="1"/>
  <c r="Y17" i="34"/>
  <c r="X17" i="34"/>
  <c r="P17" i="34"/>
  <c r="O17" i="34"/>
  <c r="M17" i="34"/>
  <c r="H17" i="34"/>
  <c r="C17" i="34"/>
  <c r="AB16" i="34"/>
  <c r="AD16" i="34" s="1"/>
  <c r="Y16" i="34"/>
  <c r="X16" i="34"/>
  <c r="P16" i="34"/>
  <c r="O16" i="34"/>
  <c r="M16" i="34"/>
  <c r="J16" i="34"/>
  <c r="K16" i="34" s="1"/>
  <c r="H16" i="34"/>
  <c r="C16" i="34"/>
  <c r="AB15" i="34"/>
  <c r="AD15" i="34" s="1"/>
  <c r="J15" i="34" s="1"/>
  <c r="Y15" i="34"/>
  <c r="X15" i="34"/>
  <c r="P15" i="34"/>
  <c r="Q15" i="34" s="1"/>
  <c r="O15" i="34"/>
  <c r="M15" i="34"/>
  <c r="H15" i="34"/>
  <c r="C15" i="34"/>
  <c r="AB14" i="34"/>
  <c r="AD14" i="34" s="1"/>
  <c r="J14" i="34" s="1"/>
  <c r="Y14" i="34"/>
  <c r="X14" i="34"/>
  <c r="P14" i="34"/>
  <c r="O14" i="34"/>
  <c r="Q14" i="34" s="1"/>
  <c r="M14" i="34"/>
  <c r="H14" i="34"/>
  <c r="C14" i="34"/>
  <c r="AB13" i="34"/>
  <c r="AD13" i="34" s="1"/>
  <c r="J13" i="34" s="1"/>
  <c r="K13" i="34" s="1"/>
  <c r="Y13" i="34"/>
  <c r="X13" i="34"/>
  <c r="P13" i="34"/>
  <c r="O13" i="34"/>
  <c r="Q13" i="34" s="1"/>
  <c r="M13" i="34"/>
  <c r="H13" i="34"/>
  <c r="C13" i="34"/>
  <c r="AB12" i="34"/>
  <c r="AD12" i="34" s="1"/>
  <c r="J12" i="34" s="1"/>
  <c r="Y12" i="34"/>
  <c r="X12" i="34"/>
  <c r="P12" i="34"/>
  <c r="O12" i="34"/>
  <c r="Q12" i="34" s="1"/>
  <c r="M12" i="34"/>
  <c r="H12" i="34"/>
  <c r="C12" i="34"/>
  <c r="AB11" i="34"/>
  <c r="AD11" i="34" s="1"/>
  <c r="J11" i="34" s="1"/>
  <c r="Y11" i="34"/>
  <c r="X11" i="34"/>
  <c r="P11" i="34"/>
  <c r="O11" i="34"/>
  <c r="Q11" i="34" s="1"/>
  <c r="M11" i="34"/>
  <c r="H11" i="34"/>
  <c r="C11" i="34"/>
  <c r="AB10" i="34"/>
  <c r="AD10" i="34" s="1"/>
  <c r="J10" i="34" s="1"/>
  <c r="Y10" i="34"/>
  <c r="X10" i="34"/>
  <c r="Q10" i="34"/>
  <c r="P10" i="34"/>
  <c r="O10" i="34"/>
  <c r="M10" i="34"/>
  <c r="H10" i="34"/>
  <c r="C10" i="34"/>
  <c r="AD9" i="34"/>
  <c r="J9" i="34" s="1"/>
  <c r="K9" i="34" s="1"/>
  <c r="AB9" i="34"/>
  <c r="Y9" i="34"/>
  <c r="X9" i="34"/>
  <c r="P9" i="34"/>
  <c r="O9" i="34"/>
  <c r="Q9" i="34" s="1"/>
  <c r="M9" i="34"/>
  <c r="H9" i="34"/>
  <c r="C9" i="34"/>
  <c r="AB8" i="34"/>
  <c r="AD8" i="34" s="1"/>
  <c r="J8" i="34" s="1"/>
  <c r="Y8" i="34"/>
  <c r="X8" i="34"/>
  <c r="P8" i="34"/>
  <c r="O8" i="34"/>
  <c r="M8" i="34"/>
  <c r="H8" i="34"/>
  <c r="C8" i="34"/>
  <c r="AD7" i="34"/>
  <c r="J7" i="34" s="1"/>
  <c r="AB7" i="34"/>
  <c r="Y7" i="34"/>
  <c r="X7" i="34"/>
  <c r="P7" i="34"/>
  <c r="O7" i="34"/>
  <c r="Q7" i="34" s="1"/>
  <c r="M7" i="34"/>
  <c r="H7" i="34"/>
  <c r="C7" i="34"/>
  <c r="AB6" i="34"/>
  <c r="AD6" i="34" s="1"/>
  <c r="J6" i="34" s="1"/>
  <c r="Y6" i="34"/>
  <c r="X6" i="34"/>
  <c r="P6" i="34"/>
  <c r="O6" i="34"/>
  <c r="Q6" i="34" s="1"/>
  <c r="M6" i="34"/>
  <c r="H6" i="34"/>
  <c r="C6" i="34"/>
  <c r="AB5" i="34"/>
  <c r="AD5" i="34" s="1"/>
  <c r="J5" i="34" s="1"/>
  <c r="K5" i="34" s="1"/>
  <c r="Y5" i="34"/>
  <c r="X5" i="34"/>
  <c r="P5" i="34"/>
  <c r="O5" i="34"/>
  <c r="M5" i="34"/>
  <c r="I5" i="34"/>
  <c r="H5" i="34"/>
  <c r="C5" i="34"/>
  <c r="AB4" i="34"/>
  <c r="AD4" i="34" s="1"/>
  <c r="Y4" i="34"/>
  <c r="X4" i="34"/>
  <c r="P4" i="34"/>
  <c r="O4" i="34"/>
  <c r="M4" i="34"/>
  <c r="H4" i="34"/>
  <c r="C4" i="34"/>
  <c r="AG3" i="34"/>
  <c r="AF3" i="34"/>
  <c r="W3" i="34"/>
  <c r="V3" i="34"/>
  <c r="U3" i="34"/>
  <c r="T3" i="34"/>
  <c r="O3" i="34"/>
  <c r="G3" i="34"/>
  <c r="F3" i="34"/>
  <c r="D3" i="34"/>
  <c r="A2" i="34"/>
  <c r="A1" i="34"/>
  <c r="AB31" i="33"/>
  <c r="AD31" i="33" s="1"/>
  <c r="J31" i="33" s="1"/>
  <c r="K31" i="33" s="1"/>
  <c r="Y31" i="33"/>
  <c r="X31" i="33"/>
  <c r="P31" i="33"/>
  <c r="O31" i="33"/>
  <c r="M31" i="33"/>
  <c r="I31" i="33"/>
  <c r="H31" i="33"/>
  <c r="C31" i="33"/>
  <c r="AB30" i="33"/>
  <c r="AD30" i="33" s="1"/>
  <c r="Y30" i="33"/>
  <c r="X30" i="33"/>
  <c r="P30" i="33"/>
  <c r="O30" i="33"/>
  <c r="Q30" i="33" s="1"/>
  <c r="M30" i="33"/>
  <c r="J30" i="33"/>
  <c r="H30" i="33"/>
  <c r="C30" i="33"/>
  <c r="AD29" i="33"/>
  <c r="J29" i="33" s="1"/>
  <c r="K29" i="33" s="1"/>
  <c r="AB29" i="33"/>
  <c r="Y29" i="33"/>
  <c r="X29" i="33"/>
  <c r="P29" i="33"/>
  <c r="O29" i="33"/>
  <c r="Q29" i="33" s="1"/>
  <c r="M29" i="33"/>
  <c r="I29" i="33"/>
  <c r="H29" i="33"/>
  <c r="C29" i="33"/>
  <c r="AB28" i="33"/>
  <c r="AD28" i="33" s="1"/>
  <c r="J28" i="33" s="1"/>
  <c r="Y28" i="33"/>
  <c r="X28" i="33"/>
  <c r="P28" i="33"/>
  <c r="O28" i="33"/>
  <c r="M28" i="33"/>
  <c r="H28" i="33"/>
  <c r="C28" i="33"/>
  <c r="AD27" i="33"/>
  <c r="J27" i="33" s="1"/>
  <c r="K27" i="33" s="1"/>
  <c r="AB27" i="33"/>
  <c r="Y27" i="33"/>
  <c r="X27" i="33"/>
  <c r="P27" i="33"/>
  <c r="O27" i="33"/>
  <c r="M27" i="33"/>
  <c r="I27" i="33"/>
  <c r="H27" i="33"/>
  <c r="C27" i="33"/>
  <c r="AB26" i="33"/>
  <c r="AD26" i="33" s="1"/>
  <c r="J26" i="33" s="1"/>
  <c r="Y26" i="33"/>
  <c r="X26" i="33"/>
  <c r="P26" i="33"/>
  <c r="O26" i="33"/>
  <c r="Q26" i="33" s="1"/>
  <c r="M26" i="33"/>
  <c r="H26" i="33"/>
  <c r="C26" i="33"/>
  <c r="AB25" i="33"/>
  <c r="AD25" i="33" s="1"/>
  <c r="J25" i="33" s="1"/>
  <c r="Y25" i="33"/>
  <c r="X25" i="33"/>
  <c r="P25" i="33"/>
  <c r="O25" i="33"/>
  <c r="Q25" i="33" s="1"/>
  <c r="M25" i="33"/>
  <c r="H25" i="33"/>
  <c r="C25" i="33"/>
  <c r="AB24" i="33"/>
  <c r="AD24" i="33" s="1"/>
  <c r="J24" i="33" s="1"/>
  <c r="Y24" i="33"/>
  <c r="X24" i="33"/>
  <c r="P24" i="33"/>
  <c r="O24" i="33"/>
  <c r="Q24" i="33" s="1"/>
  <c r="M24" i="33"/>
  <c r="H24" i="33"/>
  <c r="C24" i="33"/>
  <c r="AB23" i="33"/>
  <c r="AD23" i="33" s="1"/>
  <c r="J23" i="33" s="1"/>
  <c r="K23" i="33" s="1"/>
  <c r="Y23" i="33"/>
  <c r="X23" i="33"/>
  <c r="P23" i="33"/>
  <c r="O23" i="33"/>
  <c r="Q23" i="33" s="1"/>
  <c r="M23" i="33"/>
  <c r="I23" i="33"/>
  <c r="H23" i="33"/>
  <c r="C23" i="33"/>
  <c r="AB22" i="33"/>
  <c r="AD22" i="33" s="1"/>
  <c r="J22" i="33" s="1"/>
  <c r="Y22" i="33"/>
  <c r="X22" i="33"/>
  <c r="P22" i="33"/>
  <c r="O22" i="33"/>
  <c r="M22" i="33"/>
  <c r="H22" i="33"/>
  <c r="C22" i="33"/>
  <c r="AB21" i="33"/>
  <c r="AD21" i="33" s="1"/>
  <c r="J21" i="33" s="1"/>
  <c r="I21" i="33" s="1"/>
  <c r="Y21" i="33"/>
  <c r="X21" i="33"/>
  <c r="P21" i="33"/>
  <c r="O21" i="33"/>
  <c r="Q21" i="33" s="1"/>
  <c r="M21" i="33"/>
  <c r="H21" i="33"/>
  <c r="C21" i="33"/>
  <c r="AB20" i="33"/>
  <c r="AD20" i="33" s="1"/>
  <c r="J20" i="33" s="1"/>
  <c r="Y20" i="33"/>
  <c r="X20" i="33"/>
  <c r="P20" i="33"/>
  <c r="Q20" i="33" s="1"/>
  <c r="O20" i="33"/>
  <c r="M20" i="33"/>
  <c r="H20" i="33"/>
  <c r="C20" i="33"/>
  <c r="AD19" i="33"/>
  <c r="J19" i="33" s="1"/>
  <c r="K19" i="33" s="1"/>
  <c r="AB19" i="33"/>
  <c r="Y19" i="33"/>
  <c r="X19" i="33"/>
  <c r="P19" i="33"/>
  <c r="O19" i="33"/>
  <c r="Q19" i="33" s="1"/>
  <c r="M19" i="33"/>
  <c r="H19" i="33"/>
  <c r="C19" i="33"/>
  <c r="AB18" i="33"/>
  <c r="AD18" i="33" s="1"/>
  <c r="J18" i="33" s="1"/>
  <c r="Y18" i="33"/>
  <c r="X18" i="33"/>
  <c r="P18" i="33"/>
  <c r="O18" i="33"/>
  <c r="M18" i="33"/>
  <c r="H18" i="33"/>
  <c r="C18" i="33"/>
  <c r="AB17" i="33"/>
  <c r="AD17" i="33" s="1"/>
  <c r="J17" i="33" s="1"/>
  <c r="I17" i="33" s="1"/>
  <c r="Y17" i="33"/>
  <c r="X17" i="33"/>
  <c r="Q17" i="33"/>
  <c r="P17" i="33"/>
  <c r="O17" i="33"/>
  <c r="M17" i="33"/>
  <c r="H17" i="33"/>
  <c r="C17" i="33"/>
  <c r="AD16" i="33"/>
  <c r="J16" i="33" s="1"/>
  <c r="I16" i="33" s="1"/>
  <c r="AB16" i="33"/>
  <c r="Y16" i="33"/>
  <c r="X16" i="33"/>
  <c r="Q16" i="33"/>
  <c r="P16" i="33"/>
  <c r="O16" i="33"/>
  <c r="M16" i="33"/>
  <c r="K16" i="33"/>
  <c r="H16" i="33"/>
  <c r="C16" i="33"/>
  <c r="AB15" i="33"/>
  <c r="AD15" i="33" s="1"/>
  <c r="J15" i="33" s="1"/>
  <c r="K15" i="33" s="1"/>
  <c r="Y15" i="33"/>
  <c r="X15" i="33"/>
  <c r="P15" i="33"/>
  <c r="O15" i="33"/>
  <c r="Q15" i="33" s="1"/>
  <c r="M15" i="33"/>
  <c r="I15" i="33"/>
  <c r="H15" i="33"/>
  <c r="C15" i="33"/>
  <c r="AB14" i="33"/>
  <c r="AD14" i="33" s="1"/>
  <c r="J14" i="33" s="1"/>
  <c r="Y14" i="33"/>
  <c r="X14" i="33"/>
  <c r="P14" i="33"/>
  <c r="O14" i="33"/>
  <c r="M14" i="33"/>
  <c r="H14" i="33"/>
  <c r="C14" i="33"/>
  <c r="AB13" i="33"/>
  <c r="AD13" i="33" s="1"/>
  <c r="J13" i="33" s="1"/>
  <c r="K13" i="33" s="1"/>
  <c r="Y13" i="33"/>
  <c r="X13" i="33"/>
  <c r="P13" i="33"/>
  <c r="O13" i="33"/>
  <c r="Q13" i="33" s="1"/>
  <c r="M13" i="33"/>
  <c r="H13" i="33"/>
  <c r="C13" i="33"/>
  <c r="AB12" i="33"/>
  <c r="AD12" i="33" s="1"/>
  <c r="J12" i="33" s="1"/>
  <c r="Y12" i="33"/>
  <c r="X12" i="33"/>
  <c r="P12" i="33"/>
  <c r="Q12" i="33" s="1"/>
  <c r="O12" i="33"/>
  <c r="M12" i="33"/>
  <c r="H12" i="33"/>
  <c r="C12" i="33"/>
  <c r="AB11" i="33"/>
  <c r="AD11" i="33" s="1"/>
  <c r="J11" i="33" s="1"/>
  <c r="Y11" i="33"/>
  <c r="X11" i="33"/>
  <c r="P11" i="33"/>
  <c r="O11" i="33"/>
  <c r="Q11" i="33" s="1"/>
  <c r="M11" i="33"/>
  <c r="H11" i="33"/>
  <c r="C11" i="33"/>
  <c r="AB10" i="33"/>
  <c r="AD10" i="33" s="1"/>
  <c r="J10" i="33" s="1"/>
  <c r="Y10" i="33"/>
  <c r="X10" i="33"/>
  <c r="P10" i="33"/>
  <c r="O10" i="33"/>
  <c r="M10" i="33"/>
  <c r="H10" i="33"/>
  <c r="C10" i="33"/>
  <c r="AD9" i="33"/>
  <c r="J9" i="33" s="1"/>
  <c r="AB9" i="33"/>
  <c r="Y9" i="33"/>
  <c r="X9" i="33"/>
  <c r="P9" i="33"/>
  <c r="O9" i="33"/>
  <c r="M9" i="33"/>
  <c r="H9" i="33"/>
  <c r="C9" i="33"/>
  <c r="AD8" i="33"/>
  <c r="J8" i="33" s="1"/>
  <c r="I8" i="33" s="1"/>
  <c r="AB8" i="33"/>
  <c r="Y8" i="33"/>
  <c r="X8" i="33"/>
  <c r="P8" i="33"/>
  <c r="O8" i="33"/>
  <c r="Q8" i="33" s="1"/>
  <c r="M8" i="33"/>
  <c r="K8" i="33"/>
  <c r="H8" i="33"/>
  <c r="C8" i="33"/>
  <c r="AB7" i="33"/>
  <c r="AD7" i="33" s="1"/>
  <c r="J7" i="33" s="1"/>
  <c r="K7" i="33" s="1"/>
  <c r="Y7" i="33"/>
  <c r="X7" i="33"/>
  <c r="Q7" i="33"/>
  <c r="P7" i="33"/>
  <c r="O7" i="33"/>
  <c r="M7" i="33"/>
  <c r="H7" i="33"/>
  <c r="C7" i="33"/>
  <c r="AB6" i="33"/>
  <c r="AD6" i="33" s="1"/>
  <c r="J6" i="33" s="1"/>
  <c r="Y6" i="33"/>
  <c r="X6" i="33"/>
  <c r="P6" i="33"/>
  <c r="O6" i="33"/>
  <c r="M6" i="33"/>
  <c r="H6" i="33"/>
  <c r="C6" i="33"/>
  <c r="AB5" i="33"/>
  <c r="AD5" i="33" s="1"/>
  <c r="Y5" i="33"/>
  <c r="X5" i="33"/>
  <c r="Q5" i="33"/>
  <c r="P5" i="33"/>
  <c r="O5" i="33"/>
  <c r="M5" i="33"/>
  <c r="H5" i="33"/>
  <c r="C5" i="33"/>
  <c r="AB4" i="33"/>
  <c r="AD4" i="33" s="1"/>
  <c r="J4" i="33" s="1"/>
  <c r="Y4" i="33"/>
  <c r="X4" i="33"/>
  <c r="P4" i="33"/>
  <c r="O4" i="33"/>
  <c r="Q4" i="33" s="1"/>
  <c r="M4" i="33"/>
  <c r="H4" i="33"/>
  <c r="C4" i="33"/>
  <c r="AG3" i="33"/>
  <c r="AF3" i="33"/>
  <c r="W3" i="33"/>
  <c r="V3" i="33"/>
  <c r="U3" i="33"/>
  <c r="T3" i="33"/>
  <c r="O3" i="33"/>
  <c r="G3" i="33"/>
  <c r="F3" i="33"/>
  <c r="D3" i="33"/>
  <c r="A2" i="33"/>
  <c r="A1" i="33"/>
  <c r="AB31" i="32"/>
  <c r="AD31" i="32" s="1"/>
  <c r="J31" i="32" s="1"/>
  <c r="Y31" i="32"/>
  <c r="X31" i="32"/>
  <c r="P31" i="32"/>
  <c r="O31" i="32"/>
  <c r="Q31" i="32" s="1"/>
  <c r="M31" i="32"/>
  <c r="H31" i="32"/>
  <c r="C31" i="32"/>
  <c r="AD30" i="32"/>
  <c r="J30" i="32" s="1"/>
  <c r="AB30" i="32"/>
  <c r="Y30" i="32"/>
  <c r="X30" i="32"/>
  <c r="P30" i="32"/>
  <c r="Q30" i="32" s="1"/>
  <c r="O30" i="32"/>
  <c r="M30" i="32"/>
  <c r="H30" i="32"/>
  <c r="C30" i="32"/>
  <c r="AD29" i="32"/>
  <c r="J29" i="32" s="1"/>
  <c r="AB29" i="32"/>
  <c r="Y29" i="32"/>
  <c r="X29" i="32"/>
  <c r="P29" i="32"/>
  <c r="O29" i="32"/>
  <c r="Q29" i="32" s="1"/>
  <c r="M29" i="32"/>
  <c r="H29" i="32"/>
  <c r="C29" i="32"/>
  <c r="AB28" i="32"/>
  <c r="AD28" i="32" s="1"/>
  <c r="J28" i="32" s="1"/>
  <c r="Y28" i="32"/>
  <c r="X28" i="32"/>
  <c r="P28" i="32"/>
  <c r="O28" i="32"/>
  <c r="M28" i="32"/>
  <c r="H28" i="32"/>
  <c r="C28" i="32"/>
  <c r="AB27" i="32"/>
  <c r="AD27" i="32" s="1"/>
  <c r="J27" i="32" s="1"/>
  <c r="Y27" i="32"/>
  <c r="X27" i="32"/>
  <c r="P27" i="32"/>
  <c r="O27" i="32"/>
  <c r="Q27" i="32" s="1"/>
  <c r="M27" i="32"/>
  <c r="H27" i="32"/>
  <c r="C27" i="32"/>
  <c r="AB26" i="32"/>
  <c r="AD26" i="32" s="1"/>
  <c r="J26" i="32" s="1"/>
  <c r="Y26" i="32"/>
  <c r="X26" i="32"/>
  <c r="P26" i="32"/>
  <c r="O26" i="32"/>
  <c r="Q26" i="32" s="1"/>
  <c r="M26" i="32"/>
  <c r="H26" i="32"/>
  <c r="C26" i="32"/>
  <c r="AB25" i="32"/>
  <c r="AD25" i="32" s="1"/>
  <c r="J25" i="32" s="1"/>
  <c r="K25" i="32" s="1"/>
  <c r="Y25" i="32"/>
  <c r="X25" i="32"/>
  <c r="P25" i="32"/>
  <c r="O25" i="32"/>
  <c r="Q25" i="32" s="1"/>
  <c r="M25" i="32"/>
  <c r="I25" i="32"/>
  <c r="H25" i="32"/>
  <c r="C25" i="32"/>
  <c r="AB24" i="32"/>
  <c r="AD24" i="32" s="1"/>
  <c r="Y24" i="32"/>
  <c r="X24" i="32"/>
  <c r="P24" i="32"/>
  <c r="O24" i="32"/>
  <c r="M24" i="32"/>
  <c r="J24" i="32"/>
  <c r="H24" i="32"/>
  <c r="C24" i="32"/>
  <c r="AB23" i="32"/>
  <c r="AD23" i="32" s="1"/>
  <c r="J23" i="32" s="1"/>
  <c r="K23" i="32" s="1"/>
  <c r="Y23" i="32"/>
  <c r="X23" i="32"/>
  <c r="P23" i="32"/>
  <c r="O23" i="32"/>
  <c r="Q23" i="32" s="1"/>
  <c r="M23" i="32"/>
  <c r="H23" i="32"/>
  <c r="C23" i="32"/>
  <c r="AB22" i="32"/>
  <c r="AD22" i="32" s="1"/>
  <c r="J22" i="32" s="1"/>
  <c r="Y22" i="32"/>
  <c r="X22" i="32"/>
  <c r="P22" i="32"/>
  <c r="Q22" i="32" s="1"/>
  <c r="O22" i="32"/>
  <c r="M22" i="32"/>
  <c r="H22" i="32"/>
  <c r="C22" i="32"/>
  <c r="AD21" i="32"/>
  <c r="J21" i="32" s="1"/>
  <c r="AB21" i="32"/>
  <c r="Y21" i="32"/>
  <c r="X21" i="32"/>
  <c r="P21" i="32"/>
  <c r="O21" i="32"/>
  <c r="Q21" i="32" s="1"/>
  <c r="M21" i="32"/>
  <c r="H21" i="32"/>
  <c r="C21" i="32"/>
  <c r="AB20" i="32"/>
  <c r="AD20" i="32" s="1"/>
  <c r="J20" i="32" s="1"/>
  <c r="K20" i="32" s="1"/>
  <c r="Y20" i="32"/>
  <c r="X20" i="32"/>
  <c r="P20" i="32"/>
  <c r="O20" i="32"/>
  <c r="M20" i="32"/>
  <c r="H20" i="32"/>
  <c r="C20" i="32"/>
  <c r="AB19" i="32"/>
  <c r="AD19" i="32" s="1"/>
  <c r="J19" i="32" s="1"/>
  <c r="Y19" i="32"/>
  <c r="X19" i="32"/>
  <c r="P19" i="32"/>
  <c r="O19" i="32"/>
  <c r="M19" i="32"/>
  <c r="H19" i="32"/>
  <c r="C19" i="32"/>
  <c r="AD18" i="32"/>
  <c r="J18" i="32" s="1"/>
  <c r="AB18" i="32"/>
  <c r="Y18" i="32"/>
  <c r="X18" i="32"/>
  <c r="P18" i="32"/>
  <c r="Q18" i="32" s="1"/>
  <c r="O18" i="32"/>
  <c r="M18" i="32"/>
  <c r="H18" i="32"/>
  <c r="C18" i="32"/>
  <c r="AB17" i="32"/>
  <c r="AD17" i="32" s="1"/>
  <c r="J17" i="32" s="1"/>
  <c r="Y17" i="32"/>
  <c r="X17" i="32"/>
  <c r="Q17" i="32"/>
  <c r="P17" i="32"/>
  <c r="O17" i="32"/>
  <c r="M17" i="32"/>
  <c r="H17" i="32"/>
  <c r="C17" i="32"/>
  <c r="AB16" i="32"/>
  <c r="AD16" i="32" s="1"/>
  <c r="J16" i="32" s="1"/>
  <c r="Y16" i="32"/>
  <c r="X16" i="32"/>
  <c r="P16" i="32"/>
  <c r="O16" i="32"/>
  <c r="Q16" i="32" s="1"/>
  <c r="M16" i="32"/>
  <c r="H16" i="32"/>
  <c r="C16" i="32"/>
  <c r="AB15" i="32"/>
  <c r="AD15" i="32" s="1"/>
  <c r="J15" i="32" s="1"/>
  <c r="Y15" i="32"/>
  <c r="X15" i="32"/>
  <c r="P15" i="32"/>
  <c r="Q15" i="32" s="1"/>
  <c r="O15" i="32"/>
  <c r="M15" i="32"/>
  <c r="H15" i="32"/>
  <c r="C15" i="32"/>
  <c r="AD14" i="32"/>
  <c r="J14" i="32" s="1"/>
  <c r="AB14" i="32"/>
  <c r="Y14" i="32"/>
  <c r="X14" i="32"/>
  <c r="P14" i="32"/>
  <c r="O14" i="32"/>
  <c r="Q14" i="32" s="1"/>
  <c r="M14" i="32"/>
  <c r="H14" i="32"/>
  <c r="C14" i="32"/>
  <c r="AB13" i="32"/>
  <c r="AD13" i="32" s="1"/>
  <c r="J13" i="32" s="1"/>
  <c r="Y13" i="32"/>
  <c r="X13" i="32"/>
  <c r="P13" i="32"/>
  <c r="O13" i="32"/>
  <c r="M13" i="32"/>
  <c r="H13" i="32"/>
  <c r="C13" i="32"/>
  <c r="AB12" i="32"/>
  <c r="AD12" i="32" s="1"/>
  <c r="Y12" i="32"/>
  <c r="X12" i="32"/>
  <c r="P12" i="32"/>
  <c r="O12" i="32"/>
  <c r="M12" i="32"/>
  <c r="J12" i="32"/>
  <c r="K12" i="32" s="1"/>
  <c r="H12" i="32"/>
  <c r="C12" i="32"/>
  <c r="AB11" i="32"/>
  <c r="AD11" i="32" s="1"/>
  <c r="J11" i="32" s="1"/>
  <c r="Y11" i="32"/>
  <c r="X11" i="32"/>
  <c r="P11" i="32"/>
  <c r="Q11" i="32" s="1"/>
  <c r="O11" i="32"/>
  <c r="M11" i="32"/>
  <c r="H11" i="32"/>
  <c r="C11" i="32"/>
  <c r="AD10" i="32"/>
  <c r="J10" i="32" s="1"/>
  <c r="AB10" i="32"/>
  <c r="Y10" i="32"/>
  <c r="X10" i="32"/>
  <c r="P10" i="32"/>
  <c r="O10" i="32"/>
  <c r="Q10" i="32" s="1"/>
  <c r="M10" i="32"/>
  <c r="H10" i="32"/>
  <c r="C10" i="32"/>
  <c r="AB9" i="32"/>
  <c r="AD9" i="32" s="1"/>
  <c r="J9" i="32" s="1"/>
  <c r="Y9" i="32"/>
  <c r="X9" i="32"/>
  <c r="P9" i="32"/>
  <c r="O9" i="32"/>
  <c r="Q9" i="32" s="1"/>
  <c r="M9" i="32"/>
  <c r="H9" i="32"/>
  <c r="C9" i="32"/>
  <c r="AB8" i="32"/>
  <c r="AD8" i="32" s="1"/>
  <c r="J8" i="32" s="1"/>
  <c r="Y8" i="32"/>
  <c r="X8" i="32"/>
  <c r="P8" i="32"/>
  <c r="O8" i="32"/>
  <c r="Q8" i="32" s="1"/>
  <c r="M8" i="32"/>
  <c r="H8" i="32"/>
  <c r="C8" i="32"/>
  <c r="AB7" i="32"/>
  <c r="AD7" i="32" s="1"/>
  <c r="Y7" i="32"/>
  <c r="X7" i="32"/>
  <c r="P7" i="32"/>
  <c r="Q7" i="32" s="1"/>
  <c r="O7" i="32"/>
  <c r="M7" i="32"/>
  <c r="J7" i="32"/>
  <c r="H7" i="32"/>
  <c r="C7" i="32"/>
  <c r="AD6" i="32"/>
  <c r="J6" i="32" s="1"/>
  <c r="AB6" i="32"/>
  <c r="Y6" i="32"/>
  <c r="X6" i="32"/>
  <c r="P6" i="32"/>
  <c r="Q6" i="32" s="1"/>
  <c r="O6" i="32"/>
  <c r="M6" i="32"/>
  <c r="H6" i="32"/>
  <c r="C6" i="32"/>
  <c r="AD5" i="32"/>
  <c r="J5" i="32" s="1"/>
  <c r="K5" i="32" s="1"/>
  <c r="AB5" i="32"/>
  <c r="Y5" i="32"/>
  <c r="X5" i="32"/>
  <c r="P5" i="32"/>
  <c r="O5" i="32"/>
  <c r="Q5" i="32" s="1"/>
  <c r="M5" i="32"/>
  <c r="I5" i="32"/>
  <c r="H5" i="32"/>
  <c r="C5" i="32"/>
  <c r="AB4" i="32"/>
  <c r="AD4" i="32" s="1"/>
  <c r="J4" i="32" s="1"/>
  <c r="Y4" i="32"/>
  <c r="X4" i="32"/>
  <c r="P4" i="32"/>
  <c r="O4" i="32"/>
  <c r="M4" i="32"/>
  <c r="H4" i="32"/>
  <c r="C4" i="32"/>
  <c r="AF3" i="32"/>
  <c r="W3" i="32"/>
  <c r="V3" i="32"/>
  <c r="U3" i="32"/>
  <c r="T3" i="32"/>
  <c r="O3" i="32"/>
  <c r="G3" i="32"/>
  <c r="F3" i="32"/>
  <c r="D3" i="32"/>
  <c r="A2" i="32"/>
  <c r="A1" i="32"/>
  <c r="AB31" i="31"/>
  <c r="AD31" i="31" s="1"/>
  <c r="J31" i="31" s="1"/>
  <c r="Y31" i="31"/>
  <c r="X31" i="31"/>
  <c r="P31" i="31"/>
  <c r="O31" i="31"/>
  <c r="M31" i="31"/>
  <c r="H31" i="31"/>
  <c r="C31" i="31"/>
  <c r="AB30" i="31"/>
  <c r="AD30" i="31" s="1"/>
  <c r="Y30" i="31"/>
  <c r="X30" i="31"/>
  <c r="P30" i="31"/>
  <c r="O30" i="31"/>
  <c r="Q30" i="31" s="1"/>
  <c r="M30" i="31"/>
  <c r="J30" i="31"/>
  <c r="H30" i="31"/>
  <c r="C30" i="31"/>
  <c r="AB29" i="31"/>
  <c r="AD29" i="31" s="1"/>
  <c r="J29" i="31" s="1"/>
  <c r="Y29" i="31"/>
  <c r="X29" i="31"/>
  <c r="P29" i="31"/>
  <c r="O29" i="31"/>
  <c r="Q29" i="31" s="1"/>
  <c r="M29" i="31"/>
  <c r="H29" i="31"/>
  <c r="C29" i="31"/>
  <c r="AD28" i="31"/>
  <c r="J28" i="31" s="1"/>
  <c r="I28" i="31" s="1"/>
  <c r="AB28" i="31"/>
  <c r="Y28" i="31"/>
  <c r="X28" i="31"/>
  <c r="P28" i="31"/>
  <c r="O28" i="31"/>
  <c r="Q28" i="31" s="1"/>
  <c r="M28" i="31"/>
  <c r="H28" i="31"/>
  <c r="C28" i="31"/>
  <c r="AB27" i="31"/>
  <c r="AD27" i="31" s="1"/>
  <c r="J27" i="31" s="1"/>
  <c r="Y27" i="31"/>
  <c r="X27" i="31"/>
  <c r="P27" i="31"/>
  <c r="O27" i="31"/>
  <c r="M27" i="31"/>
  <c r="H27" i="31"/>
  <c r="C27" i="31"/>
  <c r="AB26" i="31"/>
  <c r="AD26" i="31" s="1"/>
  <c r="J26" i="31" s="1"/>
  <c r="Y26" i="31"/>
  <c r="X26" i="31"/>
  <c r="P26" i="31"/>
  <c r="O26" i="31"/>
  <c r="M26" i="31"/>
  <c r="H26" i="31"/>
  <c r="C26" i="31"/>
  <c r="AB25" i="31"/>
  <c r="AD25" i="31" s="1"/>
  <c r="J25" i="31" s="1"/>
  <c r="Y25" i="31"/>
  <c r="X25" i="31"/>
  <c r="Q25" i="31"/>
  <c r="P25" i="31"/>
  <c r="O25" i="31"/>
  <c r="M25" i="31"/>
  <c r="H25" i="31"/>
  <c r="C25" i="31"/>
  <c r="AD24" i="31"/>
  <c r="J24" i="31" s="1"/>
  <c r="AB24" i="31"/>
  <c r="Y24" i="31"/>
  <c r="X24" i="31"/>
  <c r="P24" i="31"/>
  <c r="O24" i="31"/>
  <c r="M24" i="31"/>
  <c r="H24" i="31"/>
  <c r="C24" i="31"/>
  <c r="AB23" i="31"/>
  <c r="AD23" i="31" s="1"/>
  <c r="J23" i="31" s="1"/>
  <c r="Y23" i="31"/>
  <c r="X23" i="31"/>
  <c r="P23" i="31"/>
  <c r="O23" i="31"/>
  <c r="M23" i="31"/>
  <c r="H23" i="31"/>
  <c r="C23" i="31"/>
  <c r="AB22" i="31"/>
  <c r="AD22" i="31" s="1"/>
  <c r="J22" i="31" s="1"/>
  <c r="Y22" i="31"/>
  <c r="X22" i="31"/>
  <c r="P22" i="31"/>
  <c r="O22" i="31"/>
  <c r="M22" i="31"/>
  <c r="H22" i="31"/>
  <c r="C22" i="31"/>
  <c r="AB21" i="31"/>
  <c r="AD21" i="31" s="1"/>
  <c r="J21" i="31" s="1"/>
  <c r="Y21" i="31"/>
  <c r="X21" i="31"/>
  <c r="P21" i="31"/>
  <c r="O21" i="31"/>
  <c r="M21" i="31"/>
  <c r="H21" i="31"/>
  <c r="C21" i="31"/>
  <c r="AB20" i="31"/>
  <c r="AD20" i="31" s="1"/>
  <c r="J20" i="31" s="1"/>
  <c r="Y20" i="31"/>
  <c r="X20" i="31"/>
  <c r="P20" i="31"/>
  <c r="Q20" i="31" s="1"/>
  <c r="O20" i="31"/>
  <c r="M20" i="31"/>
  <c r="H20" i="31"/>
  <c r="C20" i="31"/>
  <c r="AB19" i="31"/>
  <c r="AD19" i="31" s="1"/>
  <c r="J19" i="31" s="1"/>
  <c r="K19" i="31" s="1"/>
  <c r="Y19" i="31"/>
  <c r="X19" i="31"/>
  <c r="P19" i="31"/>
  <c r="O19" i="31"/>
  <c r="M19" i="31"/>
  <c r="I19" i="31"/>
  <c r="H19" i="31"/>
  <c r="C19" i="31"/>
  <c r="AB18" i="31"/>
  <c r="AD18" i="31" s="1"/>
  <c r="J18" i="31" s="1"/>
  <c r="Y18" i="31"/>
  <c r="X18" i="31"/>
  <c r="P18" i="31"/>
  <c r="O18" i="31"/>
  <c r="Q18" i="31" s="1"/>
  <c r="M18" i="31"/>
  <c r="H18" i="31"/>
  <c r="C18" i="31"/>
  <c r="AB17" i="31"/>
  <c r="AD17" i="31" s="1"/>
  <c r="J17" i="31" s="1"/>
  <c r="Y17" i="31"/>
  <c r="X17" i="31"/>
  <c r="P17" i="31"/>
  <c r="Q17" i="31" s="1"/>
  <c r="O17" i="31"/>
  <c r="M17" i="31"/>
  <c r="H17" i="31"/>
  <c r="C17" i="31"/>
  <c r="AB16" i="31"/>
  <c r="AD16" i="31" s="1"/>
  <c r="J16" i="31" s="1"/>
  <c r="I16" i="31" s="1"/>
  <c r="Y16" i="31"/>
  <c r="X16" i="31"/>
  <c r="P16" i="31"/>
  <c r="O16" i="31"/>
  <c r="M16" i="31"/>
  <c r="K16" i="31"/>
  <c r="H16" i="31"/>
  <c r="C16" i="31"/>
  <c r="AD15" i="31"/>
  <c r="J15" i="31" s="1"/>
  <c r="K15" i="31" s="1"/>
  <c r="AB15" i="31"/>
  <c r="Y15" i="31"/>
  <c r="X15" i="31"/>
  <c r="P15" i="31"/>
  <c r="O15" i="31"/>
  <c r="Q15" i="31" s="1"/>
  <c r="M15" i="31"/>
  <c r="I15" i="31"/>
  <c r="H15" i="31"/>
  <c r="C15" i="31"/>
  <c r="AB14" i="31"/>
  <c r="AD14" i="31" s="1"/>
  <c r="J14" i="31" s="1"/>
  <c r="K14" i="31" s="1"/>
  <c r="Y14" i="31"/>
  <c r="X14" i="31"/>
  <c r="P14" i="31"/>
  <c r="O14" i="31"/>
  <c r="Q14" i="31" s="1"/>
  <c r="M14" i="31"/>
  <c r="H14" i="31"/>
  <c r="C14" i="31"/>
  <c r="AB13" i="31"/>
  <c r="AD13" i="31" s="1"/>
  <c r="J13" i="31" s="1"/>
  <c r="Y13" i="31"/>
  <c r="X13" i="31"/>
  <c r="P13" i="31"/>
  <c r="O13" i="31"/>
  <c r="M13" i="31"/>
  <c r="H13" i="31"/>
  <c r="C13" i="31"/>
  <c r="AD12" i="31"/>
  <c r="J12" i="31" s="1"/>
  <c r="I12" i="31" s="1"/>
  <c r="AB12" i="31"/>
  <c r="Y12" i="31"/>
  <c r="X12" i="31"/>
  <c r="P12" i="31"/>
  <c r="O12" i="31"/>
  <c r="Q12" i="31" s="1"/>
  <c r="M12" i="31"/>
  <c r="H12" i="31"/>
  <c r="C12" i="31"/>
  <c r="AB11" i="31"/>
  <c r="AD11" i="31" s="1"/>
  <c r="J11" i="31" s="1"/>
  <c r="K11" i="31" s="1"/>
  <c r="Y11" i="31"/>
  <c r="X11" i="31"/>
  <c r="P11" i="31"/>
  <c r="O11" i="31"/>
  <c r="Q11" i="31" s="1"/>
  <c r="M11" i="31"/>
  <c r="H11" i="31"/>
  <c r="C11" i="31"/>
  <c r="AB10" i="31"/>
  <c r="AD10" i="31" s="1"/>
  <c r="J10" i="31" s="1"/>
  <c r="Y10" i="31"/>
  <c r="X10" i="31"/>
  <c r="P10" i="31"/>
  <c r="O10" i="31"/>
  <c r="M10" i="31"/>
  <c r="H10" i="31"/>
  <c r="C10" i="31"/>
  <c r="AB9" i="31"/>
  <c r="AD9" i="31" s="1"/>
  <c r="J9" i="31" s="1"/>
  <c r="Y9" i="31"/>
  <c r="X9" i="31"/>
  <c r="Q9" i="31"/>
  <c r="P9" i="31"/>
  <c r="O9" i="31"/>
  <c r="M9" i="31"/>
  <c r="H9" i="31"/>
  <c r="C9" i="31"/>
  <c r="AB8" i="31"/>
  <c r="AD8" i="31" s="1"/>
  <c r="J8" i="31" s="1"/>
  <c r="Y8" i="31"/>
  <c r="X8" i="31"/>
  <c r="P8" i="31"/>
  <c r="Q8" i="31" s="1"/>
  <c r="O8" i="31"/>
  <c r="M8" i="31"/>
  <c r="H8" i="31"/>
  <c r="C8" i="31"/>
  <c r="AB7" i="31"/>
  <c r="AD7" i="31" s="1"/>
  <c r="J7" i="31" s="1"/>
  <c r="Y7" i="31"/>
  <c r="X7" i="31"/>
  <c r="P7" i="31"/>
  <c r="O7" i="31"/>
  <c r="M7" i="31"/>
  <c r="H7" i="31"/>
  <c r="C7" i="31"/>
  <c r="AB6" i="31"/>
  <c r="AD6" i="31" s="1"/>
  <c r="J6" i="31" s="1"/>
  <c r="K6" i="31" s="1"/>
  <c r="Y6" i="31"/>
  <c r="X6" i="31"/>
  <c r="P6" i="31"/>
  <c r="O6" i="31"/>
  <c r="M6" i="31"/>
  <c r="H6" i="31"/>
  <c r="C6" i="31"/>
  <c r="AB5" i="31"/>
  <c r="AD5" i="31" s="1"/>
  <c r="Y5" i="31"/>
  <c r="X5" i="31"/>
  <c r="P5" i="31"/>
  <c r="O5" i="31"/>
  <c r="Q5" i="31" s="1"/>
  <c r="M5" i="31"/>
  <c r="H5" i="31"/>
  <c r="C5" i="31"/>
  <c r="AB4" i="31"/>
  <c r="AD4" i="31" s="1"/>
  <c r="J4" i="31" s="1"/>
  <c r="Y4" i="31"/>
  <c r="X4" i="31"/>
  <c r="P4" i="31"/>
  <c r="O4" i="31"/>
  <c r="M4" i="31"/>
  <c r="H4" i="31"/>
  <c r="C4" i="31"/>
  <c r="AG3" i="31"/>
  <c r="AF3" i="31"/>
  <c r="W3" i="31"/>
  <c r="V3" i="31"/>
  <c r="U3" i="31"/>
  <c r="T3" i="31"/>
  <c r="O3" i="31"/>
  <c r="G3" i="31"/>
  <c r="F3" i="31"/>
  <c r="H3" i="31" s="1"/>
  <c r="D3" i="31"/>
  <c r="A2" i="31"/>
  <c r="A1" i="31"/>
  <c r="AB31" i="30"/>
  <c r="AD31" i="30" s="1"/>
  <c r="Y31" i="30"/>
  <c r="X31" i="30"/>
  <c r="Q31" i="30"/>
  <c r="P31" i="30"/>
  <c r="O31" i="30"/>
  <c r="M31" i="30"/>
  <c r="J31" i="30"/>
  <c r="H31" i="30"/>
  <c r="C31" i="30"/>
  <c r="AB30" i="30"/>
  <c r="AD30" i="30" s="1"/>
  <c r="J30" i="30" s="1"/>
  <c r="I30" i="30" s="1"/>
  <c r="Y30" i="30"/>
  <c r="X30" i="30"/>
  <c r="P30" i="30"/>
  <c r="O30" i="30"/>
  <c r="Q30" i="30" s="1"/>
  <c r="M30" i="30"/>
  <c r="K30" i="30"/>
  <c r="H30" i="30"/>
  <c r="C30" i="30"/>
  <c r="AB29" i="30"/>
  <c r="AD29" i="30" s="1"/>
  <c r="J29" i="30" s="1"/>
  <c r="K29" i="30" s="1"/>
  <c r="Y29" i="30"/>
  <c r="X29" i="30"/>
  <c r="P29" i="30"/>
  <c r="O29" i="30"/>
  <c r="Q29" i="30" s="1"/>
  <c r="M29" i="30"/>
  <c r="I29" i="30"/>
  <c r="H29" i="30"/>
  <c r="C29" i="30"/>
  <c r="AB28" i="30"/>
  <c r="AD28" i="30" s="1"/>
  <c r="J28" i="30" s="1"/>
  <c r="Y28" i="30"/>
  <c r="X28" i="30"/>
  <c r="P28" i="30"/>
  <c r="O28" i="30"/>
  <c r="M28" i="30"/>
  <c r="H28" i="30"/>
  <c r="C28" i="30"/>
  <c r="AB27" i="30"/>
  <c r="AD27" i="30" s="1"/>
  <c r="J27" i="30" s="1"/>
  <c r="Y27" i="30"/>
  <c r="X27" i="30"/>
  <c r="P27" i="30"/>
  <c r="O27" i="30"/>
  <c r="Q27" i="30" s="1"/>
  <c r="M27" i="30"/>
  <c r="H27" i="30"/>
  <c r="C27" i="30"/>
  <c r="AD26" i="30"/>
  <c r="J26" i="30" s="1"/>
  <c r="K26" i="30" s="1"/>
  <c r="AB26" i="30"/>
  <c r="Y26" i="30"/>
  <c r="X26" i="30"/>
  <c r="P26" i="30"/>
  <c r="O26" i="30"/>
  <c r="M26" i="30"/>
  <c r="I26" i="30"/>
  <c r="H26" i="30"/>
  <c r="C26" i="30"/>
  <c r="AD25" i="30"/>
  <c r="J25" i="30" s="1"/>
  <c r="AB25" i="30"/>
  <c r="Y25" i="30"/>
  <c r="X25" i="30"/>
  <c r="P25" i="30"/>
  <c r="O25" i="30"/>
  <c r="M25" i="30"/>
  <c r="K25" i="30"/>
  <c r="I25" i="30"/>
  <c r="H25" i="30"/>
  <c r="C25" i="30"/>
  <c r="AB24" i="30"/>
  <c r="AD24" i="30" s="1"/>
  <c r="J24" i="30" s="1"/>
  <c r="Y24" i="30"/>
  <c r="X24" i="30"/>
  <c r="P24" i="30"/>
  <c r="O24" i="30"/>
  <c r="M24" i="30"/>
  <c r="H24" i="30"/>
  <c r="C24" i="30"/>
  <c r="AD23" i="30"/>
  <c r="J23" i="30" s="1"/>
  <c r="AB23" i="30"/>
  <c r="Y23" i="30"/>
  <c r="X23" i="30"/>
  <c r="P23" i="30"/>
  <c r="O23" i="30"/>
  <c r="M23" i="30"/>
  <c r="H23" i="30"/>
  <c r="C23" i="30"/>
  <c r="AB22" i="30"/>
  <c r="AD22" i="30" s="1"/>
  <c r="J22" i="30" s="1"/>
  <c r="Y22" i="30"/>
  <c r="X22" i="30"/>
  <c r="P22" i="30"/>
  <c r="O22" i="30"/>
  <c r="M22" i="30"/>
  <c r="H22" i="30"/>
  <c r="C22" i="30"/>
  <c r="AB21" i="30"/>
  <c r="AD21" i="30" s="1"/>
  <c r="J21" i="30" s="1"/>
  <c r="Y21" i="30"/>
  <c r="X21" i="30"/>
  <c r="P21" i="30"/>
  <c r="Q21" i="30" s="1"/>
  <c r="O21" i="30"/>
  <c r="M21" i="30"/>
  <c r="H21" i="30"/>
  <c r="C21" i="30"/>
  <c r="AB20" i="30"/>
  <c r="AD20" i="30" s="1"/>
  <c r="J20" i="30" s="1"/>
  <c r="I20" i="30" s="1"/>
  <c r="Y20" i="30"/>
  <c r="X20" i="30"/>
  <c r="P20" i="30"/>
  <c r="O20" i="30"/>
  <c r="M20" i="30"/>
  <c r="K20" i="30"/>
  <c r="H20" i="30"/>
  <c r="C20" i="30"/>
  <c r="AB19" i="30"/>
  <c r="AD19" i="30" s="1"/>
  <c r="J19" i="30" s="1"/>
  <c r="I19" i="30" s="1"/>
  <c r="Y19" i="30"/>
  <c r="X19" i="30"/>
  <c r="P19" i="30"/>
  <c r="O19" i="30"/>
  <c r="M19" i="30"/>
  <c r="H19" i="30"/>
  <c r="C19" i="30"/>
  <c r="AB18" i="30"/>
  <c r="AD18" i="30" s="1"/>
  <c r="J18" i="30" s="1"/>
  <c r="Y18" i="30"/>
  <c r="X18" i="30"/>
  <c r="P18" i="30"/>
  <c r="O18" i="30"/>
  <c r="M18" i="30"/>
  <c r="H18" i="30"/>
  <c r="C18" i="30"/>
  <c r="AD17" i="30"/>
  <c r="J17" i="30" s="1"/>
  <c r="I17" i="30" s="1"/>
  <c r="AB17" i="30"/>
  <c r="Y17" i="30"/>
  <c r="X17" i="30"/>
  <c r="P17" i="30"/>
  <c r="O17" i="30"/>
  <c r="M17" i="30"/>
  <c r="H17" i="30"/>
  <c r="C17" i="30"/>
  <c r="AD16" i="30"/>
  <c r="J16" i="30" s="1"/>
  <c r="I16" i="30" s="1"/>
  <c r="AB16" i="30"/>
  <c r="Y16" i="30"/>
  <c r="X16" i="30"/>
  <c r="P16" i="30"/>
  <c r="O16" i="30"/>
  <c r="Q16" i="30" s="1"/>
  <c r="M16" i="30"/>
  <c r="K16" i="30"/>
  <c r="H16" i="30"/>
  <c r="C16" i="30"/>
  <c r="AB15" i="30"/>
  <c r="AD15" i="30" s="1"/>
  <c r="J15" i="30" s="1"/>
  <c r="Y15" i="30"/>
  <c r="X15" i="30"/>
  <c r="P15" i="30"/>
  <c r="O15" i="30"/>
  <c r="Q15" i="30" s="1"/>
  <c r="M15" i="30"/>
  <c r="H15" i="30"/>
  <c r="C15" i="30"/>
  <c r="AB14" i="30"/>
  <c r="AD14" i="30" s="1"/>
  <c r="J14" i="30" s="1"/>
  <c r="Y14" i="30"/>
  <c r="X14" i="30"/>
  <c r="P14" i="30"/>
  <c r="O14" i="30"/>
  <c r="Q14" i="30" s="1"/>
  <c r="M14" i="30"/>
  <c r="H14" i="30"/>
  <c r="C14" i="30"/>
  <c r="AB13" i="30"/>
  <c r="AD13" i="30" s="1"/>
  <c r="Y13" i="30"/>
  <c r="X13" i="30"/>
  <c r="P13" i="30"/>
  <c r="Q13" i="30" s="1"/>
  <c r="O13" i="30"/>
  <c r="M13" i="30"/>
  <c r="J13" i="30"/>
  <c r="K13" i="30" s="1"/>
  <c r="H13" i="30"/>
  <c r="C13" i="30"/>
  <c r="AD12" i="30"/>
  <c r="J12" i="30" s="1"/>
  <c r="I12" i="30" s="1"/>
  <c r="AB12" i="30"/>
  <c r="Y12" i="30"/>
  <c r="X12" i="30"/>
  <c r="P12" i="30"/>
  <c r="O12" i="30"/>
  <c r="Q12" i="30" s="1"/>
  <c r="M12" i="30"/>
  <c r="H12" i="30"/>
  <c r="C12" i="30"/>
  <c r="AD11" i="30"/>
  <c r="J11" i="30" s="1"/>
  <c r="I11" i="30" s="1"/>
  <c r="AB11" i="30"/>
  <c r="Y11" i="30"/>
  <c r="X11" i="30"/>
  <c r="P11" i="30"/>
  <c r="O11" i="30"/>
  <c r="Q11" i="30" s="1"/>
  <c r="M11" i="30"/>
  <c r="H11" i="30"/>
  <c r="C11" i="30"/>
  <c r="AB10" i="30"/>
  <c r="AD10" i="30" s="1"/>
  <c r="J10" i="30" s="1"/>
  <c r="K10" i="30" s="1"/>
  <c r="Y10" i="30"/>
  <c r="X10" i="30"/>
  <c r="P10" i="30"/>
  <c r="O10" i="30"/>
  <c r="Q10" i="30" s="1"/>
  <c r="M10" i="30"/>
  <c r="H10" i="30"/>
  <c r="C10" i="30"/>
  <c r="AB9" i="30"/>
  <c r="AD9" i="30" s="1"/>
  <c r="J9" i="30" s="1"/>
  <c r="Y9" i="30"/>
  <c r="X9" i="30"/>
  <c r="P9" i="30"/>
  <c r="O9" i="30"/>
  <c r="M9" i="30"/>
  <c r="H9" i="30"/>
  <c r="C9" i="30"/>
  <c r="AB8" i="30"/>
  <c r="AD8" i="30" s="1"/>
  <c r="J8" i="30" s="1"/>
  <c r="Y8" i="30"/>
  <c r="X8" i="30"/>
  <c r="P8" i="30"/>
  <c r="Q8" i="30" s="1"/>
  <c r="O8" i="30"/>
  <c r="M8" i="30"/>
  <c r="H8" i="30"/>
  <c r="C8" i="30"/>
  <c r="AB7" i="30"/>
  <c r="AD7" i="30" s="1"/>
  <c r="J7" i="30" s="1"/>
  <c r="Y7" i="30"/>
  <c r="X7" i="30"/>
  <c r="P7" i="30"/>
  <c r="O7" i="30"/>
  <c r="M7" i="30"/>
  <c r="H7" i="30"/>
  <c r="C7" i="30"/>
  <c r="AB6" i="30"/>
  <c r="AD6" i="30" s="1"/>
  <c r="J6" i="30" s="1"/>
  <c r="Y6" i="30"/>
  <c r="X6" i="30"/>
  <c r="P6" i="30"/>
  <c r="O6" i="30"/>
  <c r="Q6" i="30" s="1"/>
  <c r="M6" i="30"/>
  <c r="H6" i="30"/>
  <c r="C6" i="30"/>
  <c r="AB5" i="30"/>
  <c r="AD5" i="30" s="1"/>
  <c r="J5" i="30" s="1"/>
  <c r="Y5" i="30"/>
  <c r="X5" i="30"/>
  <c r="Q5" i="30"/>
  <c r="P5" i="30"/>
  <c r="O5" i="30"/>
  <c r="M5" i="30"/>
  <c r="H5" i="30"/>
  <c r="C5" i="30"/>
  <c r="AB4" i="30"/>
  <c r="AD4" i="30" s="1"/>
  <c r="Y4" i="30"/>
  <c r="X4" i="30"/>
  <c r="P4" i="30"/>
  <c r="O4" i="30"/>
  <c r="Q4" i="30" s="1"/>
  <c r="M4" i="30"/>
  <c r="H4" i="30"/>
  <c r="C4" i="30"/>
  <c r="AG3" i="30"/>
  <c r="AF3" i="30"/>
  <c r="W3" i="30"/>
  <c r="V3" i="30"/>
  <c r="U3" i="30"/>
  <c r="T3" i="30"/>
  <c r="O3" i="30"/>
  <c r="G3" i="30"/>
  <c r="H3" i="30" s="1"/>
  <c r="F3" i="30"/>
  <c r="A2" i="30"/>
  <c r="A1" i="30"/>
  <c r="AD31" i="29"/>
  <c r="J31" i="29" s="1"/>
  <c r="K31" i="29" s="1"/>
  <c r="AB31" i="29"/>
  <c r="Y31" i="29"/>
  <c r="X31" i="29"/>
  <c r="P31" i="29"/>
  <c r="Q31" i="29" s="1"/>
  <c r="O31" i="29"/>
  <c r="M31" i="29"/>
  <c r="H31" i="29"/>
  <c r="C31" i="29"/>
  <c r="AD30" i="29"/>
  <c r="J30" i="29" s="1"/>
  <c r="I30" i="29" s="1"/>
  <c r="AB30" i="29"/>
  <c r="Y30" i="29"/>
  <c r="X30" i="29"/>
  <c r="P30" i="29"/>
  <c r="Q30" i="29" s="1"/>
  <c r="O30" i="29"/>
  <c r="M30" i="29"/>
  <c r="H30" i="29"/>
  <c r="C30" i="29"/>
  <c r="AB29" i="29"/>
  <c r="AD29" i="29" s="1"/>
  <c r="J29" i="29" s="1"/>
  <c r="K29" i="29" s="1"/>
  <c r="Y29" i="29"/>
  <c r="X29" i="29"/>
  <c r="P29" i="29"/>
  <c r="Q29" i="29" s="1"/>
  <c r="O29" i="29"/>
  <c r="M29" i="29"/>
  <c r="H29" i="29"/>
  <c r="C29" i="29"/>
  <c r="AD28" i="29"/>
  <c r="J28" i="29" s="1"/>
  <c r="AB28" i="29"/>
  <c r="Y28" i="29"/>
  <c r="X28" i="29"/>
  <c r="P28" i="29"/>
  <c r="O28" i="29"/>
  <c r="Q28" i="29" s="1"/>
  <c r="M28" i="29"/>
  <c r="H28" i="29"/>
  <c r="C28" i="29"/>
  <c r="AB27" i="29"/>
  <c r="AD27" i="29" s="1"/>
  <c r="J27" i="29" s="1"/>
  <c r="Y27" i="29"/>
  <c r="X27" i="29"/>
  <c r="P27" i="29"/>
  <c r="O27" i="29"/>
  <c r="M27" i="29"/>
  <c r="H27" i="29"/>
  <c r="C27" i="29"/>
  <c r="AB26" i="29"/>
  <c r="AD26" i="29" s="1"/>
  <c r="J26" i="29" s="1"/>
  <c r="Y26" i="29"/>
  <c r="X26" i="29"/>
  <c r="P26" i="29"/>
  <c r="O26" i="29"/>
  <c r="Q26" i="29" s="1"/>
  <c r="M26" i="29"/>
  <c r="H26" i="29"/>
  <c r="C26" i="29"/>
  <c r="AB25" i="29"/>
  <c r="AD25" i="29" s="1"/>
  <c r="J25" i="29" s="1"/>
  <c r="Y25" i="29"/>
  <c r="X25" i="29"/>
  <c r="Q25" i="29"/>
  <c r="P25" i="29"/>
  <c r="O25" i="29"/>
  <c r="M25" i="29"/>
  <c r="H25" i="29"/>
  <c r="C25" i="29"/>
  <c r="AB24" i="29"/>
  <c r="AD24" i="29" s="1"/>
  <c r="J24" i="29" s="1"/>
  <c r="I24" i="29" s="1"/>
  <c r="Y24" i="29"/>
  <c r="X24" i="29"/>
  <c r="P24" i="29"/>
  <c r="O24" i="29"/>
  <c r="Q24" i="29" s="1"/>
  <c r="M24" i="29"/>
  <c r="K24" i="29"/>
  <c r="H24" i="29"/>
  <c r="C24" i="29"/>
  <c r="AB23" i="29"/>
  <c r="AD23" i="29" s="1"/>
  <c r="J23" i="29" s="1"/>
  <c r="K23" i="29" s="1"/>
  <c r="Y23" i="29"/>
  <c r="X23" i="29"/>
  <c r="P23" i="29"/>
  <c r="O23" i="29"/>
  <c r="M23" i="29"/>
  <c r="H23" i="29"/>
  <c r="C23" i="29"/>
  <c r="AB22" i="29"/>
  <c r="AD22" i="29" s="1"/>
  <c r="J22" i="29" s="1"/>
  <c r="I22" i="29" s="1"/>
  <c r="Y22" i="29"/>
  <c r="X22" i="29"/>
  <c r="P22" i="29"/>
  <c r="O22" i="29"/>
  <c r="M22" i="29"/>
  <c r="H22" i="29"/>
  <c r="C22" i="29"/>
  <c r="AB21" i="29"/>
  <c r="AD21" i="29" s="1"/>
  <c r="J21" i="29" s="1"/>
  <c r="Y21" i="29"/>
  <c r="X21" i="29"/>
  <c r="P21" i="29"/>
  <c r="O21" i="29"/>
  <c r="M21" i="29"/>
  <c r="H21" i="29"/>
  <c r="C21" i="29"/>
  <c r="AD20" i="29"/>
  <c r="J20" i="29" s="1"/>
  <c r="AB20" i="29"/>
  <c r="Y20" i="29"/>
  <c r="X20" i="29"/>
  <c r="P20" i="29"/>
  <c r="Q20" i="29" s="1"/>
  <c r="O20" i="29"/>
  <c r="M20" i="29"/>
  <c r="H20" i="29"/>
  <c r="C20" i="29"/>
  <c r="AB19" i="29"/>
  <c r="AD19" i="29" s="1"/>
  <c r="J19" i="29" s="1"/>
  <c r="Y19" i="29"/>
  <c r="X19" i="29"/>
  <c r="P19" i="29"/>
  <c r="O19" i="29"/>
  <c r="M19" i="29"/>
  <c r="H19" i="29"/>
  <c r="C19" i="29"/>
  <c r="AB18" i="29"/>
  <c r="AD18" i="29" s="1"/>
  <c r="J18" i="29" s="1"/>
  <c r="Y18" i="29"/>
  <c r="X18" i="29"/>
  <c r="P18" i="29"/>
  <c r="O18" i="29"/>
  <c r="Q18" i="29" s="1"/>
  <c r="M18" i="29"/>
  <c r="H18" i="29"/>
  <c r="C18" i="29"/>
  <c r="AB17" i="29"/>
  <c r="AD17" i="29" s="1"/>
  <c r="J17" i="29" s="1"/>
  <c r="Y17" i="29"/>
  <c r="X17" i="29"/>
  <c r="P17" i="29"/>
  <c r="O17" i="29"/>
  <c r="Q17" i="29" s="1"/>
  <c r="M17" i="29"/>
  <c r="H17" i="29"/>
  <c r="C17" i="29"/>
  <c r="AB16" i="29"/>
  <c r="AD16" i="29" s="1"/>
  <c r="J16" i="29" s="1"/>
  <c r="Y16" i="29"/>
  <c r="X16" i="29"/>
  <c r="P16" i="29"/>
  <c r="O16" i="29"/>
  <c r="M16" i="29"/>
  <c r="H16" i="29"/>
  <c r="C16" i="29"/>
  <c r="AB15" i="29"/>
  <c r="AD15" i="29" s="1"/>
  <c r="J15" i="29" s="1"/>
  <c r="Y15" i="29"/>
  <c r="X15" i="29"/>
  <c r="P15" i="29"/>
  <c r="Q15" i="29" s="1"/>
  <c r="O15" i="29"/>
  <c r="M15" i="29"/>
  <c r="H15" i="29"/>
  <c r="C15" i="29"/>
  <c r="AB14" i="29"/>
  <c r="AD14" i="29" s="1"/>
  <c r="J14" i="29" s="1"/>
  <c r="I14" i="29" s="1"/>
  <c r="Y14" i="29"/>
  <c r="X14" i="29"/>
  <c r="P14" i="29"/>
  <c r="O14" i="29"/>
  <c r="Q14" i="29" s="1"/>
  <c r="M14" i="29"/>
  <c r="H14" i="29"/>
  <c r="C14" i="29"/>
  <c r="AB13" i="29"/>
  <c r="AD13" i="29" s="1"/>
  <c r="J13" i="29" s="1"/>
  <c r="Y13" i="29"/>
  <c r="X13" i="29"/>
  <c r="P13" i="29"/>
  <c r="O13" i="29"/>
  <c r="M13" i="29"/>
  <c r="H13" i="29"/>
  <c r="C13" i="29"/>
  <c r="AB12" i="29"/>
  <c r="AD12" i="29" s="1"/>
  <c r="J12" i="29" s="1"/>
  <c r="Y12" i="29"/>
  <c r="X12" i="29"/>
  <c r="P12" i="29"/>
  <c r="O12" i="29"/>
  <c r="M12" i="29"/>
  <c r="H12" i="29"/>
  <c r="C12" i="29"/>
  <c r="AD11" i="29"/>
  <c r="AB11" i="29"/>
  <c r="Y11" i="29"/>
  <c r="X11" i="29"/>
  <c r="P11" i="29"/>
  <c r="O11" i="29"/>
  <c r="M11" i="29"/>
  <c r="K11" i="29"/>
  <c r="J11" i="29"/>
  <c r="I11" i="29" s="1"/>
  <c r="H11" i="29"/>
  <c r="C11" i="29"/>
  <c r="AD10" i="29"/>
  <c r="J10" i="29" s="1"/>
  <c r="I10" i="29" s="1"/>
  <c r="AB10" i="29"/>
  <c r="Y10" i="29"/>
  <c r="X10" i="29"/>
  <c r="Q10" i="29"/>
  <c r="P10" i="29"/>
  <c r="O10" i="29"/>
  <c r="M10" i="29"/>
  <c r="K10" i="29"/>
  <c r="H10" i="29"/>
  <c r="C10" i="29"/>
  <c r="AB9" i="29"/>
  <c r="AD9" i="29" s="1"/>
  <c r="J9" i="29" s="1"/>
  <c r="Y9" i="29"/>
  <c r="X9" i="29"/>
  <c r="P9" i="29"/>
  <c r="O9" i="29"/>
  <c r="Q9" i="29" s="1"/>
  <c r="M9" i="29"/>
  <c r="H9" i="29"/>
  <c r="C9" i="29"/>
  <c r="AB8" i="29"/>
  <c r="AD8" i="29" s="1"/>
  <c r="J8" i="29" s="1"/>
  <c r="K8" i="29" s="1"/>
  <c r="Y8" i="29"/>
  <c r="X8" i="29"/>
  <c r="P8" i="29"/>
  <c r="O8" i="29"/>
  <c r="Q8" i="29" s="1"/>
  <c r="M8" i="29"/>
  <c r="H8" i="29"/>
  <c r="C8" i="29"/>
  <c r="AB7" i="29"/>
  <c r="AD7" i="29" s="1"/>
  <c r="Y7" i="29"/>
  <c r="X7" i="29"/>
  <c r="P7" i="29"/>
  <c r="Q7" i="29" s="1"/>
  <c r="O7" i="29"/>
  <c r="M7" i="29"/>
  <c r="J7" i="29"/>
  <c r="H7" i="29"/>
  <c r="C7" i="29"/>
  <c r="AB6" i="29"/>
  <c r="AD6" i="29" s="1"/>
  <c r="J6" i="29" s="1"/>
  <c r="I6" i="29" s="1"/>
  <c r="Y6" i="29"/>
  <c r="X6" i="29"/>
  <c r="P6" i="29"/>
  <c r="O6" i="29"/>
  <c r="Q6" i="29" s="1"/>
  <c r="M6" i="29"/>
  <c r="K6" i="29"/>
  <c r="H6" i="29"/>
  <c r="C6" i="29"/>
  <c r="AB5" i="29"/>
  <c r="AD5" i="29" s="1"/>
  <c r="J5" i="29" s="1"/>
  <c r="Y5" i="29"/>
  <c r="X5" i="29"/>
  <c r="P5" i="29"/>
  <c r="O5" i="29"/>
  <c r="M5" i="29"/>
  <c r="H5" i="29"/>
  <c r="C5" i="29"/>
  <c r="AB4" i="29"/>
  <c r="AD4" i="29" s="1"/>
  <c r="Y4" i="29"/>
  <c r="X4" i="29"/>
  <c r="P4" i="29"/>
  <c r="Q4" i="29" s="1"/>
  <c r="O4" i="29"/>
  <c r="M4" i="29"/>
  <c r="H4" i="29"/>
  <c r="C4" i="29"/>
  <c r="AG3" i="29"/>
  <c r="AF3" i="29"/>
  <c r="W3" i="29"/>
  <c r="V3" i="29"/>
  <c r="U3" i="29"/>
  <c r="T3" i="29"/>
  <c r="O3" i="29"/>
  <c r="G3" i="29"/>
  <c r="F3" i="29"/>
  <c r="D3" i="29"/>
  <c r="A2" i="29"/>
  <c r="A1" i="29"/>
  <c r="AB31" i="28"/>
  <c r="AD31" i="28" s="1"/>
  <c r="J31" i="28" s="1"/>
  <c r="Y31" i="28"/>
  <c r="X31" i="28"/>
  <c r="P31" i="28"/>
  <c r="O31" i="28"/>
  <c r="M31" i="28"/>
  <c r="H31" i="28"/>
  <c r="C31" i="28"/>
  <c r="AB30" i="28"/>
  <c r="AD30" i="28" s="1"/>
  <c r="J30" i="28" s="1"/>
  <c r="Y30" i="28"/>
  <c r="X30" i="28"/>
  <c r="Q30" i="28"/>
  <c r="P30" i="28"/>
  <c r="O30" i="28"/>
  <c r="M30" i="28"/>
  <c r="H30" i="28"/>
  <c r="C30" i="28"/>
  <c r="AB29" i="28"/>
  <c r="AD29" i="28" s="1"/>
  <c r="Y29" i="28"/>
  <c r="X29" i="28"/>
  <c r="P29" i="28"/>
  <c r="O29" i="28"/>
  <c r="Q29" i="28" s="1"/>
  <c r="M29" i="28"/>
  <c r="J29" i="28"/>
  <c r="H29" i="28"/>
  <c r="C29" i="28"/>
  <c r="AB28" i="28"/>
  <c r="AD28" i="28" s="1"/>
  <c r="J28" i="28" s="1"/>
  <c r="Y28" i="28"/>
  <c r="X28" i="28"/>
  <c r="P28" i="28"/>
  <c r="O28" i="28"/>
  <c r="Q28" i="28" s="1"/>
  <c r="M28" i="28"/>
  <c r="H28" i="28"/>
  <c r="C28" i="28"/>
  <c r="AB27" i="28"/>
  <c r="AD27" i="28" s="1"/>
  <c r="J27" i="28" s="1"/>
  <c r="Y27" i="28"/>
  <c r="X27" i="28"/>
  <c r="P27" i="28"/>
  <c r="O27" i="28"/>
  <c r="Q27" i="28" s="1"/>
  <c r="M27" i="28"/>
  <c r="H27" i="28"/>
  <c r="C27" i="28"/>
  <c r="AB26" i="28"/>
  <c r="AD26" i="28" s="1"/>
  <c r="J26" i="28" s="1"/>
  <c r="Y26" i="28"/>
  <c r="X26" i="28"/>
  <c r="P26" i="28"/>
  <c r="O26" i="28"/>
  <c r="Q26" i="28" s="1"/>
  <c r="M26" i="28"/>
  <c r="H26" i="28"/>
  <c r="C26" i="28"/>
  <c r="AB25" i="28"/>
  <c r="AD25" i="28" s="1"/>
  <c r="J25" i="28" s="1"/>
  <c r="K25" i="28" s="1"/>
  <c r="Y25" i="28"/>
  <c r="X25" i="28"/>
  <c r="P25" i="28"/>
  <c r="O25" i="28"/>
  <c r="M25" i="28"/>
  <c r="I25" i="28"/>
  <c r="H25" i="28"/>
  <c r="C25" i="28"/>
  <c r="AD24" i="28"/>
  <c r="J24" i="28" s="1"/>
  <c r="I24" i="28" s="1"/>
  <c r="AB24" i="28"/>
  <c r="Y24" i="28"/>
  <c r="X24" i="28"/>
  <c r="P24" i="28"/>
  <c r="O24" i="28"/>
  <c r="M24" i="28"/>
  <c r="H24" i="28"/>
  <c r="C24" i="28"/>
  <c r="AB23" i="28"/>
  <c r="AD23" i="28" s="1"/>
  <c r="J23" i="28" s="1"/>
  <c r="K23" i="28" s="1"/>
  <c r="Y23" i="28"/>
  <c r="X23" i="28"/>
  <c r="P23" i="28"/>
  <c r="O23" i="28"/>
  <c r="M23" i="28"/>
  <c r="H23" i="28"/>
  <c r="C23" i="28"/>
  <c r="AB22" i="28"/>
  <c r="AD22" i="28" s="1"/>
  <c r="J22" i="28" s="1"/>
  <c r="K22" i="28" s="1"/>
  <c r="Y22" i="28"/>
  <c r="X22" i="28"/>
  <c r="P22" i="28"/>
  <c r="O22" i="28"/>
  <c r="Q22" i="28" s="1"/>
  <c r="M22" i="28"/>
  <c r="I22" i="28"/>
  <c r="H22" i="28"/>
  <c r="C22" i="28"/>
  <c r="AD21" i="28"/>
  <c r="J21" i="28" s="1"/>
  <c r="AB21" i="28"/>
  <c r="Y21" i="28"/>
  <c r="X21" i="28"/>
  <c r="P21" i="28"/>
  <c r="O21" i="28"/>
  <c r="M21" i="28"/>
  <c r="H21" i="28"/>
  <c r="C21" i="28"/>
  <c r="AD20" i="28"/>
  <c r="J20" i="28" s="1"/>
  <c r="I20" i="28" s="1"/>
  <c r="AB20" i="28"/>
  <c r="Y20" i="28"/>
  <c r="X20" i="28"/>
  <c r="P20" i="28"/>
  <c r="O20" i="28"/>
  <c r="Q20" i="28" s="1"/>
  <c r="M20" i="28"/>
  <c r="K20" i="28"/>
  <c r="H20" i="28"/>
  <c r="C20" i="28"/>
  <c r="AB19" i="28"/>
  <c r="AD19" i="28" s="1"/>
  <c r="J19" i="28" s="1"/>
  <c r="Y19" i="28"/>
  <c r="X19" i="28"/>
  <c r="Q19" i="28"/>
  <c r="P19" i="28"/>
  <c r="O19" i="28"/>
  <c r="M19" i="28"/>
  <c r="H19" i="28"/>
  <c r="C19" i="28"/>
  <c r="AB18" i="28"/>
  <c r="AD18" i="28" s="1"/>
  <c r="J18" i="28" s="1"/>
  <c r="I18" i="28" s="1"/>
  <c r="Y18" i="28"/>
  <c r="X18" i="28"/>
  <c r="P18" i="28"/>
  <c r="O18" i="28"/>
  <c r="Q18" i="28" s="1"/>
  <c r="M18" i="28"/>
  <c r="K18" i="28"/>
  <c r="H18" i="28"/>
  <c r="C18" i="28"/>
  <c r="AB17" i="28"/>
  <c r="AD17" i="28" s="1"/>
  <c r="J17" i="28" s="1"/>
  <c r="K17" i="28" s="1"/>
  <c r="Y17" i="28"/>
  <c r="X17" i="28"/>
  <c r="Q17" i="28"/>
  <c r="P17" i="28"/>
  <c r="O17" i="28"/>
  <c r="M17" i="28"/>
  <c r="H17" i="28"/>
  <c r="C17" i="28"/>
  <c r="AB16" i="28"/>
  <c r="AD16" i="28" s="1"/>
  <c r="J16" i="28" s="1"/>
  <c r="I16" i="28" s="1"/>
  <c r="Y16" i="28"/>
  <c r="X16" i="28"/>
  <c r="P16" i="28"/>
  <c r="O16" i="28"/>
  <c r="M16" i="28"/>
  <c r="H16" i="28"/>
  <c r="C16" i="28"/>
  <c r="AD15" i="28"/>
  <c r="AB15" i="28"/>
  <c r="Y15" i="28"/>
  <c r="X15" i="28"/>
  <c r="P15" i="28"/>
  <c r="O15" i="28"/>
  <c r="Q15" i="28" s="1"/>
  <c r="M15" i="28"/>
  <c r="J15" i="28"/>
  <c r="I15" i="28" s="1"/>
  <c r="H15" i="28"/>
  <c r="C15" i="28"/>
  <c r="AD14" i="28"/>
  <c r="J14" i="28" s="1"/>
  <c r="K14" i="28" s="1"/>
  <c r="AB14" i="28"/>
  <c r="Y14" i="28"/>
  <c r="X14" i="28"/>
  <c r="P14" i="28"/>
  <c r="Q14" i="28" s="1"/>
  <c r="O14" i="28"/>
  <c r="M14" i="28"/>
  <c r="I14" i="28"/>
  <c r="H14" i="28"/>
  <c r="C14" i="28"/>
  <c r="AD13" i="28"/>
  <c r="J13" i="28" s="1"/>
  <c r="AB13" i="28"/>
  <c r="Y13" i="28"/>
  <c r="X13" i="28"/>
  <c r="P13" i="28"/>
  <c r="O13" i="28"/>
  <c r="M13" i="28"/>
  <c r="H13" i="28"/>
  <c r="C13" i="28"/>
  <c r="AB12" i="28"/>
  <c r="AD12" i="28" s="1"/>
  <c r="Y12" i="28"/>
  <c r="X12" i="28"/>
  <c r="P12" i="28"/>
  <c r="O12" i="28"/>
  <c r="Q12" i="28" s="1"/>
  <c r="M12" i="28"/>
  <c r="J12" i="28"/>
  <c r="H12" i="28"/>
  <c r="C12" i="28"/>
  <c r="AB11" i="28"/>
  <c r="AD11" i="28" s="1"/>
  <c r="J11" i="28" s="1"/>
  <c r="Y11" i="28"/>
  <c r="X11" i="28"/>
  <c r="P11" i="28"/>
  <c r="O11" i="28"/>
  <c r="M11" i="28"/>
  <c r="H11" i="28"/>
  <c r="C11" i="28"/>
  <c r="AD10" i="28"/>
  <c r="J10" i="28" s="1"/>
  <c r="I10" i="28" s="1"/>
  <c r="AB10" i="28"/>
  <c r="Y10" i="28"/>
  <c r="X10" i="28"/>
  <c r="P10" i="28"/>
  <c r="O10" i="28"/>
  <c r="Q10" i="28" s="1"/>
  <c r="M10" i="28"/>
  <c r="H10" i="28"/>
  <c r="C10" i="28"/>
  <c r="AB9" i="28"/>
  <c r="AD9" i="28" s="1"/>
  <c r="J9" i="28" s="1"/>
  <c r="Y9" i="28"/>
  <c r="X9" i="28"/>
  <c r="Q9" i="28"/>
  <c r="P9" i="28"/>
  <c r="O9" i="28"/>
  <c r="M9" i="28"/>
  <c r="H9" i="28"/>
  <c r="C9" i="28"/>
  <c r="AB8" i="28"/>
  <c r="AD8" i="28" s="1"/>
  <c r="J8" i="28" s="1"/>
  <c r="Y8" i="28"/>
  <c r="X8" i="28"/>
  <c r="P8" i="28"/>
  <c r="O8" i="28"/>
  <c r="Q8" i="28" s="1"/>
  <c r="M8" i="28"/>
  <c r="H8" i="28"/>
  <c r="C8" i="28"/>
  <c r="AB7" i="28"/>
  <c r="AD7" i="28" s="1"/>
  <c r="J7" i="28" s="1"/>
  <c r="K7" i="28" s="1"/>
  <c r="Y7" i="28"/>
  <c r="X7" i="28"/>
  <c r="P7" i="28"/>
  <c r="O7" i="28"/>
  <c r="M7" i="28"/>
  <c r="H7" i="28"/>
  <c r="C7" i="28"/>
  <c r="AB6" i="28"/>
  <c r="AD6" i="28" s="1"/>
  <c r="J6" i="28" s="1"/>
  <c r="Y6" i="28"/>
  <c r="X6" i="28"/>
  <c r="P6" i="28"/>
  <c r="O6" i="28"/>
  <c r="M6" i="28"/>
  <c r="H6" i="28"/>
  <c r="C6" i="28"/>
  <c r="AB5" i="28"/>
  <c r="AD5" i="28" s="1"/>
  <c r="J5" i="28" s="1"/>
  <c r="Y5" i="28"/>
  <c r="X5" i="28"/>
  <c r="P5" i="28"/>
  <c r="O5" i="28"/>
  <c r="M5" i="28"/>
  <c r="H5" i="28"/>
  <c r="C5" i="28"/>
  <c r="AB4" i="28"/>
  <c r="AD4" i="28" s="1"/>
  <c r="Y4" i="28"/>
  <c r="X4" i="28"/>
  <c r="P4" i="28"/>
  <c r="O4" i="28"/>
  <c r="Q4" i="28" s="1"/>
  <c r="M4" i="28"/>
  <c r="H4" i="28"/>
  <c r="C4" i="28"/>
  <c r="AG3" i="28"/>
  <c r="AF3" i="28"/>
  <c r="W3" i="28"/>
  <c r="V3" i="28"/>
  <c r="U3" i="28"/>
  <c r="T3" i="28"/>
  <c r="O3" i="28"/>
  <c r="G3" i="28"/>
  <c r="F3" i="28"/>
  <c r="D3" i="28"/>
  <c r="A2" i="28"/>
  <c r="A1" i="28"/>
  <c r="AB31" i="27"/>
  <c r="AD31" i="27" s="1"/>
  <c r="J31" i="27" s="1"/>
  <c r="Y31" i="27"/>
  <c r="X31" i="27"/>
  <c r="P31" i="27"/>
  <c r="O31" i="27"/>
  <c r="M31" i="27"/>
  <c r="H31" i="27"/>
  <c r="C31" i="27"/>
  <c r="AB30" i="27"/>
  <c r="AD30" i="27" s="1"/>
  <c r="J30" i="27" s="1"/>
  <c r="Y30" i="27"/>
  <c r="X30" i="27"/>
  <c r="P30" i="27"/>
  <c r="O30" i="27"/>
  <c r="Q30" i="27" s="1"/>
  <c r="M30" i="27"/>
  <c r="H30" i="27"/>
  <c r="C30" i="27"/>
  <c r="AB29" i="27"/>
  <c r="AD29" i="27" s="1"/>
  <c r="J29" i="27" s="1"/>
  <c r="Y29" i="27"/>
  <c r="X29" i="27"/>
  <c r="P29" i="27"/>
  <c r="O29" i="27"/>
  <c r="Q29" i="27" s="1"/>
  <c r="M29" i="27"/>
  <c r="H29" i="27"/>
  <c r="C29" i="27"/>
  <c r="AD28" i="27"/>
  <c r="AB28" i="27"/>
  <c r="Y28" i="27"/>
  <c r="X28" i="27"/>
  <c r="P28" i="27"/>
  <c r="O28" i="27"/>
  <c r="Q28" i="27" s="1"/>
  <c r="M28" i="27"/>
  <c r="J28" i="27"/>
  <c r="I28" i="27" s="1"/>
  <c r="H28" i="27"/>
  <c r="C28" i="27"/>
  <c r="AB27" i="27"/>
  <c r="AD27" i="27" s="1"/>
  <c r="J27" i="27" s="1"/>
  <c r="Y27" i="27"/>
  <c r="X27" i="27"/>
  <c r="Q27" i="27"/>
  <c r="P27" i="27"/>
  <c r="O27" i="27"/>
  <c r="M27" i="27"/>
  <c r="H27" i="27"/>
  <c r="C27" i="27"/>
  <c r="AD26" i="27"/>
  <c r="J26" i="27" s="1"/>
  <c r="I26" i="27" s="1"/>
  <c r="AB26" i="27"/>
  <c r="Y26" i="27"/>
  <c r="X26" i="27"/>
  <c r="P26" i="27"/>
  <c r="O26" i="27"/>
  <c r="Q26" i="27" s="1"/>
  <c r="M26" i="27"/>
  <c r="K26" i="27"/>
  <c r="H26" i="27"/>
  <c r="C26" i="27"/>
  <c r="AD25" i="27"/>
  <c r="J25" i="27" s="1"/>
  <c r="K25" i="27" s="1"/>
  <c r="AB25" i="27"/>
  <c r="Y25" i="27"/>
  <c r="X25" i="27"/>
  <c r="P25" i="27"/>
  <c r="O25" i="27"/>
  <c r="M25" i="27"/>
  <c r="H25" i="27"/>
  <c r="C25" i="27"/>
  <c r="AB24" i="27"/>
  <c r="AD24" i="27" s="1"/>
  <c r="J24" i="27" s="1"/>
  <c r="Y24" i="27"/>
  <c r="X24" i="27"/>
  <c r="Q24" i="27"/>
  <c r="P24" i="27"/>
  <c r="O24" i="27"/>
  <c r="M24" i="27"/>
  <c r="H24" i="27"/>
  <c r="C24" i="27"/>
  <c r="AB23" i="27"/>
  <c r="AD23" i="27" s="1"/>
  <c r="J23" i="27" s="1"/>
  <c r="Y23" i="27"/>
  <c r="X23" i="27"/>
  <c r="P23" i="27"/>
  <c r="O23" i="27"/>
  <c r="M23" i="27"/>
  <c r="H23" i="27"/>
  <c r="C23" i="27"/>
  <c r="AD22" i="27"/>
  <c r="J22" i="27" s="1"/>
  <c r="AB22" i="27"/>
  <c r="Y22" i="27"/>
  <c r="X22" i="27"/>
  <c r="P22" i="27"/>
  <c r="O22" i="27"/>
  <c r="Q22" i="27" s="1"/>
  <c r="M22" i="27"/>
  <c r="H22" i="27"/>
  <c r="C22" i="27"/>
  <c r="AB21" i="27"/>
  <c r="AD21" i="27" s="1"/>
  <c r="Y21" i="27"/>
  <c r="X21" i="27"/>
  <c r="P21" i="27"/>
  <c r="O21" i="27"/>
  <c r="Q21" i="27" s="1"/>
  <c r="M21" i="27"/>
  <c r="J21" i="27"/>
  <c r="H21" i="27"/>
  <c r="C21" i="27"/>
  <c r="AD20" i="27"/>
  <c r="J20" i="27" s="1"/>
  <c r="I20" i="27" s="1"/>
  <c r="AB20" i="27"/>
  <c r="Y20" i="27"/>
  <c r="X20" i="27"/>
  <c r="P20" i="27"/>
  <c r="O20" i="27"/>
  <c r="Q20" i="27" s="1"/>
  <c r="M20" i="27"/>
  <c r="K20" i="27"/>
  <c r="H20" i="27"/>
  <c r="C20" i="27"/>
  <c r="AB19" i="27"/>
  <c r="AD19" i="27" s="1"/>
  <c r="J19" i="27" s="1"/>
  <c r="K19" i="27" s="1"/>
  <c r="Y19" i="27"/>
  <c r="X19" i="27"/>
  <c r="Q19" i="27"/>
  <c r="P19" i="27"/>
  <c r="O19" i="27"/>
  <c r="M19" i="27"/>
  <c r="H19" i="27"/>
  <c r="C19" i="27"/>
  <c r="AB18" i="27"/>
  <c r="AD18" i="27" s="1"/>
  <c r="J18" i="27" s="1"/>
  <c r="Y18" i="27"/>
  <c r="X18" i="27"/>
  <c r="P18" i="27"/>
  <c r="Q18" i="27" s="1"/>
  <c r="O18" i="27"/>
  <c r="M18" i="27"/>
  <c r="H18" i="27"/>
  <c r="C18" i="27"/>
  <c r="AB17" i="27"/>
  <c r="AD17" i="27" s="1"/>
  <c r="J17" i="27" s="1"/>
  <c r="Y17" i="27"/>
  <c r="X17" i="27"/>
  <c r="P17" i="27"/>
  <c r="O17" i="27"/>
  <c r="M17" i="27"/>
  <c r="H17" i="27"/>
  <c r="C17" i="27"/>
  <c r="AD16" i="27"/>
  <c r="J16" i="27" s="1"/>
  <c r="I16" i="27" s="1"/>
  <c r="AB16" i="27"/>
  <c r="Y16" i="27"/>
  <c r="X16" i="27"/>
  <c r="P16" i="27"/>
  <c r="O16" i="27"/>
  <c r="M16" i="27"/>
  <c r="K16" i="27"/>
  <c r="H16" i="27"/>
  <c r="C16" i="27"/>
  <c r="AB15" i="27"/>
  <c r="AD15" i="27" s="1"/>
  <c r="J15" i="27" s="1"/>
  <c r="I15" i="27" s="1"/>
  <c r="Y15" i="27"/>
  <c r="X15" i="27"/>
  <c r="P15" i="27"/>
  <c r="O15" i="27"/>
  <c r="M15" i="27"/>
  <c r="H15" i="27"/>
  <c r="C15" i="27"/>
  <c r="AD14" i="27"/>
  <c r="J14" i="27" s="1"/>
  <c r="I14" i="27" s="1"/>
  <c r="AB14" i="27"/>
  <c r="Y14" i="27"/>
  <c r="X14" i="27"/>
  <c r="P14" i="27"/>
  <c r="O14" i="27"/>
  <c r="M14" i="27"/>
  <c r="K14" i="27"/>
  <c r="H14" i="27"/>
  <c r="C14" i="27"/>
  <c r="AB13" i="27"/>
  <c r="AD13" i="27" s="1"/>
  <c r="J13" i="27" s="1"/>
  <c r="Y13" i="27"/>
  <c r="X13" i="27"/>
  <c r="P13" i="27"/>
  <c r="Q13" i="27" s="1"/>
  <c r="O13" i="27"/>
  <c r="M13" i="27"/>
  <c r="H13" i="27"/>
  <c r="C13" i="27"/>
  <c r="AB12" i="27"/>
  <c r="AD12" i="27" s="1"/>
  <c r="J12" i="27" s="1"/>
  <c r="Y12" i="27"/>
  <c r="X12" i="27"/>
  <c r="P12" i="27"/>
  <c r="O12" i="27"/>
  <c r="M12" i="27"/>
  <c r="H12" i="27"/>
  <c r="C12" i="27"/>
  <c r="AB11" i="27"/>
  <c r="AD11" i="27" s="1"/>
  <c r="J11" i="27" s="1"/>
  <c r="Y11" i="27"/>
  <c r="X11" i="27"/>
  <c r="P11" i="27"/>
  <c r="O11" i="27"/>
  <c r="M11" i="27"/>
  <c r="H11" i="27"/>
  <c r="C11" i="27"/>
  <c r="AB10" i="27"/>
  <c r="AD10" i="27" s="1"/>
  <c r="J10" i="27" s="1"/>
  <c r="Y10" i="27"/>
  <c r="X10" i="27"/>
  <c r="P10" i="27"/>
  <c r="O10" i="27"/>
  <c r="M10" i="27"/>
  <c r="H10" i="27"/>
  <c r="C10" i="27"/>
  <c r="AB9" i="27"/>
  <c r="AD9" i="27" s="1"/>
  <c r="J9" i="27" s="1"/>
  <c r="Y9" i="27"/>
  <c r="X9" i="27"/>
  <c r="P9" i="27"/>
  <c r="O9" i="27"/>
  <c r="M9" i="27"/>
  <c r="H9" i="27"/>
  <c r="C9" i="27"/>
  <c r="AB8" i="27"/>
  <c r="AD8" i="27" s="1"/>
  <c r="J8" i="27" s="1"/>
  <c r="Y8" i="27"/>
  <c r="X8" i="27"/>
  <c r="P8" i="27"/>
  <c r="O8" i="27"/>
  <c r="M8" i="27"/>
  <c r="H8" i="27"/>
  <c r="C8" i="27"/>
  <c r="AB7" i="27"/>
  <c r="AD7" i="27" s="1"/>
  <c r="J7" i="27" s="1"/>
  <c r="Y7" i="27"/>
  <c r="X7" i="27"/>
  <c r="P7" i="27"/>
  <c r="O7" i="27"/>
  <c r="M7" i="27"/>
  <c r="H7" i="27"/>
  <c r="C7" i="27"/>
  <c r="AB6" i="27"/>
  <c r="AD6" i="27" s="1"/>
  <c r="J6" i="27" s="1"/>
  <c r="Y6" i="27"/>
  <c r="X6" i="27"/>
  <c r="P6" i="27"/>
  <c r="O6" i="27"/>
  <c r="M6" i="27"/>
  <c r="H6" i="27"/>
  <c r="C6" i="27"/>
  <c r="AB5" i="27"/>
  <c r="AD5" i="27" s="1"/>
  <c r="J5" i="27" s="1"/>
  <c r="Y5" i="27"/>
  <c r="X5" i="27"/>
  <c r="P5" i="27"/>
  <c r="O5" i="27"/>
  <c r="Q5" i="27" s="1"/>
  <c r="M5" i="27"/>
  <c r="H5" i="27"/>
  <c r="C5" i="27"/>
  <c r="AB4" i="27"/>
  <c r="AD4" i="27" s="1"/>
  <c r="Y4" i="27"/>
  <c r="X4" i="27"/>
  <c r="P4" i="27"/>
  <c r="O4" i="27"/>
  <c r="Q4" i="27" s="1"/>
  <c r="M4" i="27"/>
  <c r="H4" i="27"/>
  <c r="C4" i="27"/>
  <c r="AG3" i="27"/>
  <c r="AF3" i="27"/>
  <c r="W3" i="27"/>
  <c r="X3" i="27" s="1"/>
  <c r="V3" i="27"/>
  <c r="U3" i="27"/>
  <c r="T3" i="27"/>
  <c r="O3" i="27"/>
  <c r="G3" i="27"/>
  <c r="F3" i="27"/>
  <c r="D3" i="27"/>
  <c r="A2" i="27"/>
  <c r="A1" i="27"/>
  <c r="AB31" i="26"/>
  <c r="AD31" i="26" s="1"/>
  <c r="J31" i="26" s="1"/>
  <c r="Y31" i="26"/>
  <c r="X31" i="26"/>
  <c r="P31" i="26"/>
  <c r="O31" i="26"/>
  <c r="Q31" i="26" s="1"/>
  <c r="M31" i="26"/>
  <c r="H31" i="26"/>
  <c r="C31" i="26"/>
  <c r="AB30" i="26"/>
  <c r="AD30" i="26" s="1"/>
  <c r="J30" i="26" s="1"/>
  <c r="Y30" i="26"/>
  <c r="X30" i="26"/>
  <c r="P30" i="26"/>
  <c r="O30" i="26"/>
  <c r="Q30" i="26" s="1"/>
  <c r="M30" i="26"/>
  <c r="H30" i="26"/>
  <c r="C30" i="26"/>
  <c r="AB29" i="26"/>
  <c r="AD29" i="26" s="1"/>
  <c r="J29" i="26" s="1"/>
  <c r="Y29" i="26"/>
  <c r="X29" i="26"/>
  <c r="Q29" i="26"/>
  <c r="P29" i="26"/>
  <c r="O29" i="26"/>
  <c r="M29" i="26"/>
  <c r="H29" i="26"/>
  <c r="C29" i="26"/>
  <c r="AB28" i="26"/>
  <c r="AD28" i="26" s="1"/>
  <c r="J28" i="26" s="1"/>
  <c r="Y28" i="26"/>
  <c r="X28" i="26"/>
  <c r="P28" i="26"/>
  <c r="O28" i="26"/>
  <c r="M28" i="26"/>
  <c r="H28" i="26"/>
  <c r="C28" i="26"/>
  <c r="AB27" i="26"/>
  <c r="AD27" i="26" s="1"/>
  <c r="J27" i="26" s="1"/>
  <c r="Y27" i="26"/>
  <c r="X27" i="26"/>
  <c r="P27" i="26"/>
  <c r="Q27" i="26" s="1"/>
  <c r="O27" i="26"/>
  <c r="M27" i="26"/>
  <c r="H27" i="26"/>
  <c r="C27" i="26"/>
  <c r="AD26" i="26"/>
  <c r="J26" i="26" s="1"/>
  <c r="I26" i="26" s="1"/>
  <c r="AB26" i="26"/>
  <c r="Y26" i="26"/>
  <c r="X26" i="26"/>
  <c r="P26" i="26"/>
  <c r="O26" i="26"/>
  <c r="Q26" i="26" s="1"/>
  <c r="M26" i="26"/>
  <c r="K26" i="26"/>
  <c r="H26" i="26"/>
  <c r="C26" i="26"/>
  <c r="AB25" i="26"/>
  <c r="AD25" i="26" s="1"/>
  <c r="J25" i="26" s="1"/>
  <c r="Y25" i="26"/>
  <c r="X25" i="26"/>
  <c r="P25" i="26"/>
  <c r="O25" i="26"/>
  <c r="M25" i="26"/>
  <c r="H25" i="26"/>
  <c r="C25" i="26"/>
  <c r="AB24" i="26"/>
  <c r="AD24" i="26" s="1"/>
  <c r="J24" i="26" s="1"/>
  <c r="Y24" i="26"/>
  <c r="X24" i="26"/>
  <c r="P24" i="26"/>
  <c r="O24" i="26"/>
  <c r="Q24" i="26" s="1"/>
  <c r="M24" i="26"/>
  <c r="H24" i="26"/>
  <c r="C24" i="26"/>
  <c r="AD23" i="26"/>
  <c r="J23" i="26" s="1"/>
  <c r="I23" i="26" s="1"/>
  <c r="AB23" i="26"/>
  <c r="Y23" i="26"/>
  <c r="X23" i="26"/>
  <c r="P23" i="26"/>
  <c r="O23" i="26"/>
  <c r="Q23" i="26" s="1"/>
  <c r="M23" i="26"/>
  <c r="H23" i="26"/>
  <c r="C23" i="26"/>
  <c r="AD22" i="26"/>
  <c r="J22" i="26" s="1"/>
  <c r="I22" i="26" s="1"/>
  <c r="AB22" i="26"/>
  <c r="Y22" i="26"/>
  <c r="X22" i="26"/>
  <c r="P22" i="26"/>
  <c r="O22" i="26"/>
  <c r="M22" i="26"/>
  <c r="K22" i="26"/>
  <c r="H22" i="26"/>
  <c r="C22" i="26"/>
  <c r="AD21" i="26"/>
  <c r="J21" i="26" s="1"/>
  <c r="K21" i="26" s="1"/>
  <c r="AB21" i="26"/>
  <c r="Y21" i="26"/>
  <c r="X21" i="26"/>
  <c r="P21" i="26"/>
  <c r="O21" i="26"/>
  <c r="Q21" i="26" s="1"/>
  <c r="M21" i="26"/>
  <c r="I21" i="26"/>
  <c r="H21" i="26"/>
  <c r="C21" i="26"/>
  <c r="AB20" i="26"/>
  <c r="AD20" i="26" s="1"/>
  <c r="J20" i="26" s="1"/>
  <c r="Y20" i="26"/>
  <c r="X20" i="26"/>
  <c r="P20" i="26"/>
  <c r="O20" i="26"/>
  <c r="Q20" i="26" s="1"/>
  <c r="M20" i="26"/>
  <c r="H20" i="26"/>
  <c r="C20" i="26"/>
  <c r="AB19" i="26"/>
  <c r="AD19" i="26" s="1"/>
  <c r="J19" i="26" s="1"/>
  <c r="Y19" i="26"/>
  <c r="X19" i="26"/>
  <c r="P19" i="26"/>
  <c r="O19" i="26"/>
  <c r="Q19" i="26" s="1"/>
  <c r="M19" i="26"/>
  <c r="H19" i="26"/>
  <c r="C19" i="26"/>
  <c r="AB18" i="26"/>
  <c r="AD18" i="26" s="1"/>
  <c r="J18" i="26" s="1"/>
  <c r="I18" i="26" s="1"/>
  <c r="Y18" i="26"/>
  <c r="X18" i="26"/>
  <c r="P18" i="26"/>
  <c r="Q18" i="26" s="1"/>
  <c r="O18" i="26"/>
  <c r="M18" i="26"/>
  <c r="H18" i="26"/>
  <c r="C18" i="26"/>
  <c r="AB17" i="26"/>
  <c r="AD17" i="26" s="1"/>
  <c r="J17" i="26" s="1"/>
  <c r="Y17" i="26"/>
  <c r="X17" i="26"/>
  <c r="P17" i="26"/>
  <c r="O17" i="26"/>
  <c r="M17" i="26"/>
  <c r="H17" i="26"/>
  <c r="C17" i="26"/>
  <c r="AB16" i="26"/>
  <c r="AD16" i="26" s="1"/>
  <c r="J16" i="26" s="1"/>
  <c r="Y16" i="26"/>
  <c r="X16" i="26"/>
  <c r="P16" i="26"/>
  <c r="O16" i="26"/>
  <c r="M16" i="26"/>
  <c r="H16" i="26"/>
  <c r="C16" i="26"/>
  <c r="AD15" i="26"/>
  <c r="J15" i="26" s="1"/>
  <c r="I15" i="26" s="1"/>
  <c r="AB15" i="26"/>
  <c r="Y15" i="26"/>
  <c r="X15" i="26"/>
  <c r="P15" i="26"/>
  <c r="O15" i="26"/>
  <c r="Q15" i="26" s="1"/>
  <c r="M15" i="26"/>
  <c r="H15" i="26"/>
  <c r="C15" i="26"/>
  <c r="AB14" i="26"/>
  <c r="AD14" i="26" s="1"/>
  <c r="J14" i="26" s="1"/>
  <c r="Y14" i="26"/>
  <c r="X14" i="26"/>
  <c r="P14" i="26"/>
  <c r="O14" i="26"/>
  <c r="Q14" i="26" s="1"/>
  <c r="M14" i="26"/>
  <c r="H14" i="26"/>
  <c r="C14" i="26"/>
  <c r="AB13" i="26"/>
  <c r="AD13" i="26" s="1"/>
  <c r="J13" i="26" s="1"/>
  <c r="Y13" i="26"/>
  <c r="X13" i="26"/>
  <c r="P13" i="26"/>
  <c r="O13" i="26"/>
  <c r="M13" i="26"/>
  <c r="H13" i="26"/>
  <c r="C13" i="26"/>
  <c r="AB12" i="26"/>
  <c r="AD12" i="26" s="1"/>
  <c r="J12" i="26" s="1"/>
  <c r="Y12" i="26"/>
  <c r="X12" i="26"/>
  <c r="P12" i="26"/>
  <c r="O12" i="26"/>
  <c r="M12" i="26"/>
  <c r="H12" i="26"/>
  <c r="C12" i="26"/>
  <c r="AB11" i="26"/>
  <c r="AD11" i="26" s="1"/>
  <c r="J11" i="26" s="1"/>
  <c r="Y11" i="26"/>
  <c r="X11" i="26"/>
  <c r="P11" i="26"/>
  <c r="Q11" i="26" s="1"/>
  <c r="O11" i="26"/>
  <c r="M11" i="26"/>
  <c r="H11" i="26"/>
  <c r="C11" i="26"/>
  <c r="AB10" i="26"/>
  <c r="AD10" i="26" s="1"/>
  <c r="J10" i="26" s="1"/>
  <c r="Y10" i="26"/>
  <c r="X10" i="26"/>
  <c r="P10" i="26"/>
  <c r="O10" i="26"/>
  <c r="Q10" i="26" s="1"/>
  <c r="M10" i="26"/>
  <c r="H10" i="26"/>
  <c r="C10" i="26"/>
  <c r="AB9" i="26"/>
  <c r="AD9" i="26" s="1"/>
  <c r="J9" i="26" s="1"/>
  <c r="Y9" i="26"/>
  <c r="X9" i="26"/>
  <c r="P9" i="26"/>
  <c r="O9" i="26"/>
  <c r="M9" i="26"/>
  <c r="H9" i="26"/>
  <c r="C9" i="26"/>
  <c r="AB8" i="26"/>
  <c r="AD8" i="26" s="1"/>
  <c r="J8" i="26" s="1"/>
  <c r="Y8" i="26"/>
  <c r="X8" i="26"/>
  <c r="P8" i="26"/>
  <c r="O8" i="26"/>
  <c r="M8" i="26"/>
  <c r="H8" i="26"/>
  <c r="C8" i="26"/>
  <c r="AD7" i="26"/>
  <c r="J7" i="26" s="1"/>
  <c r="I7" i="26" s="1"/>
  <c r="AB7" i="26"/>
  <c r="Y7" i="26"/>
  <c r="X7" i="26"/>
  <c r="P7" i="26"/>
  <c r="O7" i="26"/>
  <c r="M7" i="26"/>
  <c r="H7" i="26"/>
  <c r="C7" i="26"/>
  <c r="AD6" i="26"/>
  <c r="J6" i="26" s="1"/>
  <c r="AB6" i="26"/>
  <c r="Y6" i="26"/>
  <c r="X6" i="26"/>
  <c r="P6" i="26"/>
  <c r="O6" i="26"/>
  <c r="Q6" i="26" s="1"/>
  <c r="M6" i="26"/>
  <c r="H6" i="26"/>
  <c r="C6" i="26"/>
  <c r="AB5" i="26"/>
  <c r="AD5" i="26" s="1"/>
  <c r="J5" i="26" s="1"/>
  <c r="Y5" i="26"/>
  <c r="X5" i="26"/>
  <c r="P5" i="26"/>
  <c r="O5" i="26"/>
  <c r="M5" i="26"/>
  <c r="H5" i="26"/>
  <c r="C5" i="26"/>
  <c r="AB4" i="26"/>
  <c r="AD4" i="26" s="1"/>
  <c r="J4" i="26" s="1"/>
  <c r="Y4" i="26"/>
  <c r="X4" i="26"/>
  <c r="P4" i="26"/>
  <c r="O4" i="26"/>
  <c r="M4" i="26"/>
  <c r="H4" i="26"/>
  <c r="C4" i="26"/>
  <c r="AG3" i="26"/>
  <c r="AF3" i="26"/>
  <c r="W3" i="26"/>
  <c r="V3" i="26"/>
  <c r="U3" i="26"/>
  <c r="T3" i="26"/>
  <c r="O3" i="26"/>
  <c r="G3" i="26"/>
  <c r="F3" i="26"/>
  <c r="D3" i="26"/>
  <c r="A2" i="26"/>
  <c r="A1" i="26"/>
  <c r="AB31" i="25"/>
  <c r="AD31" i="25" s="1"/>
  <c r="J31" i="25" s="1"/>
  <c r="Y31" i="25"/>
  <c r="X31" i="25"/>
  <c r="P31" i="25"/>
  <c r="O31" i="25"/>
  <c r="M31" i="25"/>
  <c r="H31" i="25"/>
  <c r="C31" i="25"/>
  <c r="AB30" i="25"/>
  <c r="AD30" i="25" s="1"/>
  <c r="J30" i="25" s="1"/>
  <c r="Y30" i="25"/>
  <c r="X30" i="25"/>
  <c r="P30" i="25"/>
  <c r="O30" i="25"/>
  <c r="M30" i="25"/>
  <c r="H30" i="25"/>
  <c r="C30" i="25"/>
  <c r="AB29" i="25"/>
  <c r="AD29" i="25" s="1"/>
  <c r="J29" i="25" s="1"/>
  <c r="Y29" i="25"/>
  <c r="X29" i="25"/>
  <c r="Q29" i="25"/>
  <c r="P29" i="25"/>
  <c r="O29" i="25"/>
  <c r="M29" i="25"/>
  <c r="H29" i="25"/>
  <c r="C29" i="25"/>
  <c r="AD28" i="25"/>
  <c r="J28" i="25" s="1"/>
  <c r="I28" i="25" s="1"/>
  <c r="AB28" i="25"/>
  <c r="Y28" i="25"/>
  <c r="X28" i="25"/>
  <c r="P28" i="25"/>
  <c r="O28" i="25"/>
  <c r="Q28" i="25" s="1"/>
  <c r="M28" i="25"/>
  <c r="K28" i="25"/>
  <c r="H28" i="25"/>
  <c r="C28" i="25"/>
  <c r="AD27" i="25"/>
  <c r="J27" i="25" s="1"/>
  <c r="AB27" i="25"/>
  <c r="Y27" i="25"/>
  <c r="X27" i="25"/>
  <c r="P27" i="25"/>
  <c r="O27" i="25"/>
  <c r="Q27" i="25" s="1"/>
  <c r="M27" i="25"/>
  <c r="K27" i="25"/>
  <c r="I27" i="25"/>
  <c r="H27" i="25"/>
  <c r="C27" i="25"/>
  <c r="AB26" i="25"/>
  <c r="AD26" i="25" s="1"/>
  <c r="J26" i="25" s="1"/>
  <c r="Y26" i="25"/>
  <c r="X26" i="25"/>
  <c r="P26" i="25"/>
  <c r="O26" i="25"/>
  <c r="Q26" i="25" s="1"/>
  <c r="M26" i="25"/>
  <c r="H26" i="25"/>
  <c r="C26" i="25"/>
  <c r="AB25" i="25"/>
  <c r="AD25" i="25" s="1"/>
  <c r="J25" i="25" s="1"/>
  <c r="Y25" i="25"/>
  <c r="X25" i="25"/>
  <c r="Q25" i="25"/>
  <c r="P25" i="25"/>
  <c r="O25" i="25"/>
  <c r="M25" i="25"/>
  <c r="H25" i="25"/>
  <c r="C25" i="25"/>
  <c r="AD24" i="25"/>
  <c r="J24" i="25" s="1"/>
  <c r="I24" i="25" s="1"/>
  <c r="AB24" i="25"/>
  <c r="Y24" i="25"/>
  <c r="X24" i="25"/>
  <c r="P24" i="25"/>
  <c r="O24" i="25"/>
  <c r="Q24" i="25" s="1"/>
  <c r="M24" i="25"/>
  <c r="H24" i="25"/>
  <c r="C24" i="25"/>
  <c r="AD23" i="25"/>
  <c r="J23" i="25" s="1"/>
  <c r="AB23" i="25"/>
  <c r="Y23" i="25"/>
  <c r="X23" i="25"/>
  <c r="P23" i="25"/>
  <c r="O23" i="25"/>
  <c r="Q23" i="25" s="1"/>
  <c r="M23" i="25"/>
  <c r="H23" i="25"/>
  <c r="C23" i="25"/>
  <c r="AB22" i="25"/>
  <c r="AD22" i="25" s="1"/>
  <c r="J22" i="25" s="1"/>
  <c r="K22" i="25" s="1"/>
  <c r="Y22" i="25"/>
  <c r="X22" i="25"/>
  <c r="P22" i="25"/>
  <c r="O22" i="25"/>
  <c r="M22" i="25"/>
  <c r="I22" i="25"/>
  <c r="H22" i="25"/>
  <c r="C22" i="25"/>
  <c r="AB21" i="25"/>
  <c r="AD21" i="25" s="1"/>
  <c r="J21" i="25" s="1"/>
  <c r="Y21" i="25"/>
  <c r="X21" i="25"/>
  <c r="P21" i="25"/>
  <c r="Q21" i="25" s="1"/>
  <c r="O21" i="25"/>
  <c r="M21" i="25"/>
  <c r="H21" i="25"/>
  <c r="C21" i="25"/>
  <c r="AB20" i="25"/>
  <c r="AD20" i="25" s="1"/>
  <c r="J20" i="25" s="1"/>
  <c r="Y20" i="25"/>
  <c r="X20" i="25"/>
  <c r="P20" i="25"/>
  <c r="O20" i="25"/>
  <c r="M20" i="25"/>
  <c r="H20" i="25"/>
  <c r="C20" i="25"/>
  <c r="AD19" i="25"/>
  <c r="J19" i="25" s="1"/>
  <c r="K19" i="25" s="1"/>
  <c r="AB19" i="25"/>
  <c r="Y19" i="25"/>
  <c r="X19" i="25"/>
  <c r="P19" i="25"/>
  <c r="O19" i="25"/>
  <c r="Q19" i="25" s="1"/>
  <c r="M19" i="25"/>
  <c r="I19" i="25"/>
  <c r="H19" i="25"/>
  <c r="C19" i="25"/>
  <c r="AB18" i="25"/>
  <c r="AD18" i="25" s="1"/>
  <c r="J18" i="25" s="1"/>
  <c r="Y18" i="25"/>
  <c r="X18" i="25"/>
  <c r="P18" i="25"/>
  <c r="O18" i="25"/>
  <c r="Q18" i="25" s="1"/>
  <c r="M18" i="25"/>
  <c r="H18" i="25"/>
  <c r="C18" i="25"/>
  <c r="AB17" i="25"/>
  <c r="AD17" i="25" s="1"/>
  <c r="J17" i="25" s="1"/>
  <c r="Y17" i="25"/>
  <c r="X17" i="25"/>
  <c r="P17" i="25"/>
  <c r="Q17" i="25" s="1"/>
  <c r="O17" i="25"/>
  <c r="M17" i="25"/>
  <c r="H17" i="25"/>
  <c r="C17" i="25"/>
  <c r="AB16" i="25"/>
  <c r="AD16" i="25" s="1"/>
  <c r="J16" i="25" s="1"/>
  <c r="I16" i="25" s="1"/>
  <c r="Y16" i="25"/>
  <c r="X16" i="25"/>
  <c r="P16" i="25"/>
  <c r="O16" i="25"/>
  <c r="Q16" i="25" s="1"/>
  <c r="M16" i="25"/>
  <c r="H16" i="25"/>
  <c r="C16" i="25"/>
  <c r="AB15" i="25"/>
  <c r="AD15" i="25" s="1"/>
  <c r="J15" i="25" s="1"/>
  <c r="Y15" i="25"/>
  <c r="X15" i="25"/>
  <c r="Q15" i="25"/>
  <c r="P15" i="25"/>
  <c r="O15" i="25"/>
  <c r="M15" i="25"/>
  <c r="H15" i="25"/>
  <c r="C15" i="25"/>
  <c r="AB14" i="25"/>
  <c r="AD14" i="25" s="1"/>
  <c r="J14" i="25" s="1"/>
  <c r="Y14" i="25"/>
  <c r="X14" i="25"/>
  <c r="P14" i="25"/>
  <c r="O14" i="25"/>
  <c r="M14" i="25"/>
  <c r="H14" i="25"/>
  <c r="C14" i="25"/>
  <c r="AD13" i="25"/>
  <c r="J13" i="25" s="1"/>
  <c r="I13" i="25" s="1"/>
  <c r="AB13" i="25"/>
  <c r="Y13" i="25"/>
  <c r="X13" i="25"/>
  <c r="P13" i="25"/>
  <c r="O13" i="25"/>
  <c r="M13" i="25"/>
  <c r="H13" i="25"/>
  <c r="C13" i="25"/>
  <c r="AD12" i="25"/>
  <c r="J12" i="25" s="1"/>
  <c r="AB12" i="25"/>
  <c r="Y12" i="25"/>
  <c r="X12" i="25"/>
  <c r="P12" i="25"/>
  <c r="O12" i="25"/>
  <c r="M12" i="25"/>
  <c r="H12" i="25"/>
  <c r="C12" i="25"/>
  <c r="AB11" i="25"/>
  <c r="AD11" i="25" s="1"/>
  <c r="J11" i="25" s="1"/>
  <c r="K11" i="25" s="1"/>
  <c r="Y11" i="25"/>
  <c r="X11" i="25"/>
  <c r="P11" i="25"/>
  <c r="O11" i="25"/>
  <c r="M11" i="25"/>
  <c r="H11" i="25"/>
  <c r="C11" i="25"/>
  <c r="AB10" i="25"/>
  <c r="AD10" i="25" s="1"/>
  <c r="J10" i="25" s="1"/>
  <c r="Y10" i="25"/>
  <c r="X10" i="25"/>
  <c r="P10" i="25"/>
  <c r="O10" i="25"/>
  <c r="M10" i="25"/>
  <c r="H10" i="25"/>
  <c r="C10" i="25"/>
  <c r="AB9" i="25"/>
  <c r="AD9" i="25" s="1"/>
  <c r="J9" i="25" s="1"/>
  <c r="Y9" i="25"/>
  <c r="X9" i="25"/>
  <c r="P9" i="25"/>
  <c r="O9" i="25"/>
  <c r="M9" i="25"/>
  <c r="H9" i="25"/>
  <c r="C9" i="25"/>
  <c r="AB8" i="25"/>
  <c r="AD8" i="25" s="1"/>
  <c r="J8" i="25" s="1"/>
  <c r="Y8" i="25"/>
  <c r="X8" i="25"/>
  <c r="P8" i="25"/>
  <c r="O8" i="25"/>
  <c r="Q8" i="25" s="1"/>
  <c r="M8" i="25"/>
  <c r="H8" i="25"/>
  <c r="C8" i="25"/>
  <c r="AB7" i="25"/>
  <c r="AD7" i="25" s="1"/>
  <c r="J7" i="25" s="1"/>
  <c r="K7" i="25" s="1"/>
  <c r="Y7" i="25"/>
  <c r="X7" i="25"/>
  <c r="P7" i="25"/>
  <c r="O7" i="25"/>
  <c r="M7" i="25"/>
  <c r="H7" i="25"/>
  <c r="C7" i="25"/>
  <c r="AB6" i="25"/>
  <c r="AD6" i="25" s="1"/>
  <c r="J6" i="25" s="1"/>
  <c r="K6" i="25" s="1"/>
  <c r="Y6" i="25"/>
  <c r="X6" i="25"/>
  <c r="P6" i="25"/>
  <c r="O6" i="25"/>
  <c r="M6" i="25"/>
  <c r="H6" i="25"/>
  <c r="C6" i="25"/>
  <c r="AB5" i="25"/>
  <c r="AD5" i="25" s="1"/>
  <c r="J5" i="25" s="1"/>
  <c r="Y5" i="25"/>
  <c r="X5" i="25"/>
  <c r="P5" i="25"/>
  <c r="O5" i="25"/>
  <c r="Q5" i="25" s="1"/>
  <c r="M5" i="25"/>
  <c r="H5" i="25"/>
  <c r="C5" i="25"/>
  <c r="AD4" i="25"/>
  <c r="AB4" i="25"/>
  <c r="Y4" i="25"/>
  <c r="X4" i="25"/>
  <c r="P4" i="25"/>
  <c r="O4" i="25"/>
  <c r="M4" i="25"/>
  <c r="H4" i="25"/>
  <c r="C4" i="25"/>
  <c r="AG3" i="25"/>
  <c r="AF3" i="25"/>
  <c r="W3" i="25"/>
  <c r="V3" i="25"/>
  <c r="U3" i="25"/>
  <c r="T3" i="25"/>
  <c r="O3" i="25"/>
  <c r="G3" i="25"/>
  <c r="D3" i="25"/>
  <c r="A2" i="25"/>
  <c r="A1" i="25"/>
  <c r="AB31" i="24"/>
  <c r="AD31" i="24" s="1"/>
  <c r="J31" i="24" s="1"/>
  <c r="I31" i="24" s="1"/>
  <c r="Y31" i="24"/>
  <c r="X31" i="24"/>
  <c r="P31" i="24"/>
  <c r="O31" i="24"/>
  <c r="Q31" i="24" s="1"/>
  <c r="M31" i="24"/>
  <c r="K31" i="24"/>
  <c r="H31" i="24"/>
  <c r="C31" i="24"/>
  <c r="AB30" i="24"/>
  <c r="AD30" i="24" s="1"/>
  <c r="J30" i="24" s="1"/>
  <c r="Y30" i="24"/>
  <c r="X30" i="24"/>
  <c r="Q30" i="24"/>
  <c r="P30" i="24"/>
  <c r="O30" i="24"/>
  <c r="M30" i="24"/>
  <c r="H30" i="24"/>
  <c r="C30" i="24"/>
  <c r="AB29" i="24"/>
  <c r="AD29" i="24" s="1"/>
  <c r="J29" i="24" s="1"/>
  <c r="K29" i="24" s="1"/>
  <c r="Y29" i="24"/>
  <c r="X29" i="24"/>
  <c r="P29" i="24"/>
  <c r="O29" i="24"/>
  <c r="M29" i="24"/>
  <c r="H29" i="24"/>
  <c r="C29" i="24"/>
  <c r="AB28" i="24"/>
  <c r="AD28" i="24" s="1"/>
  <c r="J28" i="24" s="1"/>
  <c r="Y28" i="24"/>
  <c r="X28" i="24"/>
  <c r="P28" i="24"/>
  <c r="O28" i="24"/>
  <c r="M28" i="24"/>
  <c r="H28" i="24"/>
  <c r="C28" i="24"/>
  <c r="AB27" i="24"/>
  <c r="AD27" i="24" s="1"/>
  <c r="J27" i="24" s="1"/>
  <c r="Y27" i="24"/>
  <c r="X27" i="24"/>
  <c r="P27" i="24"/>
  <c r="O27" i="24"/>
  <c r="Q27" i="24" s="1"/>
  <c r="M27" i="24"/>
  <c r="H27" i="24"/>
  <c r="C27" i="24"/>
  <c r="AB26" i="24"/>
  <c r="AD26" i="24" s="1"/>
  <c r="J26" i="24" s="1"/>
  <c r="Y26" i="24"/>
  <c r="X26" i="24"/>
  <c r="P26" i="24"/>
  <c r="O26" i="24"/>
  <c r="Q26" i="24" s="1"/>
  <c r="M26" i="24"/>
  <c r="H26" i="24"/>
  <c r="C26" i="24"/>
  <c r="AB25" i="24"/>
  <c r="AD25" i="24" s="1"/>
  <c r="J25" i="24" s="1"/>
  <c r="K25" i="24" s="1"/>
  <c r="Y25" i="24"/>
  <c r="X25" i="24"/>
  <c r="Q25" i="24"/>
  <c r="P25" i="24"/>
  <c r="O25" i="24"/>
  <c r="M25" i="24"/>
  <c r="H25" i="24"/>
  <c r="C25" i="24"/>
  <c r="AB24" i="24"/>
  <c r="AD24" i="24" s="1"/>
  <c r="J24" i="24" s="1"/>
  <c r="Y24" i="24"/>
  <c r="X24" i="24"/>
  <c r="P24" i="24"/>
  <c r="O24" i="24"/>
  <c r="Q24" i="24" s="1"/>
  <c r="M24" i="24"/>
  <c r="H24" i="24"/>
  <c r="C24" i="24"/>
  <c r="AB23" i="24"/>
  <c r="AD23" i="24" s="1"/>
  <c r="J23" i="24" s="1"/>
  <c r="Y23" i="24"/>
  <c r="X23" i="24"/>
  <c r="P23" i="24"/>
  <c r="Q23" i="24" s="1"/>
  <c r="O23" i="24"/>
  <c r="M23" i="24"/>
  <c r="H23" i="24"/>
  <c r="C23" i="24"/>
  <c r="AB22" i="24"/>
  <c r="AD22" i="24" s="1"/>
  <c r="J22" i="24" s="1"/>
  <c r="Y22" i="24"/>
  <c r="X22" i="24"/>
  <c r="P22" i="24"/>
  <c r="Q22" i="24" s="1"/>
  <c r="O22" i="24"/>
  <c r="M22" i="24"/>
  <c r="H22" i="24"/>
  <c r="C22" i="24"/>
  <c r="AB21" i="24"/>
  <c r="AD21" i="24" s="1"/>
  <c r="J21" i="24" s="1"/>
  <c r="I21" i="24" s="1"/>
  <c r="Y21" i="24"/>
  <c r="X21" i="24"/>
  <c r="P21" i="24"/>
  <c r="O21" i="24"/>
  <c r="M21" i="24"/>
  <c r="H21" i="24"/>
  <c r="C21" i="24"/>
  <c r="AB20" i="24"/>
  <c r="AD20" i="24" s="1"/>
  <c r="Y20" i="24"/>
  <c r="X20" i="24"/>
  <c r="P20" i="24"/>
  <c r="O20" i="24"/>
  <c r="M20" i="24"/>
  <c r="J20" i="24"/>
  <c r="K20" i="24" s="1"/>
  <c r="H20" i="24"/>
  <c r="C20" i="24"/>
  <c r="AB19" i="24"/>
  <c r="AD19" i="24" s="1"/>
  <c r="J19" i="24" s="1"/>
  <c r="Y19" i="24"/>
  <c r="X19" i="24"/>
  <c r="P19" i="24"/>
  <c r="O19" i="24"/>
  <c r="M19" i="24"/>
  <c r="H19" i="24"/>
  <c r="C19" i="24"/>
  <c r="AB18" i="24"/>
  <c r="AD18" i="24" s="1"/>
  <c r="J18" i="24" s="1"/>
  <c r="Y18" i="24"/>
  <c r="X18" i="24"/>
  <c r="P18" i="24"/>
  <c r="O18" i="24"/>
  <c r="Q18" i="24" s="1"/>
  <c r="M18" i="24"/>
  <c r="H18" i="24"/>
  <c r="C18" i="24"/>
  <c r="AB17" i="24"/>
  <c r="AD17" i="24" s="1"/>
  <c r="J17" i="24" s="1"/>
  <c r="K17" i="24" s="1"/>
  <c r="Y17" i="24"/>
  <c r="X17" i="24"/>
  <c r="P17" i="24"/>
  <c r="O17" i="24"/>
  <c r="M17" i="24"/>
  <c r="H17" i="24"/>
  <c r="C17" i="24"/>
  <c r="AB16" i="24"/>
  <c r="AD16" i="24" s="1"/>
  <c r="J16" i="24" s="1"/>
  <c r="K16" i="24" s="1"/>
  <c r="Y16" i="24"/>
  <c r="X16" i="24"/>
  <c r="P16" i="24"/>
  <c r="O16" i="24"/>
  <c r="M16" i="24"/>
  <c r="H16" i="24"/>
  <c r="C16" i="24"/>
  <c r="AB15" i="24"/>
  <c r="AD15" i="24" s="1"/>
  <c r="J15" i="24" s="1"/>
  <c r="Y15" i="24"/>
  <c r="X15" i="24"/>
  <c r="P15" i="24"/>
  <c r="Q15" i="24" s="1"/>
  <c r="O15" i="24"/>
  <c r="M15" i="24"/>
  <c r="H15" i="24"/>
  <c r="C15" i="24"/>
  <c r="AD14" i="24"/>
  <c r="J14" i="24" s="1"/>
  <c r="I14" i="24" s="1"/>
  <c r="AB14" i="24"/>
  <c r="Y14" i="24"/>
  <c r="X14" i="24"/>
  <c r="P14" i="24"/>
  <c r="O14" i="24"/>
  <c r="Q14" i="24" s="1"/>
  <c r="M14" i="24"/>
  <c r="K14" i="24"/>
  <c r="H14" i="24"/>
  <c r="C14" i="24"/>
  <c r="AB13" i="24"/>
  <c r="AD13" i="24" s="1"/>
  <c r="J13" i="24" s="1"/>
  <c r="Y13" i="24"/>
  <c r="X13" i="24"/>
  <c r="P13" i="24"/>
  <c r="O13" i="24"/>
  <c r="M13" i="24"/>
  <c r="H13" i="24"/>
  <c r="C13" i="24"/>
  <c r="AB12" i="24"/>
  <c r="AD12" i="24" s="1"/>
  <c r="Y12" i="24"/>
  <c r="X12" i="24"/>
  <c r="P12" i="24"/>
  <c r="O12" i="24"/>
  <c r="Q12" i="24" s="1"/>
  <c r="M12" i="24"/>
  <c r="J12" i="24"/>
  <c r="H12" i="24"/>
  <c r="C12" i="24"/>
  <c r="AD11" i="24"/>
  <c r="J11" i="24" s="1"/>
  <c r="AB11" i="24"/>
  <c r="Y11" i="24"/>
  <c r="X11" i="24"/>
  <c r="P11" i="24"/>
  <c r="O11" i="24"/>
  <c r="Q11" i="24" s="1"/>
  <c r="M11" i="24"/>
  <c r="H11" i="24"/>
  <c r="C11" i="24"/>
  <c r="AB10" i="24"/>
  <c r="AD10" i="24" s="1"/>
  <c r="J10" i="24" s="1"/>
  <c r="I10" i="24" s="1"/>
  <c r="Y10" i="24"/>
  <c r="X10" i="24"/>
  <c r="P10" i="24"/>
  <c r="O10" i="24"/>
  <c r="Q10" i="24" s="1"/>
  <c r="M10" i="24"/>
  <c r="H10" i="24"/>
  <c r="C10" i="24"/>
  <c r="AB9" i="24"/>
  <c r="AD9" i="24" s="1"/>
  <c r="J9" i="24" s="1"/>
  <c r="Y9" i="24"/>
  <c r="X9" i="24"/>
  <c r="P9" i="24"/>
  <c r="O9" i="24"/>
  <c r="M9" i="24"/>
  <c r="H9" i="24"/>
  <c r="C9" i="24"/>
  <c r="AB8" i="24"/>
  <c r="AD8" i="24" s="1"/>
  <c r="Y8" i="24"/>
  <c r="X8" i="24"/>
  <c r="P8" i="24"/>
  <c r="O8" i="24"/>
  <c r="M8" i="24"/>
  <c r="J8" i="24"/>
  <c r="H8" i="24"/>
  <c r="C8" i="24"/>
  <c r="AD7" i="24"/>
  <c r="J7" i="24" s="1"/>
  <c r="I7" i="24" s="1"/>
  <c r="AB7" i="24"/>
  <c r="Y7" i="24"/>
  <c r="X7" i="24"/>
  <c r="P7" i="24"/>
  <c r="O7" i="24"/>
  <c r="Q7" i="24" s="1"/>
  <c r="M7" i="24"/>
  <c r="K7" i="24"/>
  <c r="H7" i="24"/>
  <c r="C7" i="24"/>
  <c r="AD6" i="24"/>
  <c r="J6" i="24" s="1"/>
  <c r="I6" i="24" s="1"/>
  <c r="AB6" i="24"/>
  <c r="Y6" i="24"/>
  <c r="X6" i="24"/>
  <c r="P6" i="24"/>
  <c r="O6" i="24"/>
  <c r="Q6" i="24" s="1"/>
  <c r="M6" i="24"/>
  <c r="H6" i="24"/>
  <c r="C6" i="24"/>
  <c r="AD5" i="24"/>
  <c r="J5" i="24" s="1"/>
  <c r="K5" i="24" s="1"/>
  <c r="AB5" i="24"/>
  <c r="Y5" i="24"/>
  <c r="X5" i="24"/>
  <c r="P5" i="24"/>
  <c r="O5" i="24"/>
  <c r="Q5" i="24" s="1"/>
  <c r="M5" i="24"/>
  <c r="H5" i="24"/>
  <c r="C5" i="24"/>
  <c r="AB4" i="24"/>
  <c r="AD4" i="24" s="1"/>
  <c r="Y4" i="24"/>
  <c r="X4" i="24"/>
  <c r="P4" i="24"/>
  <c r="O4" i="24"/>
  <c r="M4" i="24"/>
  <c r="H4" i="24"/>
  <c r="C4" i="24"/>
  <c r="AG3" i="24"/>
  <c r="AF3" i="24"/>
  <c r="W3" i="24"/>
  <c r="V3" i="24"/>
  <c r="U3" i="24"/>
  <c r="T3" i="24"/>
  <c r="O3" i="24"/>
  <c r="G3" i="24"/>
  <c r="F3" i="24"/>
  <c r="D3" i="24"/>
  <c r="A2" i="24"/>
  <c r="A1" i="24"/>
  <c r="AB31" i="23"/>
  <c r="AD31" i="23" s="1"/>
  <c r="J31" i="23" s="1"/>
  <c r="K31" i="23" s="1"/>
  <c r="Y31" i="23"/>
  <c r="X31" i="23"/>
  <c r="P31" i="23"/>
  <c r="O31" i="23"/>
  <c r="Q31" i="23" s="1"/>
  <c r="M31" i="23"/>
  <c r="H31" i="23"/>
  <c r="C31" i="23"/>
  <c r="AB30" i="23"/>
  <c r="AD30" i="23" s="1"/>
  <c r="J30" i="23" s="1"/>
  <c r="Y30" i="23"/>
  <c r="X30" i="23"/>
  <c r="P30" i="23"/>
  <c r="O30" i="23"/>
  <c r="M30" i="23"/>
  <c r="H30" i="23"/>
  <c r="C30" i="23"/>
  <c r="AB29" i="23"/>
  <c r="AD29" i="23" s="1"/>
  <c r="J29" i="23" s="1"/>
  <c r="Y29" i="23"/>
  <c r="X29" i="23"/>
  <c r="P29" i="23"/>
  <c r="Q29" i="23" s="1"/>
  <c r="O29" i="23"/>
  <c r="M29" i="23"/>
  <c r="H29" i="23"/>
  <c r="C29" i="23"/>
  <c r="AB28" i="23"/>
  <c r="AD28" i="23" s="1"/>
  <c r="Y28" i="23"/>
  <c r="X28" i="23"/>
  <c r="P28" i="23"/>
  <c r="O28" i="23"/>
  <c r="Q28" i="23" s="1"/>
  <c r="M28" i="23"/>
  <c r="J28" i="23"/>
  <c r="H28" i="23"/>
  <c r="C28" i="23"/>
  <c r="AB27" i="23"/>
  <c r="AD27" i="23" s="1"/>
  <c r="J27" i="23" s="1"/>
  <c r="K27" i="23" s="1"/>
  <c r="Y27" i="23"/>
  <c r="X27" i="23"/>
  <c r="P27" i="23"/>
  <c r="O27" i="23"/>
  <c r="Q27" i="23" s="1"/>
  <c r="M27" i="23"/>
  <c r="H27" i="23"/>
  <c r="C27" i="23"/>
  <c r="AB26" i="23"/>
  <c r="AD26" i="23" s="1"/>
  <c r="J26" i="23" s="1"/>
  <c r="Y26" i="23"/>
  <c r="X26" i="23"/>
  <c r="P26" i="23"/>
  <c r="O26" i="23"/>
  <c r="M26" i="23"/>
  <c r="H26" i="23"/>
  <c r="C26" i="23"/>
  <c r="AB25" i="23"/>
  <c r="AD25" i="23" s="1"/>
  <c r="J25" i="23" s="1"/>
  <c r="Y25" i="23"/>
  <c r="X25" i="23"/>
  <c r="P25" i="23"/>
  <c r="O25" i="23"/>
  <c r="M25" i="23"/>
  <c r="H25" i="23"/>
  <c r="C25" i="23"/>
  <c r="AB24" i="23"/>
  <c r="AD24" i="23" s="1"/>
  <c r="J24" i="23" s="1"/>
  <c r="Y24" i="23"/>
  <c r="X24" i="23"/>
  <c r="Q24" i="23"/>
  <c r="P24" i="23"/>
  <c r="O24" i="23"/>
  <c r="M24" i="23"/>
  <c r="H24" i="23"/>
  <c r="C24" i="23"/>
  <c r="AB23" i="23"/>
  <c r="AD23" i="23" s="1"/>
  <c r="J23" i="23" s="1"/>
  <c r="Y23" i="23"/>
  <c r="X23" i="23"/>
  <c r="P23" i="23"/>
  <c r="O23" i="23"/>
  <c r="M23" i="23"/>
  <c r="H23" i="23"/>
  <c r="C23" i="23"/>
  <c r="AB22" i="23"/>
  <c r="AD22" i="23" s="1"/>
  <c r="Y22" i="23"/>
  <c r="X22" i="23"/>
  <c r="P22" i="23"/>
  <c r="O22" i="23"/>
  <c r="M22" i="23"/>
  <c r="J22" i="23"/>
  <c r="H22" i="23"/>
  <c r="C22" i="23"/>
  <c r="AD21" i="23"/>
  <c r="J21" i="23" s="1"/>
  <c r="AB21" i="23"/>
  <c r="Y21" i="23"/>
  <c r="X21" i="23"/>
  <c r="P21" i="23"/>
  <c r="O21" i="23"/>
  <c r="M21" i="23"/>
  <c r="H21" i="23"/>
  <c r="C21" i="23"/>
  <c r="AB20" i="23"/>
  <c r="AD20" i="23" s="1"/>
  <c r="J20" i="23" s="1"/>
  <c r="Y20" i="23"/>
  <c r="X20" i="23"/>
  <c r="Q20" i="23"/>
  <c r="P20" i="23"/>
  <c r="O20" i="23"/>
  <c r="M20" i="23"/>
  <c r="H20" i="23"/>
  <c r="C20" i="23"/>
  <c r="AB19" i="23"/>
  <c r="AD19" i="23" s="1"/>
  <c r="J19" i="23" s="1"/>
  <c r="Y19" i="23"/>
  <c r="X19" i="23"/>
  <c r="P19" i="23"/>
  <c r="O19" i="23"/>
  <c r="Q19" i="23" s="1"/>
  <c r="M19" i="23"/>
  <c r="H19" i="23"/>
  <c r="C19" i="23"/>
  <c r="AB18" i="23"/>
  <c r="AD18" i="23" s="1"/>
  <c r="J18" i="23" s="1"/>
  <c r="K18" i="23" s="1"/>
  <c r="Y18" i="23"/>
  <c r="X18" i="23"/>
  <c r="P18" i="23"/>
  <c r="O18" i="23"/>
  <c r="M18" i="23"/>
  <c r="H18" i="23"/>
  <c r="C18" i="23"/>
  <c r="AD17" i="23"/>
  <c r="J17" i="23" s="1"/>
  <c r="I17" i="23" s="1"/>
  <c r="AB17" i="23"/>
  <c r="Y17" i="23"/>
  <c r="X17" i="23"/>
  <c r="P17" i="23"/>
  <c r="O17" i="23"/>
  <c r="M17" i="23"/>
  <c r="K17" i="23"/>
  <c r="H17" i="23"/>
  <c r="C17" i="23"/>
  <c r="AD16" i="23"/>
  <c r="J16" i="23" s="1"/>
  <c r="I16" i="23" s="1"/>
  <c r="AB16" i="23"/>
  <c r="Y16" i="23"/>
  <c r="X16" i="23"/>
  <c r="P16" i="23"/>
  <c r="O16" i="23"/>
  <c r="M16" i="23"/>
  <c r="K16" i="23"/>
  <c r="H16" i="23"/>
  <c r="C16" i="23"/>
  <c r="AD15" i="23"/>
  <c r="J15" i="23" s="1"/>
  <c r="K15" i="23" s="1"/>
  <c r="AB15" i="23"/>
  <c r="Y15" i="23"/>
  <c r="X15" i="23"/>
  <c r="P15" i="23"/>
  <c r="O15" i="23"/>
  <c r="Q15" i="23" s="1"/>
  <c r="M15" i="23"/>
  <c r="H15" i="23"/>
  <c r="C15" i="23"/>
  <c r="AB14" i="23"/>
  <c r="AD14" i="23" s="1"/>
  <c r="J14" i="23" s="1"/>
  <c r="Y14" i="23"/>
  <c r="X14" i="23"/>
  <c r="P14" i="23"/>
  <c r="O14" i="23"/>
  <c r="M14" i="23"/>
  <c r="H14" i="23"/>
  <c r="C14" i="23"/>
  <c r="AD13" i="23"/>
  <c r="J13" i="23" s="1"/>
  <c r="I13" i="23" s="1"/>
  <c r="AB13" i="23"/>
  <c r="Y13" i="23"/>
  <c r="X13" i="23"/>
  <c r="P13" i="23"/>
  <c r="O13" i="23"/>
  <c r="Q13" i="23" s="1"/>
  <c r="M13" i="23"/>
  <c r="H13" i="23"/>
  <c r="C13" i="23"/>
  <c r="AB12" i="23"/>
  <c r="AD12" i="23" s="1"/>
  <c r="J12" i="23" s="1"/>
  <c r="Y12" i="23"/>
  <c r="X12" i="23"/>
  <c r="P12" i="23"/>
  <c r="Q12" i="23" s="1"/>
  <c r="O12" i="23"/>
  <c r="M12" i="23"/>
  <c r="H12" i="23"/>
  <c r="C12" i="23"/>
  <c r="AB11" i="23"/>
  <c r="AD11" i="23" s="1"/>
  <c r="J11" i="23" s="1"/>
  <c r="K11" i="23" s="1"/>
  <c r="Y11" i="23"/>
  <c r="X11" i="23"/>
  <c r="P11" i="23"/>
  <c r="O11" i="23"/>
  <c r="Q11" i="23" s="1"/>
  <c r="M11" i="23"/>
  <c r="H11" i="23"/>
  <c r="C11" i="23"/>
  <c r="AB10" i="23"/>
  <c r="AD10" i="23" s="1"/>
  <c r="J10" i="23" s="1"/>
  <c r="Y10" i="23"/>
  <c r="X10" i="23"/>
  <c r="P10" i="23"/>
  <c r="O10" i="23"/>
  <c r="M10" i="23"/>
  <c r="H10" i="23"/>
  <c r="C10" i="23"/>
  <c r="AB9" i="23"/>
  <c r="AD9" i="23" s="1"/>
  <c r="J9" i="23" s="1"/>
  <c r="Y9" i="23"/>
  <c r="X9" i="23"/>
  <c r="P9" i="23"/>
  <c r="O9" i="23"/>
  <c r="Q9" i="23" s="1"/>
  <c r="M9" i="23"/>
  <c r="H9" i="23"/>
  <c r="C9" i="23"/>
  <c r="AD8" i="23"/>
  <c r="J8" i="23" s="1"/>
  <c r="AB8" i="23"/>
  <c r="Y8" i="23"/>
  <c r="X8" i="23"/>
  <c r="P8" i="23"/>
  <c r="O8" i="23"/>
  <c r="M8" i="23"/>
  <c r="H8" i="23"/>
  <c r="C8" i="23"/>
  <c r="AB7" i="23"/>
  <c r="AD7" i="23" s="1"/>
  <c r="J7" i="23" s="1"/>
  <c r="Y7" i="23"/>
  <c r="X7" i="23"/>
  <c r="P7" i="23"/>
  <c r="O7" i="23"/>
  <c r="M7" i="23"/>
  <c r="H7" i="23"/>
  <c r="C7" i="23"/>
  <c r="AB6" i="23"/>
  <c r="AD6" i="23" s="1"/>
  <c r="J6" i="23" s="1"/>
  <c r="Y6" i="23"/>
  <c r="X6" i="23"/>
  <c r="P6" i="23"/>
  <c r="O6" i="23"/>
  <c r="M6" i="23"/>
  <c r="H6" i="23"/>
  <c r="C6" i="23"/>
  <c r="AB5" i="23"/>
  <c r="AD5" i="23" s="1"/>
  <c r="J5" i="23" s="1"/>
  <c r="Y5" i="23"/>
  <c r="X5" i="23"/>
  <c r="P5" i="23"/>
  <c r="O5" i="23"/>
  <c r="M5" i="23"/>
  <c r="H5" i="23"/>
  <c r="C5" i="23"/>
  <c r="AB4" i="23"/>
  <c r="AD4" i="23" s="1"/>
  <c r="Y4" i="23"/>
  <c r="X4" i="23"/>
  <c r="P4" i="23"/>
  <c r="O4" i="23"/>
  <c r="Q4" i="23" s="1"/>
  <c r="M4" i="23"/>
  <c r="H4" i="23"/>
  <c r="C4" i="23"/>
  <c r="AG3" i="23"/>
  <c r="AF3" i="23"/>
  <c r="W3" i="23"/>
  <c r="V3" i="23"/>
  <c r="U3" i="23"/>
  <c r="T3" i="23"/>
  <c r="O3" i="23"/>
  <c r="G3" i="23"/>
  <c r="F3" i="23"/>
  <c r="H3" i="23" s="1"/>
  <c r="D3" i="23"/>
  <c r="A2" i="23"/>
  <c r="A1" i="23"/>
  <c r="AB31" i="22"/>
  <c r="AD31" i="22" s="1"/>
  <c r="J31" i="22" s="1"/>
  <c r="Y31" i="22"/>
  <c r="X31" i="22"/>
  <c r="P31" i="22"/>
  <c r="Q31" i="22" s="1"/>
  <c r="O31" i="22"/>
  <c r="M31" i="22"/>
  <c r="H31" i="22"/>
  <c r="C31" i="22"/>
  <c r="AB30" i="22"/>
  <c r="AD30" i="22" s="1"/>
  <c r="J30" i="22" s="1"/>
  <c r="Y30" i="22"/>
  <c r="X30" i="22"/>
  <c r="P30" i="22"/>
  <c r="O30" i="22"/>
  <c r="Q30" i="22" s="1"/>
  <c r="M30" i="22"/>
  <c r="H30" i="22"/>
  <c r="C30" i="22"/>
  <c r="AB29" i="22"/>
  <c r="AD29" i="22" s="1"/>
  <c r="J29" i="22" s="1"/>
  <c r="K29" i="22" s="1"/>
  <c r="Y29" i="22"/>
  <c r="X29" i="22"/>
  <c r="P29" i="22"/>
  <c r="O29" i="22"/>
  <c r="Q29" i="22" s="1"/>
  <c r="M29" i="22"/>
  <c r="H29" i="22"/>
  <c r="C29" i="22"/>
  <c r="AB28" i="22"/>
  <c r="AD28" i="22" s="1"/>
  <c r="J28" i="22" s="1"/>
  <c r="K28" i="22" s="1"/>
  <c r="Y28" i="22"/>
  <c r="X28" i="22"/>
  <c r="P28" i="22"/>
  <c r="O28" i="22"/>
  <c r="M28" i="22"/>
  <c r="H28" i="22"/>
  <c r="C28" i="22"/>
  <c r="AB27" i="22"/>
  <c r="AD27" i="22" s="1"/>
  <c r="J27" i="22" s="1"/>
  <c r="Y27" i="22"/>
  <c r="X27" i="22"/>
  <c r="P27" i="22"/>
  <c r="O27" i="22"/>
  <c r="M27" i="22"/>
  <c r="H27" i="22"/>
  <c r="C27" i="22"/>
  <c r="AB26" i="22"/>
  <c r="AD26" i="22" s="1"/>
  <c r="J26" i="22" s="1"/>
  <c r="Y26" i="22"/>
  <c r="X26" i="22"/>
  <c r="P26" i="22"/>
  <c r="O26" i="22"/>
  <c r="Q26" i="22" s="1"/>
  <c r="M26" i="22"/>
  <c r="H26" i="22"/>
  <c r="C26" i="22"/>
  <c r="AD25" i="22"/>
  <c r="J25" i="22" s="1"/>
  <c r="K25" i="22" s="1"/>
  <c r="AB25" i="22"/>
  <c r="Y25" i="22"/>
  <c r="X25" i="22"/>
  <c r="P25" i="22"/>
  <c r="O25" i="22"/>
  <c r="M25" i="22"/>
  <c r="I25" i="22"/>
  <c r="H25" i="22"/>
  <c r="C25" i="22"/>
  <c r="AB24" i="22"/>
  <c r="AD24" i="22" s="1"/>
  <c r="J24" i="22" s="1"/>
  <c r="Y24" i="22"/>
  <c r="X24" i="22"/>
  <c r="P24" i="22"/>
  <c r="O24" i="22"/>
  <c r="M24" i="22"/>
  <c r="H24" i="22"/>
  <c r="C24" i="22"/>
  <c r="AD23" i="22"/>
  <c r="J23" i="22" s="1"/>
  <c r="AB23" i="22"/>
  <c r="Y23" i="22"/>
  <c r="X23" i="22"/>
  <c r="Q23" i="22"/>
  <c r="P23" i="22"/>
  <c r="O23" i="22"/>
  <c r="M23" i="22"/>
  <c r="H23" i="22"/>
  <c r="C23" i="22"/>
  <c r="AD22" i="22"/>
  <c r="J22" i="22" s="1"/>
  <c r="I22" i="22" s="1"/>
  <c r="AB22" i="22"/>
  <c r="Y22" i="22"/>
  <c r="X22" i="22"/>
  <c r="P22" i="22"/>
  <c r="O22" i="22"/>
  <c r="Q22" i="22" s="1"/>
  <c r="M22" i="22"/>
  <c r="K22" i="22"/>
  <c r="H22" i="22"/>
  <c r="C22" i="22"/>
  <c r="AB21" i="22"/>
  <c r="AD21" i="22" s="1"/>
  <c r="J21" i="22" s="1"/>
  <c r="Y21" i="22"/>
  <c r="X21" i="22"/>
  <c r="Q21" i="22"/>
  <c r="P21" i="22"/>
  <c r="O21" i="22"/>
  <c r="M21" i="22"/>
  <c r="H21" i="22"/>
  <c r="C21" i="22"/>
  <c r="AB20" i="22"/>
  <c r="AD20" i="22" s="1"/>
  <c r="Y20" i="22"/>
  <c r="X20" i="22"/>
  <c r="P20" i="22"/>
  <c r="O20" i="22"/>
  <c r="Q20" i="22" s="1"/>
  <c r="M20" i="22"/>
  <c r="J20" i="22"/>
  <c r="K20" i="22" s="1"/>
  <c r="H20" i="22"/>
  <c r="C20" i="22"/>
  <c r="AD19" i="22"/>
  <c r="J19" i="22" s="1"/>
  <c r="I19" i="22" s="1"/>
  <c r="AB19" i="22"/>
  <c r="Y19" i="22"/>
  <c r="X19" i="22"/>
  <c r="P19" i="22"/>
  <c r="O19" i="22"/>
  <c r="Q19" i="22" s="1"/>
  <c r="M19" i="22"/>
  <c r="H19" i="22"/>
  <c r="C19" i="22"/>
  <c r="AD18" i="22"/>
  <c r="J18" i="22" s="1"/>
  <c r="I18" i="22" s="1"/>
  <c r="AB18" i="22"/>
  <c r="Y18" i="22"/>
  <c r="X18" i="22"/>
  <c r="P18" i="22"/>
  <c r="O18" i="22"/>
  <c r="M18" i="22"/>
  <c r="H18" i="22"/>
  <c r="C18" i="22"/>
  <c r="AB17" i="22"/>
  <c r="AD17" i="22" s="1"/>
  <c r="J17" i="22" s="1"/>
  <c r="Y17" i="22"/>
  <c r="X17" i="22"/>
  <c r="P17" i="22"/>
  <c r="O17" i="22"/>
  <c r="M17" i="22"/>
  <c r="H17" i="22"/>
  <c r="C17" i="22"/>
  <c r="AB16" i="22"/>
  <c r="AD16" i="22" s="1"/>
  <c r="J16" i="22" s="1"/>
  <c r="K16" i="22" s="1"/>
  <c r="Y16" i="22"/>
  <c r="X16" i="22"/>
  <c r="P16" i="22"/>
  <c r="O16" i="22"/>
  <c r="M16" i="22"/>
  <c r="H16" i="22"/>
  <c r="C16" i="22"/>
  <c r="AB15" i="22"/>
  <c r="AD15" i="22" s="1"/>
  <c r="Y15" i="22"/>
  <c r="X15" i="22"/>
  <c r="P15" i="22"/>
  <c r="O15" i="22"/>
  <c r="Q15" i="22" s="1"/>
  <c r="M15" i="22"/>
  <c r="J15" i="22"/>
  <c r="H15" i="22"/>
  <c r="C15" i="22"/>
  <c r="AB14" i="22"/>
  <c r="AD14" i="22" s="1"/>
  <c r="J14" i="22" s="1"/>
  <c r="Y14" i="22"/>
  <c r="X14" i="22"/>
  <c r="P14" i="22"/>
  <c r="O14" i="22"/>
  <c r="Q14" i="22" s="1"/>
  <c r="M14" i="22"/>
  <c r="H14" i="22"/>
  <c r="C14" i="22"/>
  <c r="AB13" i="22"/>
  <c r="AD13" i="22" s="1"/>
  <c r="J13" i="22" s="1"/>
  <c r="Y13" i="22"/>
  <c r="X13" i="22"/>
  <c r="P13" i="22"/>
  <c r="O13" i="22"/>
  <c r="Q13" i="22" s="1"/>
  <c r="M13" i="22"/>
  <c r="H13" i="22"/>
  <c r="C13" i="22"/>
  <c r="AB12" i="22"/>
  <c r="AD12" i="22" s="1"/>
  <c r="J12" i="22" s="1"/>
  <c r="Y12" i="22"/>
  <c r="X12" i="22"/>
  <c r="P12" i="22"/>
  <c r="Q12" i="22" s="1"/>
  <c r="O12" i="22"/>
  <c r="M12" i="22"/>
  <c r="H12" i="22"/>
  <c r="C12" i="22"/>
  <c r="AB11" i="22"/>
  <c r="AD11" i="22" s="1"/>
  <c r="J11" i="22" s="1"/>
  <c r="I11" i="22" s="1"/>
  <c r="Y11" i="22"/>
  <c r="X11" i="22"/>
  <c r="P11" i="22"/>
  <c r="O11" i="22"/>
  <c r="Q11" i="22" s="1"/>
  <c r="M11" i="22"/>
  <c r="H11" i="22"/>
  <c r="C11" i="22"/>
  <c r="AB10" i="22"/>
  <c r="AD10" i="22" s="1"/>
  <c r="J10" i="22" s="1"/>
  <c r="K10" i="22" s="1"/>
  <c r="Y10" i="22"/>
  <c r="X10" i="22"/>
  <c r="P10" i="22"/>
  <c r="O10" i="22"/>
  <c r="Q10" i="22" s="1"/>
  <c r="M10" i="22"/>
  <c r="H10" i="22"/>
  <c r="C10" i="22"/>
  <c r="AB9" i="22"/>
  <c r="AD9" i="22" s="1"/>
  <c r="J9" i="22" s="1"/>
  <c r="Y9" i="22"/>
  <c r="X9" i="22"/>
  <c r="P9" i="22"/>
  <c r="O9" i="22"/>
  <c r="M9" i="22"/>
  <c r="H9" i="22"/>
  <c r="C9" i="22"/>
  <c r="AB8" i="22"/>
  <c r="AD8" i="22" s="1"/>
  <c r="J8" i="22" s="1"/>
  <c r="Y8" i="22"/>
  <c r="X8" i="22"/>
  <c r="Q8" i="22"/>
  <c r="P8" i="22"/>
  <c r="O8" i="22"/>
  <c r="M8" i="22"/>
  <c r="H8" i="22"/>
  <c r="C8" i="22"/>
  <c r="AB7" i="22"/>
  <c r="AD7" i="22" s="1"/>
  <c r="J7" i="22" s="1"/>
  <c r="Y7" i="22"/>
  <c r="X7" i="22"/>
  <c r="P7" i="22"/>
  <c r="Q7" i="22" s="1"/>
  <c r="O7" i="22"/>
  <c r="M7" i="22"/>
  <c r="H7" i="22"/>
  <c r="C7" i="22"/>
  <c r="AD6" i="22"/>
  <c r="J6" i="22" s="1"/>
  <c r="K6" i="22" s="1"/>
  <c r="AB6" i="22"/>
  <c r="Y6" i="22"/>
  <c r="X6" i="22"/>
  <c r="P6" i="22"/>
  <c r="O6" i="22"/>
  <c r="Q6" i="22" s="1"/>
  <c r="M6" i="22"/>
  <c r="I6" i="22"/>
  <c r="H6" i="22"/>
  <c r="C6" i="22"/>
  <c r="AB5" i="22"/>
  <c r="AD5" i="22" s="1"/>
  <c r="J5" i="22" s="1"/>
  <c r="Y5" i="22"/>
  <c r="X5" i="22"/>
  <c r="P5" i="22"/>
  <c r="Q5" i="22" s="1"/>
  <c r="O5" i="22"/>
  <c r="M5" i="22"/>
  <c r="H5" i="22"/>
  <c r="C5" i="22"/>
  <c r="AD4" i="22"/>
  <c r="AB4" i="22"/>
  <c r="Y4" i="22"/>
  <c r="X4" i="22"/>
  <c r="P4" i="22"/>
  <c r="O4" i="22"/>
  <c r="Q4" i="22" s="1"/>
  <c r="M4" i="22"/>
  <c r="H4" i="22"/>
  <c r="C4" i="22"/>
  <c r="AG3" i="22"/>
  <c r="AF3" i="22"/>
  <c r="W3" i="22"/>
  <c r="V3" i="22"/>
  <c r="U3" i="22"/>
  <c r="T3" i="22"/>
  <c r="O3" i="22"/>
  <c r="G3" i="22"/>
  <c r="H3" i="22" s="1"/>
  <c r="F3" i="22"/>
  <c r="D3" i="22"/>
  <c r="A2" i="22"/>
  <c r="A1" i="22"/>
  <c r="AD31" i="21"/>
  <c r="J31" i="21" s="1"/>
  <c r="K31" i="21" s="1"/>
  <c r="AB31" i="21"/>
  <c r="Y31" i="21"/>
  <c r="X31" i="21"/>
  <c r="P31" i="21"/>
  <c r="O31" i="21"/>
  <c r="M31" i="21"/>
  <c r="H31" i="21"/>
  <c r="C31" i="21"/>
  <c r="AB30" i="21"/>
  <c r="AD30" i="21" s="1"/>
  <c r="J30" i="21" s="1"/>
  <c r="Y30" i="21"/>
  <c r="X30" i="21"/>
  <c r="P30" i="21"/>
  <c r="O30" i="21"/>
  <c r="Q30" i="21" s="1"/>
  <c r="M30" i="21"/>
  <c r="H30" i="21"/>
  <c r="C30" i="21"/>
  <c r="AB29" i="21"/>
  <c r="AD29" i="21" s="1"/>
  <c r="J29" i="21" s="1"/>
  <c r="Y29" i="21"/>
  <c r="X29" i="21"/>
  <c r="P29" i="21"/>
  <c r="O29" i="21"/>
  <c r="Q29" i="21" s="1"/>
  <c r="M29" i="21"/>
  <c r="H29" i="21"/>
  <c r="C29" i="21"/>
  <c r="AB28" i="21"/>
  <c r="AD28" i="21" s="1"/>
  <c r="J28" i="21" s="1"/>
  <c r="K28" i="21" s="1"/>
  <c r="Y28" i="21"/>
  <c r="X28" i="21"/>
  <c r="P28" i="21"/>
  <c r="O28" i="21"/>
  <c r="Q28" i="21" s="1"/>
  <c r="M28" i="21"/>
  <c r="I28" i="21"/>
  <c r="H28" i="21"/>
  <c r="C28" i="21"/>
  <c r="AB27" i="21"/>
  <c r="AD27" i="21" s="1"/>
  <c r="Y27" i="21"/>
  <c r="X27" i="21"/>
  <c r="P27" i="21"/>
  <c r="O27" i="21"/>
  <c r="M27" i="21"/>
  <c r="J27" i="21"/>
  <c r="H27" i="21"/>
  <c r="C27" i="21"/>
  <c r="AB26" i="21"/>
  <c r="AD26" i="21" s="1"/>
  <c r="J26" i="21" s="1"/>
  <c r="K26" i="21" s="1"/>
  <c r="Y26" i="21"/>
  <c r="X26" i="21"/>
  <c r="Q26" i="21"/>
  <c r="P26" i="21"/>
  <c r="O26" i="21"/>
  <c r="M26" i="21"/>
  <c r="H26" i="21"/>
  <c r="C26" i="21"/>
  <c r="AB25" i="21"/>
  <c r="AD25" i="21" s="1"/>
  <c r="J25" i="21" s="1"/>
  <c r="Y25" i="21"/>
  <c r="X25" i="21"/>
  <c r="P25" i="21"/>
  <c r="O25" i="21"/>
  <c r="M25" i="21"/>
  <c r="H25" i="21"/>
  <c r="C25" i="21"/>
  <c r="AB24" i="21"/>
  <c r="AD24" i="21" s="1"/>
  <c r="J24" i="21" s="1"/>
  <c r="Y24" i="21"/>
  <c r="X24" i="21"/>
  <c r="P24" i="21"/>
  <c r="O24" i="21"/>
  <c r="M24" i="21"/>
  <c r="H24" i="21"/>
  <c r="C24" i="21"/>
  <c r="AB23" i="21"/>
  <c r="AD23" i="21" s="1"/>
  <c r="J23" i="21" s="1"/>
  <c r="Y23" i="21"/>
  <c r="X23" i="21"/>
  <c r="P23" i="21"/>
  <c r="Q23" i="21" s="1"/>
  <c r="O23" i="21"/>
  <c r="M23" i="21"/>
  <c r="H23" i="21"/>
  <c r="C23" i="21"/>
  <c r="AB22" i="21"/>
  <c r="AD22" i="21" s="1"/>
  <c r="J22" i="21" s="1"/>
  <c r="I22" i="21" s="1"/>
  <c r="Y22" i="21"/>
  <c r="X22" i="21"/>
  <c r="P22" i="21"/>
  <c r="O22" i="21"/>
  <c r="Q22" i="21" s="1"/>
  <c r="M22" i="21"/>
  <c r="H22" i="21"/>
  <c r="C22" i="21"/>
  <c r="AD21" i="21"/>
  <c r="AB21" i="21"/>
  <c r="Y21" i="21"/>
  <c r="X21" i="21"/>
  <c r="P21" i="21"/>
  <c r="O21" i="21"/>
  <c r="Q21" i="21" s="1"/>
  <c r="M21" i="21"/>
  <c r="J21" i="21"/>
  <c r="I21" i="21" s="1"/>
  <c r="H21" i="21"/>
  <c r="C21" i="21"/>
  <c r="AB20" i="21"/>
  <c r="AD20" i="21" s="1"/>
  <c r="J20" i="21" s="1"/>
  <c r="K20" i="21" s="1"/>
  <c r="Y20" i="21"/>
  <c r="X20" i="21"/>
  <c r="Q20" i="21"/>
  <c r="P20" i="21"/>
  <c r="O20" i="21"/>
  <c r="M20" i="21"/>
  <c r="H20" i="21"/>
  <c r="C20" i="21"/>
  <c r="AB19" i="21"/>
  <c r="AD19" i="21" s="1"/>
  <c r="J19" i="21" s="1"/>
  <c r="Y19" i="21"/>
  <c r="X19" i="21"/>
  <c r="P19" i="21"/>
  <c r="O19" i="21"/>
  <c r="M19" i="21"/>
  <c r="H19" i="21"/>
  <c r="C19" i="21"/>
  <c r="AB18" i="21"/>
  <c r="AD18" i="21" s="1"/>
  <c r="J18" i="21" s="1"/>
  <c r="Y18" i="21"/>
  <c r="X18" i="21"/>
  <c r="P18" i="21"/>
  <c r="Q18" i="21" s="1"/>
  <c r="O18" i="21"/>
  <c r="M18" i="21"/>
  <c r="H18" i="21"/>
  <c r="C18" i="21"/>
  <c r="AB17" i="21"/>
  <c r="AD17" i="21" s="1"/>
  <c r="J17" i="21" s="1"/>
  <c r="Y17" i="21"/>
  <c r="X17" i="21"/>
  <c r="Q17" i="21"/>
  <c r="P17" i="21"/>
  <c r="O17" i="21"/>
  <c r="M17" i="21"/>
  <c r="H17" i="21"/>
  <c r="C17" i="21"/>
  <c r="AD16" i="21"/>
  <c r="J16" i="21" s="1"/>
  <c r="K16" i="21" s="1"/>
  <c r="AB16" i="21"/>
  <c r="Y16" i="21"/>
  <c r="X16" i="21"/>
  <c r="P16" i="21"/>
  <c r="O16" i="21"/>
  <c r="M16" i="21"/>
  <c r="H16" i="21"/>
  <c r="C16" i="21"/>
  <c r="AB15" i="21"/>
  <c r="AD15" i="21" s="1"/>
  <c r="J15" i="21" s="1"/>
  <c r="K15" i="21" s="1"/>
  <c r="Y15" i="21"/>
  <c r="X15" i="21"/>
  <c r="P15" i="21"/>
  <c r="O15" i="21"/>
  <c r="M15" i="21"/>
  <c r="H15" i="21"/>
  <c r="C15" i="21"/>
  <c r="AB14" i="21"/>
  <c r="AD14" i="21" s="1"/>
  <c r="J14" i="21" s="1"/>
  <c r="Y14" i="21"/>
  <c r="X14" i="21"/>
  <c r="P14" i="21"/>
  <c r="O14" i="21"/>
  <c r="Q14" i="21" s="1"/>
  <c r="M14" i="21"/>
  <c r="H14" i="21"/>
  <c r="C14" i="21"/>
  <c r="AB13" i="21"/>
  <c r="AD13" i="21" s="1"/>
  <c r="J13" i="21" s="1"/>
  <c r="Y13" i="21"/>
  <c r="X13" i="21"/>
  <c r="P13" i="21"/>
  <c r="O13" i="21"/>
  <c r="Q13" i="21" s="1"/>
  <c r="M13" i="21"/>
  <c r="H13" i="21"/>
  <c r="C13" i="21"/>
  <c r="AB12" i="21"/>
  <c r="AD12" i="21" s="1"/>
  <c r="J12" i="21" s="1"/>
  <c r="Y12" i="21"/>
  <c r="X12" i="21"/>
  <c r="P12" i="21"/>
  <c r="O12" i="21"/>
  <c r="Q12" i="21" s="1"/>
  <c r="M12" i="21"/>
  <c r="H12" i="21"/>
  <c r="C12" i="21"/>
  <c r="AB11" i="21"/>
  <c r="AD11" i="21" s="1"/>
  <c r="Y11" i="21"/>
  <c r="X11" i="21"/>
  <c r="P11" i="21"/>
  <c r="O11" i="21"/>
  <c r="M11" i="21"/>
  <c r="J11" i="21"/>
  <c r="H11" i="21"/>
  <c r="C11" i="21"/>
  <c r="AB10" i="21"/>
  <c r="AD10" i="21" s="1"/>
  <c r="J10" i="21" s="1"/>
  <c r="K10" i="21" s="1"/>
  <c r="Y10" i="21"/>
  <c r="X10" i="21"/>
  <c r="Q10" i="21"/>
  <c r="P10" i="21"/>
  <c r="O10" i="21"/>
  <c r="M10" i="21"/>
  <c r="H10" i="21"/>
  <c r="C10" i="21"/>
  <c r="AB9" i="21"/>
  <c r="AD9" i="21" s="1"/>
  <c r="J9" i="21" s="1"/>
  <c r="Y9" i="21"/>
  <c r="X9" i="21"/>
  <c r="P9" i="21"/>
  <c r="O9" i="21"/>
  <c r="M9" i="21"/>
  <c r="H9" i="21"/>
  <c r="C9" i="21"/>
  <c r="AB8" i="21"/>
  <c r="AD8" i="21" s="1"/>
  <c r="J8" i="21" s="1"/>
  <c r="Y8" i="21"/>
  <c r="X8" i="21"/>
  <c r="P8" i="21"/>
  <c r="O8" i="21"/>
  <c r="M8" i="21"/>
  <c r="H8" i="21"/>
  <c r="C8" i="21"/>
  <c r="AB7" i="21"/>
  <c r="AD7" i="21" s="1"/>
  <c r="J7" i="21" s="1"/>
  <c r="Y7" i="21"/>
  <c r="X7" i="21"/>
  <c r="P7" i="21"/>
  <c r="Q7" i="21" s="1"/>
  <c r="O7" i="21"/>
  <c r="M7" i="21"/>
  <c r="H7" i="21"/>
  <c r="C7" i="21"/>
  <c r="AB6" i="21"/>
  <c r="AD6" i="21" s="1"/>
  <c r="J6" i="21" s="1"/>
  <c r="I6" i="21" s="1"/>
  <c r="Y6" i="21"/>
  <c r="X6" i="21"/>
  <c r="P6" i="21"/>
  <c r="O6" i="21"/>
  <c r="Q6" i="21" s="1"/>
  <c r="M6" i="21"/>
  <c r="H6" i="21"/>
  <c r="C6" i="21"/>
  <c r="AD5" i="21"/>
  <c r="AB5" i="21"/>
  <c r="Y5" i="21"/>
  <c r="X5" i="21"/>
  <c r="P5" i="21"/>
  <c r="O5" i="21"/>
  <c r="Q5" i="21" s="1"/>
  <c r="M5" i="21"/>
  <c r="J5" i="21"/>
  <c r="I5" i="21" s="1"/>
  <c r="H5" i="21"/>
  <c r="C5" i="21"/>
  <c r="AB4" i="21"/>
  <c r="AD4" i="21" s="1"/>
  <c r="Y4" i="21"/>
  <c r="X4" i="21"/>
  <c r="P4" i="21"/>
  <c r="O4" i="21"/>
  <c r="Q4" i="21" s="1"/>
  <c r="M4" i="21"/>
  <c r="H4" i="21"/>
  <c r="C4" i="21"/>
  <c r="AG3" i="21"/>
  <c r="AF3" i="21"/>
  <c r="W3" i="21"/>
  <c r="V3" i="21"/>
  <c r="U3" i="21"/>
  <c r="T3" i="21"/>
  <c r="O3" i="21"/>
  <c r="G3" i="21"/>
  <c r="D3" i="21"/>
  <c r="A2" i="21"/>
  <c r="A1" i="21"/>
  <c r="AB31" i="20"/>
  <c r="AD31" i="20" s="1"/>
  <c r="J31" i="20" s="1"/>
  <c r="Y31" i="20"/>
  <c r="X31" i="20"/>
  <c r="P31" i="20"/>
  <c r="O31" i="20"/>
  <c r="M31" i="20"/>
  <c r="H31" i="20"/>
  <c r="C31" i="20"/>
  <c r="AB30" i="20"/>
  <c r="AD30" i="20" s="1"/>
  <c r="J30" i="20" s="1"/>
  <c r="Y30" i="20"/>
  <c r="X30" i="20"/>
  <c r="P30" i="20"/>
  <c r="O30" i="20"/>
  <c r="M30" i="20"/>
  <c r="H30" i="20"/>
  <c r="C30" i="20"/>
  <c r="AB29" i="20"/>
  <c r="AD29" i="20" s="1"/>
  <c r="J29" i="20" s="1"/>
  <c r="Y29" i="20"/>
  <c r="X29" i="20"/>
  <c r="P29" i="20"/>
  <c r="O29" i="20"/>
  <c r="M29" i="20"/>
  <c r="H29" i="20"/>
  <c r="C29" i="20"/>
  <c r="AB28" i="20"/>
  <c r="AD28" i="20" s="1"/>
  <c r="Y28" i="20"/>
  <c r="X28" i="20"/>
  <c r="P28" i="20"/>
  <c r="O28" i="20"/>
  <c r="Q28" i="20" s="1"/>
  <c r="M28" i="20"/>
  <c r="J28" i="20"/>
  <c r="H28" i="20"/>
  <c r="C28" i="20"/>
  <c r="AB27" i="20"/>
  <c r="AD27" i="20" s="1"/>
  <c r="J27" i="20" s="1"/>
  <c r="Y27" i="20"/>
  <c r="X27" i="20"/>
  <c r="P27" i="20"/>
  <c r="O27" i="20"/>
  <c r="M27" i="20"/>
  <c r="H27" i="20"/>
  <c r="C27" i="20"/>
  <c r="AB26" i="20"/>
  <c r="AD26" i="20" s="1"/>
  <c r="J26" i="20" s="1"/>
  <c r="Y26" i="20"/>
  <c r="X26" i="20"/>
  <c r="P26" i="20"/>
  <c r="O26" i="20"/>
  <c r="M26" i="20"/>
  <c r="H26" i="20"/>
  <c r="C26" i="20"/>
  <c r="AB25" i="20"/>
  <c r="AD25" i="20" s="1"/>
  <c r="J25" i="20" s="1"/>
  <c r="Y25" i="20"/>
  <c r="X25" i="20"/>
  <c r="P25" i="20"/>
  <c r="O25" i="20"/>
  <c r="M25" i="20"/>
  <c r="H25" i="20"/>
  <c r="C25" i="20"/>
  <c r="AB24" i="20"/>
  <c r="AD24" i="20" s="1"/>
  <c r="J24" i="20" s="1"/>
  <c r="Y24" i="20"/>
  <c r="X24" i="20"/>
  <c r="P24" i="20"/>
  <c r="O24" i="20"/>
  <c r="M24" i="20"/>
  <c r="H24" i="20"/>
  <c r="C24" i="20"/>
  <c r="AD23" i="20"/>
  <c r="J23" i="20" s="1"/>
  <c r="AB23" i="20"/>
  <c r="Y23" i="20"/>
  <c r="X23" i="20"/>
  <c r="P23" i="20"/>
  <c r="O23" i="20"/>
  <c r="Q23" i="20" s="1"/>
  <c r="M23" i="20"/>
  <c r="H23" i="20"/>
  <c r="C23" i="20"/>
  <c r="AB22" i="20"/>
  <c r="AD22" i="20" s="1"/>
  <c r="J22" i="20" s="1"/>
  <c r="Y22" i="20"/>
  <c r="X22" i="20"/>
  <c r="P22" i="20"/>
  <c r="O22" i="20"/>
  <c r="Q22" i="20" s="1"/>
  <c r="M22" i="20"/>
  <c r="H22" i="20"/>
  <c r="C22" i="20"/>
  <c r="AB21" i="20"/>
  <c r="AD21" i="20" s="1"/>
  <c r="J21" i="20" s="1"/>
  <c r="Y21" i="20"/>
  <c r="X21" i="20"/>
  <c r="P21" i="20"/>
  <c r="O21" i="20"/>
  <c r="M21" i="20"/>
  <c r="H21" i="20"/>
  <c r="C21" i="20"/>
  <c r="AB20" i="20"/>
  <c r="AD20" i="20" s="1"/>
  <c r="J20" i="20" s="1"/>
  <c r="I20" i="20" s="1"/>
  <c r="Y20" i="20"/>
  <c r="X20" i="20"/>
  <c r="Q20" i="20"/>
  <c r="P20" i="20"/>
  <c r="O20" i="20"/>
  <c r="M20" i="20"/>
  <c r="H20" i="20"/>
  <c r="C20" i="20"/>
  <c r="AB19" i="20"/>
  <c r="AD19" i="20" s="1"/>
  <c r="J19" i="20" s="1"/>
  <c r="Y19" i="20"/>
  <c r="X19" i="20"/>
  <c r="Q19" i="20"/>
  <c r="P19" i="20"/>
  <c r="O19" i="20"/>
  <c r="M19" i="20"/>
  <c r="H19" i="20"/>
  <c r="C19" i="20"/>
  <c r="AB18" i="20"/>
  <c r="AD18" i="20" s="1"/>
  <c r="J18" i="20" s="1"/>
  <c r="Y18" i="20"/>
  <c r="X18" i="20"/>
  <c r="P18" i="20"/>
  <c r="O18" i="20"/>
  <c r="M18" i="20"/>
  <c r="H18" i="20"/>
  <c r="C18" i="20"/>
  <c r="AB17" i="20"/>
  <c r="AD17" i="20" s="1"/>
  <c r="J17" i="20" s="1"/>
  <c r="K17" i="20" s="1"/>
  <c r="Y17" i="20"/>
  <c r="X17" i="20"/>
  <c r="P17" i="20"/>
  <c r="O17" i="20"/>
  <c r="M17" i="20"/>
  <c r="H17" i="20"/>
  <c r="C17" i="20"/>
  <c r="AB16" i="20"/>
  <c r="AD16" i="20" s="1"/>
  <c r="J16" i="20" s="1"/>
  <c r="Y16" i="20"/>
  <c r="X16" i="20"/>
  <c r="P16" i="20"/>
  <c r="O16" i="20"/>
  <c r="Q16" i="20" s="1"/>
  <c r="M16" i="20"/>
  <c r="H16" i="20"/>
  <c r="C16" i="20"/>
  <c r="AB15" i="20"/>
  <c r="AD15" i="20" s="1"/>
  <c r="J15" i="20" s="1"/>
  <c r="Y15" i="20"/>
  <c r="X15" i="20"/>
  <c r="P15" i="20"/>
  <c r="O15" i="20"/>
  <c r="M15" i="20"/>
  <c r="H15" i="20"/>
  <c r="C15" i="20"/>
  <c r="AB14" i="20"/>
  <c r="AD14" i="20" s="1"/>
  <c r="J14" i="20" s="1"/>
  <c r="K14" i="20" s="1"/>
  <c r="Y14" i="20"/>
  <c r="X14" i="20"/>
  <c r="P14" i="20"/>
  <c r="O14" i="20"/>
  <c r="M14" i="20"/>
  <c r="I14" i="20"/>
  <c r="H14" i="20"/>
  <c r="C14" i="20"/>
  <c r="AB13" i="20"/>
  <c r="AD13" i="20" s="1"/>
  <c r="J13" i="20" s="1"/>
  <c r="Y13" i="20"/>
  <c r="X13" i="20"/>
  <c r="P13" i="20"/>
  <c r="O13" i="20"/>
  <c r="M13" i="20"/>
  <c r="H13" i="20"/>
  <c r="C13" i="20"/>
  <c r="AB12" i="20"/>
  <c r="AD12" i="20" s="1"/>
  <c r="J12" i="20" s="1"/>
  <c r="K12" i="20" s="1"/>
  <c r="Y12" i="20"/>
  <c r="X12" i="20"/>
  <c r="P12" i="20"/>
  <c r="O12" i="20"/>
  <c r="Q12" i="20" s="1"/>
  <c r="M12" i="20"/>
  <c r="H12" i="20"/>
  <c r="C12" i="20"/>
  <c r="AB11" i="20"/>
  <c r="AD11" i="20" s="1"/>
  <c r="J11" i="20" s="1"/>
  <c r="Y11" i="20"/>
  <c r="X11" i="20"/>
  <c r="P11" i="20"/>
  <c r="Q11" i="20" s="1"/>
  <c r="O11" i="20"/>
  <c r="M11" i="20"/>
  <c r="H11" i="20"/>
  <c r="C11" i="20"/>
  <c r="AD10" i="20"/>
  <c r="J10" i="20" s="1"/>
  <c r="K10" i="20" s="1"/>
  <c r="AB10" i="20"/>
  <c r="Y10" i="20"/>
  <c r="X10" i="20"/>
  <c r="P10" i="20"/>
  <c r="O10" i="20"/>
  <c r="Q10" i="20" s="1"/>
  <c r="M10" i="20"/>
  <c r="H10" i="20"/>
  <c r="C10" i="20"/>
  <c r="AB9" i="20"/>
  <c r="AD9" i="20" s="1"/>
  <c r="Y9" i="20"/>
  <c r="X9" i="20"/>
  <c r="P9" i="20"/>
  <c r="O9" i="20"/>
  <c r="M9" i="20"/>
  <c r="H9" i="20"/>
  <c r="C9" i="20"/>
  <c r="AG3" i="20"/>
  <c r="AF3" i="20"/>
  <c r="W3" i="20"/>
  <c r="X3" i="20" s="1"/>
  <c r="V3" i="20"/>
  <c r="U3" i="20"/>
  <c r="T3" i="20"/>
  <c r="O3" i="20"/>
  <c r="G3" i="20"/>
  <c r="F3" i="20"/>
  <c r="D3" i="20"/>
  <c r="A2" i="20"/>
  <c r="A1" i="20"/>
  <c r="AB31" i="19"/>
  <c r="AD31" i="19" s="1"/>
  <c r="J31" i="19" s="1"/>
  <c r="K31" i="19" s="1"/>
  <c r="Y31" i="19"/>
  <c r="X31" i="19"/>
  <c r="P31" i="19"/>
  <c r="O31" i="19"/>
  <c r="M31" i="19"/>
  <c r="I31" i="19"/>
  <c r="H31" i="19"/>
  <c r="C31" i="19"/>
  <c r="AB30" i="19"/>
  <c r="AD30" i="19" s="1"/>
  <c r="J30" i="19" s="1"/>
  <c r="Y30" i="19"/>
  <c r="X30" i="19"/>
  <c r="P30" i="19"/>
  <c r="O30" i="19"/>
  <c r="M30" i="19"/>
  <c r="H30" i="19"/>
  <c r="C30" i="19"/>
  <c r="AB29" i="19"/>
  <c r="AD29" i="19" s="1"/>
  <c r="J29" i="19" s="1"/>
  <c r="Y29" i="19"/>
  <c r="X29" i="19"/>
  <c r="Q29" i="19"/>
  <c r="P29" i="19"/>
  <c r="O29" i="19"/>
  <c r="M29" i="19"/>
  <c r="H29" i="19"/>
  <c r="C29" i="19"/>
  <c r="AB28" i="19"/>
  <c r="AD28" i="19" s="1"/>
  <c r="J28" i="19" s="1"/>
  <c r="Y28" i="19"/>
  <c r="X28" i="19"/>
  <c r="P28" i="19"/>
  <c r="O28" i="19"/>
  <c r="Q28" i="19" s="1"/>
  <c r="M28" i="19"/>
  <c r="H28" i="19"/>
  <c r="C28" i="19"/>
  <c r="AB27" i="19"/>
  <c r="AD27" i="19" s="1"/>
  <c r="J27" i="19" s="1"/>
  <c r="K27" i="19" s="1"/>
  <c r="Y27" i="19"/>
  <c r="X27" i="19"/>
  <c r="P27" i="19"/>
  <c r="O27" i="19"/>
  <c r="Q27" i="19" s="1"/>
  <c r="M27" i="19"/>
  <c r="H27" i="19"/>
  <c r="C27" i="19"/>
  <c r="AB26" i="19"/>
  <c r="AD26" i="19" s="1"/>
  <c r="J26" i="19" s="1"/>
  <c r="Y26" i="19"/>
  <c r="X26" i="19"/>
  <c r="P26" i="19"/>
  <c r="O26" i="19"/>
  <c r="Q26" i="19" s="1"/>
  <c r="M26" i="19"/>
  <c r="H26" i="19"/>
  <c r="C26" i="19"/>
  <c r="AB25" i="19"/>
  <c r="AD25" i="19" s="1"/>
  <c r="J25" i="19" s="1"/>
  <c r="Y25" i="19"/>
  <c r="X25" i="19"/>
  <c r="P25" i="19"/>
  <c r="O25" i="19"/>
  <c r="Q25" i="19" s="1"/>
  <c r="M25" i="19"/>
  <c r="H25" i="19"/>
  <c r="C25" i="19"/>
  <c r="AB24" i="19"/>
  <c r="AD24" i="19" s="1"/>
  <c r="J24" i="19" s="1"/>
  <c r="Y24" i="19"/>
  <c r="X24" i="19"/>
  <c r="P24" i="19"/>
  <c r="O24" i="19"/>
  <c r="M24" i="19"/>
  <c r="H24" i="19"/>
  <c r="C24" i="19"/>
  <c r="AB23" i="19"/>
  <c r="AD23" i="19" s="1"/>
  <c r="J23" i="19" s="1"/>
  <c r="Y23" i="19"/>
  <c r="X23" i="19"/>
  <c r="P23" i="19"/>
  <c r="O23" i="19"/>
  <c r="M23" i="19"/>
  <c r="H23" i="19"/>
  <c r="C23" i="19"/>
  <c r="AB22" i="19"/>
  <c r="AD22" i="19" s="1"/>
  <c r="J22" i="19" s="1"/>
  <c r="Y22" i="19"/>
  <c r="X22" i="19"/>
  <c r="P22" i="19"/>
  <c r="O22" i="19"/>
  <c r="M22" i="19"/>
  <c r="H22" i="19"/>
  <c r="C22" i="19"/>
  <c r="AD21" i="19"/>
  <c r="J21" i="19" s="1"/>
  <c r="I21" i="19" s="1"/>
  <c r="AB21" i="19"/>
  <c r="Y21" i="19"/>
  <c r="X21" i="19"/>
  <c r="P21" i="19"/>
  <c r="O21" i="19"/>
  <c r="Q21" i="19" s="1"/>
  <c r="M21" i="19"/>
  <c r="K21" i="19"/>
  <c r="H21" i="19"/>
  <c r="C21" i="19"/>
  <c r="AB20" i="19"/>
  <c r="AD20" i="19" s="1"/>
  <c r="J20" i="19" s="1"/>
  <c r="Y20" i="19"/>
  <c r="X20" i="19"/>
  <c r="P20" i="19"/>
  <c r="O20" i="19"/>
  <c r="M20" i="19"/>
  <c r="H20" i="19"/>
  <c r="C20" i="19"/>
  <c r="AB19" i="19"/>
  <c r="AD19" i="19" s="1"/>
  <c r="J19" i="19" s="1"/>
  <c r="K19" i="19" s="1"/>
  <c r="Y19" i="19"/>
  <c r="X19" i="19"/>
  <c r="P19" i="19"/>
  <c r="O19" i="19"/>
  <c r="M19" i="19"/>
  <c r="H19" i="19"/>
  <c r="C19" i="19"/>
  <c r="AB18" i="19"/>
  <c r="AD18" i="19" s="1"/>
  <c r="J18" i="19" s="1"/>
  <c r="I18" i="19" s="1"/>
  <c r="Y18" i="19"/>
  <c r="X18" i="19"/>
  <c r="P18" i="19"/>
  <c r="O18" i="19"/>
  <c r="M18" i="19"/>
  <c r="H18" i="19"/>
  <c r="C18" i="19"/>
  <c r="AD17" i="19"/>
  <c r="J17" i="19" s="1"/>
  <c r="AB17" i="19"/>
  <c r="Y17" i="19"/>
  <c r="X17" i="19"/>
  <c r="Q17" i="19"/>
  <c r="P17" i="19"/>
  <c r="O17" i="19"/>
  <c r="M17" i="19"/>
  <c r="H17" i="19"/>
  <c r="C17" i="19"/>
  <c r="AB16" i="19"/>
  <c r="AD16" i="19" s="1"/>
  <c r="J16" i="19" s="1"/>
  <c r="Y16" i="19"/>
  <c r="X16" i="19"/>
  <c r="P16" i="19"/>
  <c r="O16" i="19"/>
  <c r="Q16" i="19" s="1"/>
  <c r="M16" i="19"/>
  <c r="H16" i="19"/>
  <c r="C16" i="19"/>
  <c r="AD15" i="19"/>
  <c r="AB15" i="19"/>
  <c r="Y15" i="19"/>
  <c r="X15" i="19"/>
  <c r="P15" i="19"/>
  <c r="O15" i="19"/>
  <c r="Q15" i="19" s="1"/>
  <c r="M15" i="19"/>
  <c r="J15" i="19"/>
  <c r="I15" i="19" s="1"/>
  <c r="H15" i="19"/>
  <c r="C15" i="19"/>
  <c r="AB14" i="19"/>
  <c r="AD14" i="19" s="1"/>
  <c r="J14" i="19" s="1"/>
  <c r="Y14" i="19"/>
  <c r="X14" i="19"/>
  <c r="P14" i="19"/>
  <c r="O14" i="19"/>
  <c r="Q14" i="19" s="1"/>
  <c r="M14" i="19"/>
  <c r="H14" i="19"/>
  <c r="C14" i="19"/>
  <c r="AB13" i="19"/>
  <c r="AD13" i="19" s="1"/>
  <c r="J13" i="19" s="1"/>
  <c r="Y13" i="19"/>
  <c r="X13" i="19"/>
  <c r="P13" i="19"/>
  <c r="O13" i="19"/>
  <c r="M13" i="19"/>
  <c r="H13" i="19"/>
  <c r="C13" i="19"/>
  <c r="AB12" i="19"/>
  <c r="AD12" i="19" s="1"/>
  <c r="J12" i="19" s="1"/>
  <c r="Y12" i="19"/>
  <c r="X12" i="19"/>
  <c r="P12" i="19"/>
  <c r="O12" i="19"/>
  <c r="Q12" i="19" s="1"/>
  <c r="M12" i="19"/>
  <c r="H12" i="19"/>
  <c r="C12" i="19"/>
  <c r="AB11" i="19"/>
  <c r="AD11" i="19" s="1"/>
  <c r="J11" i="19" s="1"/>
  <c r="Y11" i="19"/>
  <c r="X11" i="19"/>
  <c r="P11" i="19"/>
  <c r="O11" i="19"/>
  <c r="Q11" i="19" s="1"/>
  <c r="M11" i="19"/>
  <c r="H11" i="19"/>
  <c r="C11" i="19"/>
  <c r="AB10" i="19"/>
  <c r="AD10" i="19" s="1"/>
  <c r="Y10" i="19"/>
  <c r="X10" i="19"/>
  <c r="Q10" i="19"/>
  <c r="P10" i="19"/>
  <c r="O10" i="19"/>
  <c r="M10" i="19"/>
  <c r="J10" i="19"/>
  <c r="H10" i="19"/>
  <c r="C10" i="19"/>
  <c r="AG3" i="19"/>
  <c r="AF3" i="19"/>
  <c r="W3" i="19"/>
  <c r="V3" i="19"/>
  <c r="U3" i="19"/>
  <c r="T3" i="19"/>
  <c r="O3" i="19"/>
  <c r="G3" i="19"/>
  <c r="H3" i="19" s="1"/>
  <c r="F3" i="19"/>
  <c r="D3" i="19"/>
  <c r="A2" i="19"/>
  <c r="A1" i="19"/>
  <c r="AB31" i="18"/>
  <c r="AD31" i="18" s="1"/>
  <c r="J31" i="18" s="1"/>
  <c r="Y31" i="18"/>
  <c r="X31" i="18"/>
  <c r="P31" i="18"/>
  <c r="O31" i="18"/>
  <c r="Q31" i="18" s="1"/>
  <c r="M31" i="18"/>
  <c r="H31" i="18"/>
  <c r="C31" i="18"/>
  <c r="AB30" i="18"/>
  <c r="AD30" i="18" s="1"/>
  <c r="J30" i="18" s="1"/>
  <c r="Y30" i="18"/>
  <c r="X30" i="18"/>
  <c r="P30" i="18"/>
  <c r="O30" i="18"/>
  <c r="Q30" i="18" s="1"/>
  <c r="M30" i="18"/>
  <c r="H30" i="18"/>
  <c r="C30" i="18"/>
  <c r="AB29" i="18"/>
  <c r="AD29" i="18" s="1"/>
  <c r="J29" i="18" s="1"/>
  <c r="Y29" i="18"/>
  <c r="X29" i="18"/>
  <c r="P29" i="18"/>
  <c r="Q29" i="18" s="1"/>
  <c r="O29" i="18"/>
  <c r="M29" i="18"/>
  <c r="H29" i="18"/>
  <c r="C29" i="18"/>
  <c r="AB28" i="18"/>
  <c r="AD28" i="18" s="1"/>
  <c r="J28" i="18" s="1"/>
  <c r="K28" i="18" s="1"/>
  <c r="Y28" i="18"/>
  <c r="X28" i="18"/>
  <c r="P28" i="18"/>
  <c r="Q28" i="18" s="1"/>
  <c r="O28" i="18"/>
  <c r="M28" i="18"/>
  <c r="H28" i="18"/>
  <c r="C28" i="18"/>
  <c r="AB27" i="18"/>
  <c r="AD27" i="18" s="1"/>
  <c r="J27" i="18" s="1"/>
  <c r="Y27" i="18"/>
  <c r="X27" i="18"/>
  <c r="P27" i="18"/>
  <c r="O27" i="18"/>
  <c r="M27" i="18"/>
  <c r="H27" i="18"/>
  <c r="C27" i="18"/>
  <c r="AB26" i="18"/>
  <c r="AD26" i="18" s="1"/>
  <c r="J26" i="18" s="1"/>
  <c r="Y26" i="18"/>
  <c r="X26" i="18"/>
  <c r="P26" i="18"/>
  <c r="Q26" i="18" s="1"/>
  <c r="O26" i="18"/>
  <c r="M26" i="18"/>
  <c r="H26" i="18"/>
  <c r="C26" i="18"/>
  <c r="AD25" i="18"/>
  <c r="J25" i="18" s="1"/>
  <c r="I25" i="18" s="1"/>
  <c r="AB25" i="18"/>
  <c r="Y25" i="18"/>
  <c r="X25" i="18"/>
  <c r="P25" i="18"/>
  <c r="O25" i="18"/>
  <c r="M25" i="18"/>
  <c r="K25" i="18"/>
  <c r="H25" i="18"/>
  <c r="C25" i="18"/>
  <c r="AD24" i="18"/>
  <c r="J24" i="18" s="1"/>
  <c r="AB24" i="18"/>
  <c r="Y24" i="18"/>
  <c r="X24" i="18"/>
  <c r="P24" i="18"/>
  <c r="O24" i="18"/>
  <c r="Q24" i="18" s="1"/>
  <c r="M24" i="18"/>
  <c r="H24" i="18"/>
  <c r="C24" i="18"/>
  <c r="AB23" i="18"/>
  <c r="AD23" i="18" s="1"/>
  <c r="J23" i="18" s="1"/>
  <c r="K23" i="18" s="1"/>
  <c r="Y23" i="18"/>
  <c r="X23" i="18"/>
  <c r="Q23" i="18"/>
  <c r="P23" i="18"/>
  <c r="O23" i="18"/>
  <c r="M23" i="18"/>
  <c r="H23" i="18"/>
  <c r="C23" i="18"/>
  <c r="AB22" i="18"/>
  <c r="AD22" i="18" s="1"/>
  <c r="J22" i="18" s="1"/>
  <c r="I22" i="18" s="1"/>
  <c r="Y22" i="18"/>
  <c r="X22" i="18"/>
  <c r="P22" i="18"/>
  <c r="O22" i="18"/>
  <c r="M22" i="18"/>
  <c r="H22" i="18"/>
  <c r="C22" i="18"/>
  <c r="AB21" i="18"/>
  <c r="AD21" i="18" s="1"/>
  <c r="J21" i="18" s="1"/>
  <c r="Y21" i="18"/>
  <c r="X21" i="18"/>
  <c r="P21" i="18"/>
  <c r="O21" i="18"/>
  <c r="Q21" i="18" s="1"/>
  <c r="M21" i="18"/>
  <c r="H21" i="18"/>
  <c r="C21" i="18"/>
  <c r="AB20" i="18"/>
  <c r="AD20" i="18" s="1"/>
  <c r="J20" i="18" s="1"/>
  <c r="K20" i="18" s="1"/>
  <c r="Y20" i="18"/>
  <c r="X20" i="18"/>
  <c r="P20" i="18"/>
  <c r="O20" i="18"/>
  <c r="M20" i="18"/>
  <c r="I20" i="18"/>
  <c r="H20" i="18"/>
  <c r="C20" i="18"/>
  <c r="AB19" i="18"/>
  <c r="AD19" i="18" s="1"/>
  <c r="J19" i="18" s="1"/>
  <c r="Y19" i="18"/>
  <c r="X19" i="18"/>
  <c r="P19" i="18"/>
  <c r="O19" i="18"/>
  <c r="M19" i="18"/>
  <c r="H19" i="18"/>
  <c r="C19" i="18"/>
  <c r="AB18" i="18"/>
  <c r="AD18" i="18" s="1"/>
  <c r="J18" i="18" s="1"/>
  <c r="I18" i="18" s="1"/>
  <c r="Y18" i="18"/>
  <c r="X18" i="18"/>
  <c r="P18" i="18"/>
  <c r="Q18" i="18" s="1"/>
  <c r="O18" i="18"/>
  <c r="M18" i="18"/>
  <c r="H18" i="18"/>
  <c r="C18" i="18"/>
  <c r="AB17" i="18"/>
  <c r="AD17" i="18" s="1"/>
  <c r="J17" i="18" s="1"/>
  <c r="Y17" i="18"/>
  <c r="X17" i="18"/>
  <c r="Q17" i="18"/>
  <c r="P17" i="18"/>
  <c r="O17" i="18"/>
  <c r="M17" i="18"/>
  <c r="H17" i="18"/>
  <c r="C17" i="18"/>
  <c r="AB16" i="18"/>
  <c r="AD16" i="18" s="1"/>
  <c r="J16" i="18" s="1"/>
  <c r="Y16" i="18"/>
  <c r="X16" i="18"/>
  <c r="P16" i="18"/>
  <c r="O16" i="18"/>
  <c r="Q16" i="18" s="1"/>
  <c r="M16" i="18"/>
  <c r="H16" i="18"/>
  <c r="C16" i="18"/>
  <c r="AB15" i="18"/>
  <c r="AD15" i="18" s="1"/>
  <c r="J15" i="18" s="1"/>
  <c r="K15" i="18" s="1"/>
  <c r="Y15" i="18"/>
  <c r="X15" i="18"/>
  <c r="P15" i="18"/>
  <c r="O15" i="18"/>
  <c r="Q15" i="18" s="1"/>
  <c r="M15" i="18"/>
  <c r="H15" i="18"/>
  <c r="C15" i="18"/>
  <c r="AB14" i="18"/>
  <c r="AD14" i="18" s="1"/>
  <c r="J14" i="18" s="1"/>
  <c r="Y14" i="18"/>
  <c r="X14" i="18"/>
  <c r="P14" i="18"/>
  <c r="O14" i="18"/>
  <c r="M14" i="18"/>
  <c r="H14" i="18"/>
  <c r="C14" i="18"/>
  <c r="AB13" i="18"/>
  <c r="AD13" i="18" s="1"/>
  <c r="J13" i="18" s="1"/>
  <c r="Y13" i="18"/>
  <c r="X13" i="18"/>
  <c r="P13" i="18"/>
  <c r="O13" i="18"/>
  <c r="M13" i="18"/>
  <c r="H13" i="18"/>
  <c r="C13" i="18"/>
  <c r="AB12" i="18"/>
  <c r="AD12" i="18" s="1"/>
  <c r="J12" i="18" s="1"/>
  <c r="K12" i="18" s="1"/>
  <c r="Y12" i="18"/>
  <c r="X12" i="18"/>
  <c r="P12" i="18"/>
  <c r="O12" i="18"/>
  <c r="M12" i="18"/>
  <c r="I12" i="18"/>
  <c r="H12" i="18"/>
  <c r="C12" i="18"/>
  <c r="AB11" i="18"/>
  <c r="AD11" i="18" s="1"/>
  <c r="J11" i="18" s="1"/>
  <c r="Y11" i="18"/>
  <c r="X11" i="18"/>
  <c r="P11" i="18"/>
  <c r="O11" i="18"/>
  <c r="M11" i="18"/>
  <c r="H11" i="18"/>
  <c r="C11" i="18"/>
  <c r="AB10" i="18"/>
  <c r="AD10" i="18" s="1"/>
  <c r="J10" i="18" s="1"/>
  <c r="Y10" i="18"/>
  <c r="X10" i="18"/>
  <c r="P10" i="18"/>
  <c r="O10" i="18"/>
  <c r="Q10" i="18" s="1"/>
  <c r="M10" i="18"/>
  <c r="H10" i="18"/>
  <c r="C10" i="18"/>
  <c r="AD9" i="18"/>
  <c r="J9" i="18" s="1"/>
  <c r="I9" i="18" s="1"/>
  <c r="AB9" i="18"/>
  <c r="Y9" i="18"/>
  <c r="X9" i="18"/>
  <c r="P9" i="18"/>
  <c r="Q9" i="18" s="1"/>
  <c r="O9" i="18"/>
  <c r="M9" i="18"/>
  <c r="K9" i="18"/>
  <c r="H9" i="18"/>
  <c r="C9" i="18"/>
  <c r="AB8" i="18"/>
  <c r="AD8" i="18" s="1"/>
  <c r="J8" i="18" s="1"/>
  <c r="Y8" i="18"/>
  <c r="X8" i="18"/>
  <c r="P8" i="18"/>
  <c r="O8" i="18"/>
  <c r="Q8" i="18" s="1"/>
  <c r="M8" i="18"/>
  <c r="H8" i="18"/>
  <c r="C8" i="18"/>
  <c r="AB7" i="18"/>
  <c r="AD7" i="18" s="1"/>
  <c r="J7" i="18" s="1"/>
  <c r="Y7" i="18"/>
  <c r="X7" i="18"/>
  <c r="P7" i="18"/>
  <c r="O7" i="18"/>
  <c r="Q7" i="18" s="1"/>
  <c r="M7" i="18"/>
  <c r="H7" i="18"/>
  <c r="C7" i="18"/>
  <c r="AB6" i="18"/>
  <c r="AD6" i="18" s="1"/>
  <c r="J6" i="18" s="1"/>
  <c r="Y6" i="18"/>
  <c r="X6" i="18"/>
  <c r="P6" i="18"/>
  <c r="O6" i="18"/>
  <c r="Q6" i="18" s="1"/>
  <c r="M6" i="18"/>
  <c r="H6" i="18"/>
  <c r="C6" i="18"/>
  <c r="AD5" i="18"/>
  <c r="J5" i="18" s="1"/>
  <c r="I5" i="18" s="1"/>
  <c r="AB5" i="18"/>
  <c r="Y5" i="18"/>
  <c r="X5" i="18"/>
  <c r="P5" i="18"/>
  <c r="O5" i="18"/>
  <c r="Q5" i="18" s="1"/>
  <c r="M5" i="18"/>
  <c r="K5" i="18"/>
  <c r="H5" i="18"/>
  <c r="C5" i="18"/>
  <c r="AB4" i="18"/>
  <c r="AD4" i="18" s="1"/>
  <c r="Y4" i="18"/>
  <c r="X4" i="18"/>
  <c r="P4" i="18"/>
  <c r="O4" i="18"/>
  <c r="Q4" i="18" s="1"/>
  <c r="M4" i="18"/>
  <c r="H4" i="18"/>
  <c r="C4" i="18"/>
  <c r="AG3" i="18"/>
  <c r="AF3" i="18"/>
  <c r="W3" i="18"/>
  <c r="V3" i="18"/>
  <c r="U3" i="18"/>
  <c r="T3" i="18"/>
  <c r="O3" i="18"/>
  <c r="G3" i="18"/>
  <c r="F3" i="18"/>
  <c r="A2" i="18"/>
  <c r="A1" i="18"/>
  <c r="AB31" i="17"/>
  <c r="AD31" i="17" s="1"/>
  <c r="J31" i="17" s="1"/>
  <c r="Y31" i="17"/>
  <c r="X31" i="17"/>
  <c r="P31" i="17"/>
  <c r="O31" i="17"/>
  <c r="Q31" i="17" s="1"/>
  <c r="M31" i="17"/>
  <c r="H31" i="17"/>
  <c r="C31" i="17"/>
  <c r="AB30" i="17"/>
  <c r="AD30" i="17" s="1"/>
  <c r="J30" i="17" s="1"/>
  <c r="Y30" i="17"/>
  <c r="X30" i="17"/>
  <c r="P30" i="17"/>
  <c r="O30" i="17"/>
  <c r="Q30" i="17" s="1"/>
  <c r="M30" i="17"/>
  <c r="H30" i="17"/>
  <c r="C30" i="17"/>
  <c r="AD29" i="17"/>
  <c r="J29" i="17" s="1"/>
  <c r="AB29" i="17"/>
  <c r="Y29" i="17"/>
  <c r="X29" i="17"/>
  <c r="P29" i="17"/>
  <c r="Q29" i="17" s="1"/>
  <c r="O29" i="17"/>
  <c r="M29" i="17"/>
  <c r="H29" i="17"/>
  <c r="C29" i="17"/>
  <c r="AD28" i="17"/>
  <c r="J28" i="17" s="1"/>
  <c r="I28" i="17" s="1"/>
  <c r="AB28" i="17"/>
  <c r="Y28" i="17"/>
  <c r="X28" i="17"/>
  <c r="P28" i="17"/>
  <c r="O28" i="17"/>
  <c r="Q28" i="17" s="1"/>
  <c r="M28" i="17"/>
  <c r="H28" i="17"/>
  <c r="C28" i="17"/>
  <c r="AB27" i="17"/>
  <c r="AD27" i="17" s="1"/>
  <c r="J27" i="17" s="1"/>
  <c r="Y27" i="17"/>
  <c r="X27" i="17"/>
  <c r="P27" i="17"/>
  <c r="Q27" i="17" s="1"/>
  <c r="O27" i="17"/>
  <c r="M27" i="17"/>
  <c r="H27" i="17"/>
  <c r="C27" i="17"/>
  <c r="AB26" i="17"/>
  <c r="AD26" i="17" s="1"/>
  <c r="J26" i="17" s="1"/>
  <c r="I26" i="17" s="1"/>
  <c r="Y26" i="17"/>
  <c r="X26" i="17"/>
  <c r="P26" i="17"/>
  <c r="O26" i="17"/>
  <c r="M26" i="17"/>
  <c r="H26" i="17"/>
  <c r="C26" i="17"/>
  <c r="AB25" i="17"/>
  <c r="AD25" i="17" s="1"/>
  <c r="J25" i="17" s="1"/>
  <c r="K25" i="17" s="1"/>
  <c r="Y25" i="17"/>
  <c r="X25" i="17"/>
  <c r="Q25" i="17"/>
  <c r="P25" i="17"/>
  <c r="O25" i="17"/>
  <c r="M25" i="17"/>
  <c r="H25" i="17"/>
  <c r="C25" i="17"/>
  <c r="AB24" i="17"/>
  <c r="AD24" i="17" s="1"/>
  <c r="J24" i="17" s="1"/>
  <c r="Y24" i="17"/>
  <c r="X24" i="17"/>
  <c r="P24" i="17"/>
  <c r="O24" i="17"/>
  <c r="M24" i="17"/>
  <c r="H24" i="17"/>
  <c r="C24" i="17"/>
  <c r="AB23" i="17"/>
  <c r="AD23" i="17" s="1"/>
  <c r="J23" i="17" s="1"/>
  <c r="Y23" i="17"/>
  <c r="X23" i="17"/>
  <c r="P23" i="17"/>
  <c r="O23" i="17"/>
  <c r="Q23" i="17" s="1"/>
  <c r="M23" i="17"/>
  <c r="H23" i="17"/>
  <c r="C23" i="17"/>
  <c r="AD22" i="17"/>
  <c r="J22" i="17" s="1"/>
  <c r="AB22" i="17"/>
  <c r="Y22" i="17"/>
  <c r="X22" i="17"/>
  <c r="P22" i="17"/>
  <c r="Q22" i="17" s="1"/>
  <c r="O22" i="17"/>
  <c r="M22" i="17"/>
  <c r="H22" i="17"/>
  <c r="C22" i="17"/>
  <c r="AB21" i="17"/>
  <c r="AD21" i="17" s="1"/>
  <c r="J21" i="17" s="1"/>
  <c r="Y21" i="17"/>
  <c r="X21" i="17"/>
  <c r="P21" i="17"/>
  <c r="O21" i="17"/>
  <c r="M21" i="17"/>
  <c r="H21" i="17"/>
  <c r="C21" i="17"/>
  <c r="AB20" i="17"/>
  <c r="AD20" i="17" s="1"/>
  <c r="J20" i="17" s="1"/>
  <c r="Y20" i="17"/>
  <c r="X20" i="17"/>
  <c r="Q20" i="17"/>
  <c r="P20" i="17"/>
  <c r="O20" i="17"/>
  <c r="M20" i="17"/>
  <c r="H20" i="17"/>
  <c r="C20" i="17"/>
  <c r="AD19" i="17"/>
  <c r="J19" i="17" s="1"/>
  <c r="AB19" i="17"/>
  <c r="Y19" i="17"/>
  <c r="X19" i="17"/>
  <c r="P19" i="17"/>
  <c r="O19" i="17"/>
  <c r="M19" i="17"/>
  <c r="H19" i="17"/>
  <c r="C19" i="17"/>
  <c r="AB18" i="17"/>
  <c r="AD18" i="17" s="1"/>
  <c r="J18" i="17" s="1"/>
  <c r="I18" i="17" s="1"/>
  <c r="Y18" i="17"/>
  <c r="X18" i="17"/>
  <c r="P18" i="17"/>
  <c r="O18" i="17"/>
  <c r="Q18" i="17" s="1"/>
  <c r="M18" i="17"/>
  <c r="H18" i="17"/>
  <c r="C18" i="17"/>
  <c r="AB17" i="17"/>
  <c r="AD17" i="17" s="1"/>
  <c r="J17" i="17" s="1"/>
  <c r="K17" i="17" s="1"/>
  <c r="Y17" i="17"/>
  <c r="X17" i="17"/>
  <c r="P17" i="17"/>
  <c r="Q17" i="17" s="1"/>
  <c r="O17" i="17"/>
  <c r="M17" i="17"/>
  <c r="H17" i="17"/>
  <c r="C17" i="17"/>
  <c r="AB16" i="17"/>
  <c r="AD16" i="17" s="1"/>
  <c r="J16" i="17" s="1"/>
  <c r="Y16" i="17"/>
  <c r="X16" i="17"/>
  <c r="P16" i="17"/>
  <c r="O16" i="17"/>
  <c r="M16" i="17"/>
  <c r="H16" i="17"/>
  <c r="C16" i="17"/>
  <c r="AB15" i="17"/>
  <c r="AD15" i="17" s="1"/>
  <c r="J15" i="17" s="1"/>
  <c r="Y15" i="17"/>
  <c r="X15" i="17"/>
  <c r="P15" i="17"/>
  <c r="O15" i="17"/>
  <c r="Q15" i="17" s="1"/>
  <c r="M15" i="17"/>
  <c r="H15" i="17"/>
  <c r="C15" i="17"/>
  <c r="AB14" i="17"/>
  <c r="AD14" i="17" s="1"/>
  <c r="J14" i="17" s="1"/>
  <c r="Y14" i="17"/>
  <c r="X14" i="17"/>
  <c r="P14" i="17"/>
  <c r="Q14" i="17" s="1"/>
  <c r="O14" i="17"/>
  <c r="M14" i="17"/>
  <c r="H14" i="17"/>
  <c r="C14" i="17"/>
  <c r="AD13" i="17"/>
  <c r="J13" i="17" s="1"/>
  <c r="AB13" i="17"/>
  <c r="Y13" i="17"/>
  <c r="X13" i="17"/>
  <c r="P13" i="17"/>
  <c r="O13" i="17"/>
  <c r="M13" i="17"/>
  <c r="H13" i="17"/>
  <c r="C13" i="17"/>
  <c r="AB12" i="17"/>
  <c r="AD12" i="17" s="1"/>
  <c r="J12" i="17" s="1"/>
  <c r="Y12" i="17"/>
  <c r="X12" i="17"/>
  <c r="Q12" i="17"/>
  <c r="P12" i="17"/>
  <c r="O12" i="17"/>
  <c r="M12" i="17"/>
  <c r="H12" i="17"/>
  <c r="C12" i="17"/>
  <c r="AB11" i="17"/>
  <c r="AD11" i="17" s="1"/>
  <c r="J11" i="17" s="1"/>
  <c r="Y11" i="17"/>
  <c r="X11" i="17"/>
  <c r="P11" i="17"/>
  <c r="Q11" i="17" s="1"/>
  <c r="O11" i="17"/>
  <c r="M11" i="17"/>
  <c r="H11" i="17"/>
  <c r="C11" i="17"/>
  <c r="AD10" i="17"/>
  <c r="J10" i="17" s="1"/>
  <c r="I10" i="17" s="1"/>
  <c r="AB10" i="17"/>
  <c r="Y10" i="17"/>
  <c r="X10" i="17"/>
  <c r="P10" i="17"/>
  <c r="Q10" i="17" s="1"/>
  <c r="O10" i="17"/>
  <c r="M10" i="17"/>
  <c r="H10" i="17"/>
  <c r="C10" i="17"/>
  <c r="AB9" i="17"/>
  <c r="AD9" i="17" s="1"/>
  <c r="J9" i="17" s="1"/>
  <c r="K9" i="17" s="1"/>
  <c r="Y9" i="17"/>
  <c r="X9" i="17"/>
  <c r="P9" i="17"/>
  <c r="O9" i="17"/>
  <c r="Q9" i="17" s="1"/>
  <c r="M9" i="17"/>
  <c r="H9" i="17"/>
  <c r="C9" i="17"/>
  <c r="AB8" i="17"/>
  <c r="AD8" i="17" s="1"/>
  <c r="J8" i="17" s="1"/>
  <c r="Y8" i="17"/>
  <c r="X8" i="17"/>
  <c r="P8" i="17"/>
  <c r="O8" i="17"/>
  <c r="M8" i="17"/>
  <c r="H8" i="17"/>
  <c r="C8" i="17"/>
  <c r="AB7" i="17"/>
  <c r="AD7" i="17" s="1"/>
  <c r="J7" i="17" s="1"/>
  <c r="Y7" i="17"/>
  <c r="X7" i="17"/>
  <c r="Q7" i="17"/>
  <c r="P7" i="17"/>
  <c r="O7" i="17"/>
  <c r="M7" i="17"/>
  <c r="H7" i="17"/>
  <c r="C7" i="17"/>
  <c r="AB6" i="17"/>
  <c r="AD6" i="17" s="1"/>
  <c r="J6" i="17" s="1"/>
  <c r="Y6" i="17"/>
  <c r="X6" i="17"/>
  <c r="P6" i="17"/>
  <c r="O6" i="17"/>
  <c r="M6" i="17"/>
  <c r="H6" i="17"/>
  <c r="C6" i="17"/>
  <c r="AB5" i="17"/>
  <c r="AD5" i="17" s="1"/>
  <c r="J5" i="17" s="1"/>
  <c r="Y5" i="17"/>
  <c r="X5" i="17"/>
  <c r="P5" i="17"/>
  <c r="O5" i="17"/>
  <c r="M5" i="17"/>
  <c r="H5" i="17"/>
  <c r="C5" i="17"/>
  <c r="AB4" i="17"/>
  <c r="AD4" i="17" s="1"/>
  <c r="Y4" i="17"/>
  <c r="X4" i="17"/>
  <c r="Q4" i="17"/>
  <c r="P4" i="17"/>
  <c r="O4" i="17"/>
  <c r="M4" i="17"/>
  <c r="H4" i="17"/>
  <c r="C4" i="17"/>
  <c r="AG3" i="17"/>
  <c r="AF3" i="17"/>
  <c r="W3" i="17"/>
  <c r="V3" i="17"/>
  <c r="U3" i="17"/>
  <c r="T3" i="17"/>
  <c r="O3" i="17"/>
  <c r="G3" i="17"/>
  <c r="F3" i="17"/>
  <c r="D3" i="17"/>
  <c r="A2" i="17"/>
  <c r="A1" i="17"/>
  <c r="AB31" i="16"/>
  <c r="AD31" i="16" s="1"/>
  <c r="Y31" i="16"/>
  <c r="X31" i="16"/>
  <c r="P31" i="16"/>
  <c r="O31" i="16"/>
  <c r="M31" i="16"/>
  <c r="J31" i="16"/>
  <c r="I31" i="16" s="1"/>
  <c r="H31" i="16"/>
  <c r="C31" i="16"/>
  <c r="AB30" i="16"/>
  <c r="AD30" i="16" s="1"/>
  <c r="J30" i="16" s="1"/>
  <c r="Y30" i="16"/>
  <c r="X30" i="16"/>
  <c r="P30" i="16"/>
  <c r="O30" i="16"/>
  <c r="Q30" i="16" s="1"/>
  <c r="M30" i="16"/>
  <c r="H30" i="16"/>
  <c r="C30" i="16"/>
  <c r="AD29" i="16"/>
  <c r="J29" i="16" s="1"/>
  <c r="AB29" i="16"/>
  <c r="Y29" i="16"/>
  <c r="X29" i="16"/>
  <c r="P29" i="16"/>
  <c r="O29" i="16"/>
  <c r="Q29" i="16" s="1"/>
  <c r="M29" i="16"/>
  <c r="H29" i="16"/>
  <c r="C29" i="16"/>
  <c r="AB28" i="16"/>
  <c r="AD28" i="16" s="1"/>
  <c r="J28" i="16" s="1"/>
  <c r="Y28" i="16"/>
  <c r="X28" i="16"/>
  <c r="P28" i="16"/>
  <c r="O28" i="16"/>
  <c r="Q28" i="16" s="1"/>
  <c r="M28" i="16"/>
  <c r="H28" i="16"/>
  <c r="C28" i="16"/>
  <c r="AB27" i="16"/>
  <c r="AD27" i="16" s="1"/>
  <c r="J27" i="16" s="1"/>
  <c r="K27" i="16" s="1"/>
  <c r="Y27" i="16"/>
  <c r="X27" i="16"/>
  <c r="P27" i="16"/>
  <c r="Q27" i="16" s="1"/>
  <c r="O27" i="16"/>
  <c r="M27" i="16"/>
  <c r="H27" i="16"/>
  <c r="C27" i="16"/>
  <c r="AD26" i="16"/>
  <c r="J26" i="16" s="1"/>
  <c r="I26" i="16" s="1"/>
  <c r="AB26" i="16"/>
  <c r="Y26" i="16"/>
  <c r="X26" i="16"/>
  <c r="P26" i="16"/>
  <c r="O26" i="16"/>
  <c r="Q26" i="16" s="1"/>
  <c r="M26" i="16"/>
  <c r="H26" i="16"/>
  <c r="C26" i="16"/>
  <c r="AD25" i="16"/>
  <c r="J25" i="16" s="1"/>
  <c r="AB25" i="16"/>
  <c r="Y25" i="16"/>
  <c r="X25" i="16"/>
  <c r="Q25" i="16"/>
  <c r="P25" i="16"/>
  <c r="O25" i="16"/>
  <c r="M25" i="16"/>
  <c r="H25" i="16"/>
  <c r="C25" i="16"/>
  <c r="AD24" i="16"/>
  <c r="J24" i="16" s="1"/>
  <c r="AB24" i="16"/>
  <c r="Y24" i="16"/>
  <c r="X24" i="16"/>
  <c r="P24" i="16"/>
  <c r="O24" i="16"/>
  <c r="Q24" i="16" s="1"/>
  <c r="M24" i="16"/>
  <c r="H24" i="16"/>
  <c r="C24" i="16"/>
  <c r="AB23" i="16"/>
  <c r="AD23" i="16" s="1"/>
  <c r="J23" i="16" s="1"/>
  <c r="Y23" i="16"/>
  <c r="X23" i="16"/>
  <c r="P23" i="16"/>
  <c r="O23" i="16"/>
  <c r="M23" i="16"/>
  <c r="H23" i="16"/>
  <c r="C23" i="16"/>
  <c r="AB22" i="16"/>
  <c r="AD22" i="16" s="1"/>
  <c r="J22" i="16" s="1"/>
  <c r="Y22" i="16"/>
  <c r="X22" i="16"/>
  <c r="Q22" i="16"/>
  <c r="P22" i="16"/>
  <c r="O22" i="16"/>
  <c r="M22" i="16"/>
  <c r="H22" i="16"/>
  <c r="C22" i="16"/>
  <c r="AB21" i="16"/>
  <c r="AD21" i="16" s="1"/>
  <c r="J21" i="16" s="1"/>
  <c r="Y21" i="16"/>
  <c r="X21" i="16"/>
  <c r="P21" i="16"/>
  <c r="O21" i="16"/>
  <c r="Q21" i="16" s="1"/>
  <c r="M21" i="16"/>
  <c r="H21" i="16"/>
  <c r="C21" i="16"/>
  <c r="AB20" i="16"/>
  <c r="AD20" i="16" s="1"/>
  <c r="J20" i="16" s="1"/>
  <c r="Y20" i="16"/>
  <c r="X20" i="16"/>
  <c r="P20" i="16"/>
  <c r="Q20" i="16" s="1"/>
  <c r="O20" i="16"/>
  <c r="M20" i="16"/>
  <c r="H20" i="16"/>
  <c r="C20" i="16"/>
  <c r="AB19" i="16"/>
  <c r="AD19" i="16" s="1"/>
  <c r="J19" i="16" s="1"/>
  <c r="K19" i="16" s="1"/>
  <c r="Y19" i="16"/>
  <c r="X19" i="16"/>
  <c r="P19" i="16"/>
  <c r="Q19" i="16" s="1"/>
  <c r="O19" i="16"/>
  <c r="M19" i="16"/>
  <c r="H19" i="16"/>
  <c r="C19" i="16"/>
  <c r="AB18" i="16"/>
  <c r="AD18" i="16" s="1"/>
  <c r="J18" i="16" s="1"/>
  <c r="I18" i="16" s="1"/>
  <c r="Y18" i="16"/>
  <c r="X18" i="16"/>
  <c r="P18" i="16"/>
  <c r="O18" i="16"/>
  <c r="Q18" i="16" s="1"/>
  <c r="M18" i="16"/>
  <c r="H18" i="16"/>
  <c r="C18" i="16"/>
  <c r="AB17" i="16"/>
  <c r="AD17" i="16" s="1"/>
  <c r="J17" i="16" s="1"/>
  <c r="Y17" i="16"/>
  <c r="X17" i="16"/>
  <c r="P17" i="16"/>
  <c r="O17" i="16"/>
  <c r="Q17" i="16" s="1"/>
  <c r="M17" i="16"/>
  <c r="H17" i="16"/>
  <c r="C17" i="16"/>
  <c r="AB16" i="16"/>
  <c r="AD16" i="16" s="1"/>
  <c r="J16" i="16" s="1"/>
  <c r="Y16" i="16"/>
  <c r="X16" i="16"/>
  <c r="Q16" i="16"/>
  <c r="P16" i="16"/>
  <c r="O16" i="16"/>
  <c r="M16" i="16"/>
  <c r="H16" i="16"/>
  <c r="C16" i="16"/>
  <c r="AB15" i="16"/>
  <c r="AD15" i="16" s="1"/>
  <c r="J15" i="16" s="1"/>
  <c r="Y15" i="16"/>
  <c r="X15" i="16"/>
  <c r="P15" i="16"/>
  <c r="O15" i="16"/>
  <c r="M15" i="16"/>
  <c r="H15" i="16"/>
  <c r="C15" i="16"/>
  <c r="AB14" i="16"/>
  <c r="AD14" i="16" s="1"/>
  <c r="Y14" i="16"/>
  <c r="X14" i="16"/>
  <c r="P14" i="16"/>
  <c r="O14" i="16"/>
  <c r="Q14" i="16" s="1"/>
  <c r="M14" i="16"/>
  <c r="J14" i="16"/>
  <c r="H14" i="16"/>
  <c r="C14" i="16"/>
  <c r="AD13" i="16"/>
  <c r="J13" i="16" s="1"/>
  <c r="AB13" i="16"/>
  <c r="Y13" i="16"/>
  <c r="X13" i="16"/>
  <c r="P13" i="16"/>
  <c r="Q13" i="16" s="1"/>
  <c r="O13" i="16"/>
  <c r="M13" i="16"/>
  <c r="H13" i="16"/>
  <c r="C13" i="16"/>
  <c r="AB12" i="16"/>
  <c r="AD12" i="16" s="1"/>
  <c r="J12" i="16" s="1"/>
  <c r="Y12" i="16"/>
  <c r="X12" i="16"/>
  <c r="Q12" i="16"/>
  <c r="P12" i="16"/>
  <c r="O12" i="16"/>
  <c r="M12" i="16"/>
  <c r="H12" i="16"/>
  <c r="C12" i="16"/>
  <c r="AD11" i="16"/>
  <c r="J11" i="16" s="1"/>
  <c r="K11" i="16" s="1"/>
  <c r="AB11" i="16"/>
  <c r="Y11" i="16"/>
  <c r="X11" i="16"/>
  <c r="P11" i="16"/>
  <c r="O11" i="16"/>
  <c r="M11" i="16"/>
  <c r="H11" i="16"/>
  <c r="C11" i="16"/>
  <c r="AD10" i="16"/>
  <c r="J10" i="16" s="1"/>
  <c r="I10" i="16" s="1"/>
  <c r="AB10" i="16"/>
  <c r="Y10" i="16"/>
  <c r="X10" i="16"/>
  <c r="P10" i="16"/>
  <c r="O10" i="16"/>
  <c r="M10" i="16"/>
  <c r="H10" i="16"/>
  <c r="C10" i="16"/>
  <c r="AF3" i="16"/>
  <c r="W3" i="16"/>
  <c r="V3" i="16"/>
  <c r="U3" i="16"/>
  <c r="T3" i="16"/>
  <c r="O3" i="16"/>
  <c r="G3" i="16"/>
  <c r="F3" i="16"/>
  <c r="D3" i="16"/>
  <c r="X3" i="16" s="1"/>
  <c r="A2" i="16"/>
  <c r="A1" i="16"/>
  <c r="AB31" i="15"/>
  <c r="AD31" i="15" s="1"/>
  <c r="J31" i="15" s="1"/>
  <c r="Y31" i="15"/>
  <c r="X31" i="15"/>
  <c r="P31" i="15"/>
  <c r="Q31" i="15" s="1"/>
  <c r="O31" i="15"/>
  <c r="M31" i="15"/>
  <c r="H31" i="15"/>
  <c r="C31" i="15"/>
  <c r="AD30" i="15"/>
  <c r="J30" i="15" s="1"/>
  <c r="I30" i="15" s="1"/>
  <c r="AB30" i="15"/>
  <c r="Y30" i="15"/>
  <c r="X30" i="15"/>
  <c r="P30" i="15"/>
  <c r="O30" i="15"/>
  <c r="M30" i="15"/>
  <c r="K30" i="15"/>
  <c r="H30" i="15"/>
  <c r="C30" i="15"/>
  <c r="AD29" i="15"/>
  <c r="J29" i="15" s="1"/>
  <c r="AB29" i="15"/>
  <c r="Y29" i="15"/>
  <c r="X29" i="15"/>
  <c r="P29" i="15"/>
  <c r="O29" i="15"/>
  <c r="M29" i="15"/>
  <c r="H29" i="15"/>
  <c r="C29" i="15"/>
  <c r="AD28" i="15"/>
  <c r="J28" i="15" s="1"/>
  <c r="AB28" i="15"/>
  <c r="Y28" i="15"/>
  <c r="X28" i="15"/>
  <c r="P28" i="15"/>
  <c r="O28" i="15"/>
  <c r="M28" i="15"/>
  <c r="H28" i="15"/>
  <c r="C28" i="15"/>
  <c r="AB27" i="15"/>
  <c r="AD27" i="15" s="1"/>
  <c r="J27" i="15" s="1"/>
  <c r="Y27" i="15"/>
  <c r="X27" i="15"/>
  <c r="P27" i="15"/>
  <c r="O27" i="15"/>
  <c r="M27" i="15"/>
  <c r="H27" i="15"/>
  <c r="C27" i="15"/>
  <c r="AB26" i="15"/>
  <c r="AD26" i="15" s="1"/>
  <c r="J26" i="15" s="1"/>
  <c r="Y26" i="15"/>
  <c r="X26" i="15"/>
  <c r="P26" i="15"/>
  <c r="O26" i="15"/>
  <c r="Q26" i="15" s="1"/>
  <c r="M26" i="15"/>
  <c r="H26" i="15"/>
  <c r="C26" i="15"/>
  <c r="AB25" i="15"/>
  <c r="AD25" i="15" s="1"/>
  <c r="J25" i="15" s="1"/>
  <c r="Y25" i="15"/>
  <c r="X25" i="15"/>
  <c r="P25" i="15"/>
  <c r="O25" i="15"/>
  <c r="M25" i="15"/>
  <c r="H25" i="15"/>
  <c r="C25" i="15"/>
  <c r="AB24" i="15"/>
  <c r="AD24" i="15" s="1"/>
  <c r="J24" i="15" s="1"/>
  <c r="Y24" i="15"/>
  <c r="X24" i="15"/>
  <c r="P24" i="15"/>
  <c r="O24" i="15"/>
  <c r="Q24" i="15" s="1"/>
  <c r="M24" i="15"/>
  <c r="H24" i="15"/>
  <c r="C24" i="15"/>
  <c r="AD23" i="15"/>
  <c r="AB23" i="15"/>
  <c r="Y23" i="15"/>
  <c r="X23" i="15"/>
  <c r="Q23" i="15"/>
  <c r="P23" i="15"/>
  <c r="O23" i="15"/>
  <c r="M23" i="15"/>
  <c r="J23" i="15"/>
  <c r="K23" i="15" s="1"/>
  <c r="H23" i="15"/>
  <c r="C23" i="15"/>
  <c r="AD22" i="15"/>
  <c r="J22" i="15" s="1"/>
  <c r="I22" i="15" s="1"/>
  <c r="AB22" i="15"/>
  <c r="Y22" i="15"/>
  <c r="X22" i="15"/>
  <c r="P22" i="15"/>
  <c r="O22" i="15"/>
  <c r="M22" i="15"/>
  <c r="H22" i="15"/>
  <c r="C22" i="15"/>
  <c r="AB21" i="15"/>
  <c r="AD21" i="15" s="1"/>
  <c r="J21" i="15" s="1"/>
  <c r="K21" i="15" s="1"/>
  <c r="Y21" i="15"/>
  <c r="X21" i="15"/>
  <c r="P21" i="15"/>
  <c r="O21" i="15"/>
  <c r="Q21" i="15" s="1"/>
  <c r="M21" i="15"/>
  <c r="H21" i="15"/>
  <c r="C21" i="15"/>
  <c r="AB20" i="15"/>
  <c r="AD20" i="15" s="1"/>
  <c r="J20" i="15" s="1"/>
  <c r="Y20" i="15"/>
  <c r="X20" i="15"/>
  <c r="P20" i="15"/>
  <c r="O20" i="15"/>
  <c r="M20" i="15"/>
  <c r="H20" i="15"/>
  <c r="C20" i="15"/>
  <c r="AB19" i="15"/>
  <c r="AD19" i="15" s="1"/>
  <c r="J19" i="15" s="1"/>
  <c r="Y19" i="15"/>
  <c r="X19" i="15"/>
  <c r="P19" i="15"/>
  <c r="O19" i="15"/>
  <c r="M19" i="15"/>
  <c r="H19" i="15"/>
  <c r="C19" i="15"/>
  <c r="AB18" i="15"/>
  <c r="AD18" i="15" s="1"/>
  <c r="J18" i="15" s="1"/>
  <c r="Y18" i="15"/>
  <c r="X18" i="15"/>
  <c r="P18" i="15"/>
  <c r="O18" i="15"/>
  <c r="Q18" i="15" s="1"/>
  <c r="M18" i="15"/>
  <c r="H18" i="15"/>
  <c r="C18" i="15"/>
  <c r="AB17" i="15"/>
  <c r="AD17" i="15" s="1"/>
  <c r="J17" i="15" s="1"/>
  <c r="Y17" i="15"/>
  <c r="X17" i="15"/>
  <c r="P17" i="15"/>
  <c r="O17" i="15"/>
  <c r="M17" i="15"/>
  <c r="H17" i="15"/>
  <c r="C17" i="15"/>
  <c r="AB16" i="15"/>
  <c r="AD16" i="15" s="1"/>
  <c r="J16" i="15" s="1"/>
  <c r="Y16" i="15"/>
  <c r="X16" i="15"/>
  <c r="P16" i="15"/>
  <c r="O16" i="15"/>
  <c r="Q16" i="15" s="1"/>
  <c r="M16" i="15"/>
  <c r="H16" i="15"/>
  <c r="C16" i="15"/>
  <c r="AB15" i="15"/>
  <c r="AD15" i="15" s="1"/>
  <c r="J15" i="15" s="1"/>
  <c r="Y15" i="15"/>
  <c r="X15" i="15"/>
  <c r="P15" i="15"/>
  <c r="Q15" i="15" s="1"/>
  <c r="O15" i="15"/>
  <c r="M15" i="15"/>
  <c r="H15" i="15"/>
  <c r="C15" i="15"/>
  <c r="AD14" i="15"/>
  <c r="J14" i="15" s="1"/>
  <c r="I14" i="15" s="1"/>
  <c r="AB14" i="15"/>
  <c r="Y14" i="15"/>
  <c r="X14" i="15"/>
  <c r="P14" i="15"/>
  <c r="O14" i="15"/>
  <c r="M14" i="15"/>
  <c r="K14" i="15"/>
  <c r="H14" i="15"/>
  <c r="C14" i="15"/>
  <c r="AB13" i="15"/>
  <c r="AD13" i="15" s="1"/>
  <c r="J13" i="15" s="1"/>
  <c r="K13" i="15" s="1"/>
  <c r="Y13" i="15"/>
  <c r="X13" i="15"/>
  <c r="P13" i="15"/>
  <c r="O13" i="15"/>
  <c r="Q13" i="15" s="1"/>
  <c r="M13" i="15"/>
  <c r="H13" i="15"/>
  <c r="C13" i="15"/>
  <c r="AB12" i="15"/>
  <c r="AD12" i="15" s="1"/>
  <c r="J12" i="15" s="1"/>
  <c r="Y12" i="15"/>
  <c r="X12" i="15"/>
  <c r="P12" i="15"/>
  <c r="O12" i="15"/>
  <c r="Q12" i="15" s="1"/>
  <c r="M12" i="15"/>
  <c r="H12" i="15"/>
  <c r="C12" i="15"/>
  <c r="AB11" i="15"/>
  <c r="AD11" i="15" s="1"/>
  <c r="J11" i="15" s="1"/>
  <c r="Y11" i="15"/>
  <c r="X11" i="15"/>
  <c r="P11" i="15"/>
  <c r="O11" i="15"/>
  <c r="Q11" i="15" s="1"/>
  <c r="M11" i="15"/>
  <c r="H11" i="15"/>
  <c r="C11" i="15"/>
  <c r="AB10" i="15"/>
  <c r="AD10" i="15" s="1"/>
  <c r="J10" i="15" s="1"/>
  <c r="Y10" i="15"/>
  <c r="X10" i="15"/>
  <c r="P10" i="15"/>
  <c r="O10" i="15"/>
  <c r="Q10" i="15" s="1"/>
  <c r="M10" i="15"/>
  <c r="H10" i="15"/>
  <c r="C10" i="15"/>
  <c r="AD9" i="15"/>
  <c r="J9" i="15" s="1"/>
  <c r="AB9" i="15"/>
  <c r="Y9" i="15"/>
  <c r="X9" i="15"/>
  <c r="P9" i="15"/>
  <c r="Q9" i="15" s="1"/>
  <c r="O9" i="15"/>
  <c r="M9" i="15"/>
  <c r="H9" i="15"/>
  <c r="C9" i="15"/>
  <c r="AG3" i="15"/>
  <c r="AF3" i="15"/>
  <c r="W3" i="15"/>
  <c r="V3" i="15"/>
  <c r="U3" i="15"/>
  <c r="T3" i="15"/>
  <c r="O3" i="15"/>
  <c r="G3" i="15"/>
  <c r="F3" i="15"/>
  <c r="H3" i="15" s="1"/>
  <c r="D3" i="15"/>
  <c r="X3" i="15" s="1"/>
  <c r="A2" i="15"/>
  <c r="A1" i="15"/>
  <c r="AD31" i="14"/>
  <c r="AB31" i="14"/>
  <c r="Y31" i="14"/>
  <c r="X31" i="14"/>
  <c r="P31" i="14"/>
  <c r="O31" i="14"/>
  <c r="Q31" i="14" s="1"/>
  <c r="M31" i="14"/>
  <c r="J31" i="14"/>
  <c r="K31" i="14" s="1"/>
  <c r="H31" i="14"/>
  <c r="C31" i="14"/>
  <c r="AB30" i="14"/>
  <c r="AD30" i="14" s="1"/>
  <c r="J30" i="14" s="1"/>
  <c r="Y30" i="14"/>
  <c r="X30" i="14"/>
  <c r="P30" i="14"/>
  <c r="O30" i="14"/>
  <c r="M30" i="14"/>
  <c r="H30" i="14"/>
  <c r="C30" i="14"/>
  <c r="AB29" i="14"/>
  <c r="AD29" i="14" s="1"/>
  <c r="J29" i="14" s="1"/>
  <c r="Y29" i="14"/>
  <c r="X29" i="14"/>
  <c r="P29" i="14"/>
  <c r="O29" i="14"/>
  <c r="Q29" i="14" s="1"/>
  <c r="M29" i="14"/>
  <c r="H29" i="14"/>
  <c r="C29" i="14"/>
  <c r="AB28" i="14"/>
  <c r="AD28" i="14" s="1"/>
  <c r="J28" i="14" s="1"/>
  <c r="K28" i="14" s="1"/>
  <c r="Y28" i="14"/>
  <c r="X28" i="14"/>
  <c r="P28" i="14"/>
  <c r="O28" i="14"/>
  <c r="M28" i="14"/>
  <c r="H28" i="14"/>
  <c r="C28" i="14"/>
  <c r="AD27" i="14"/>
  <c r="J27" i="14" s="1"/>
  <c r="I27" i="14" s="1"/>
  <c r="AB27" i="14"/>
  <c r="Y27" i="14"/>
  <c r="X27" i="14"/>
  <c r="P27" i="14"/>
  <c r="O27" i="14"/>
  <c r="M27" i="14"/>
  <c r="H27" i="14"/>
  <c r="C27" i="14"/>
  <c r="AD26" i="14"/>
  <c r="J26" i="14" s="1"/>
  <c r="I26" i="14" s="1"/>
  <c r="AB26" i="14"/>
  <c r="Y26" i="14"/>
  <c r="X26" i="14"/>
  <c r="P26" i="14"/>
  <c r="O26" i="14"/>
  <c r="Q26" i="14" s="1"/>
  <c r="M26" i="14"/>
  <c r="K26" i="14"/>
  <c r="H26" i="14"/>
  <c r="C26" i="14"/>
  <c r="AD25" i="14"/>
  <c r="J25" i="14" s="1"/>
  <c r="AB25" i="14"/>
  <c r="Y25" i="14"/>
  <c r="X25" i="14"/>
  <c r="P25" i="14"/>
  <c r="O25" i="14"/>
  <c r="M25" i="14"/>
  <c r="H25" i="14"/>
  <c r="C25" i="14"/>
  <c r="AB24" i="14"/>
  <c r="AD24" i="14" s="1"/>
  <c r="J24" i="14" s="1"/>
  <c r="Y24" i="14"/>
  <c r="X24" i="14"/>
  <c r="P24" i="14"/>
  <c r="O24" i="14"/>
  <c r="M24" i="14"/>
  <c r="H24" i="14"/>
  <c r="C24" i="14"/>
  <c r="AB23" i="14"/>
  <c r="AD23" i="14" s="1"/>
  <c r="J23" i="14" s="1"/>
  <c r="Y23" i="14"/>
  <c r="X23" i="14"/>
  <c r="Q23" i="14"/>
  <c r="P23" i="14"/>
  <c r="O23" i="14"/>
  <c r="M23" i="14"/>
  <c r="H23" i="14"/>
  <c r="C23" i="14"/>
  <c r="AD22" i="14"/>
  <c r="J22" i="14" s="1"/>
  <c r="AB22" i="14"/>
  <c r="Y22" i="14"/>
  <c r="X22" i="14"/>
  <c r="P22" i="14"/>
  <c r="O22" i="14"/>
  <c r="Q22" i="14" s="1"/>
  <c r="M22" i="14"/>
  <c r="H22" i="14"/>
  <c r="C22" i="14"/>
  <c r="AB21" i="14"/>
  <c r="AD21" i="14" s="1"/>
  <c r="J21" i="14" s="1"/>
  <c r="Y21" i="14"/>
  <c r="X21" i="14"/>
  <c r="P21" i="14"/>
  <c r="O21" i="14"/>
  <c r="M21" i="14"/>
  <c r="H21" i="14"/>
  <c r="C21" i="14"/>
  <c r="AB20" i="14"/>
  <c r="AD20" i="14" s="1"/>
  <c r="J20" i="14" s="1"/>
  <c r="K20" i="14" s="1"/>
  <c r="Y20" i="14"/>
  <c r="X20" i="14"/>
  <c r="Q20" i="14"/>
  <c r="P20" i="14"/>
  <c r="O20" i="14"/>
  <c r="M20" i="14"/>
  <c r="H20" i="14"/>
  <c r="C20" i="14"/>
  <c r="AB19" i="14"/>
  <c r="AD19" i="14" s="1"/>
  <c r="J19" i="14" s="1"/>
  <c r="I19" i="14" s="1"/>
  <c r="Y19" i="14"/>
  <c r="X19" i="14"/>
  <c r="P19" i="14"/>
  <c r="O19" i="14"/>
  <c r="M19" i="14"/>
  <c r="H19" i="14"/>
  <c r="C19" i="14"/>
  <c r="AD18" i="14"/>
  <c r="J18" i="14" s="1"/>
  <c r="I18" i="14" s="1"/>
  <c r="AB18" i="14"/>
  <c r="Y18" i="14"/>
  <c r="X18" i="14"/>
  <c r="P18" i="14"/>
  <c r="O18" i="14"/>
  <c r="Q18" i="14" s="1"/>
  <c r="M18" i="14"/>
  <c r="K18" i="14"/>
  <c r="H18" i="14"/>
  <c r="C18" i="14"/>
  <c r="AD17" i="14"/>
  <c r="J17" i="14" s="1"/>
  <c r="AB17" i="14"/>
  <c r="Y17" i="14"/>
  <c r="X17" i="14"/>
  <c r="P17" i="14"/>
  <c r="O17" i="14"/>
  <c r="Q17" i="14" s="1"/>
  <c r="M17" i="14"/>
  <c r="H17" i="14"/>
  <c r="C17" i="14"/>
  <c r="AB16" i="14"/>
  <c r="AD16" i="14" s="1"/>
  <c r="J16" i="14" s="1"/>
  <c r="Y16" i="14"/>
  <c r="X16" i="14"/>
  <c r="P16" i="14"/>
  <c r="O16" i="14"/>
  <c r="Q16" i="14" s="1"/>
  <c r="M16" i="14"/>
  <c r="H16" i="14"/>
  <c r="C16" i="14"/>
  <c r="AB15" i="14"/>
  <c r="AD15" i="14" s="1"/>
  <c r="J15" i="14" s="1"/>
  <c r="Y15" i="14"/>
  <c r="X15" i="14"/>
  <c r="P15" i="14"/>
  <c r="O15" i="14"/>
  <c r="Q15" i="14" s="1"/>
  <c r="M15" i="14"/>
  <c r="H15" i="14"/>
  <c r="C15" i="14"/>
  <c r="AD14" i="14"/>
  <c r="J14" i="14" s="1"/>
  <c r="AB14" i="14"/>
  <c r="Y14" i="14"/>
  <c r="X14" i="14"/>
  <c r="P14" i="14"/>
  <c r="O14" i="14"/>
  <c r="M14" i="14"/>
  <c r="H14" i="14"/>
  <c r="C14" i="14"/>
  <c r="AD13" i="14"/>
  <c r="J13" i="14" s="1"/>
  <c r="AB13" i="14"/>
  <c r="Y13" i="14"/>
  <c r="X13" i="14"/>
  <c r="P13" i="14"/>
  <c r="O13" i="14"/>
  <c r="Q13" i="14" s="1"/>
  <c r="M13" i="14"/>
  <c r="H13" i="14"/>
  <c r="C13" i="14"/>
  <c r="AB12" i="14"/>
  <c r="AD12" i="14" s="1"/>
  <c r="J12" i="14" s="1"/>
  <c r="Y12" i="14"/>
  <c r="X12" i="14"/>
  <c r="P12" i="14"/>
  <c r="Q12" i="14" s="1"/>
  <c r="O12" i="14"/>
  <c r="M12" i="14"/>
  <c r="H12" i="14"/>
  <c r="C12" i="14"/>
  <c r="AD11" i="14"/>
  <c r="J11" i="14" s="1"/>
  <c r="I11" i="14" s="1"/>
  <c r="AB11" i="14"/>
  <c r="Y11" i="14"/>
  <c r="X11" i="14"/>
  <c r="P11" i="14"/>
  <c r="O11" i="14"/>
  <c r="M11" i="14"/>
  <c r="H11" i="14"/>
  <c r="C11" i="14"/>
  <c r="AB10" i="14"/>
  <c r="AD10" i="14" s="1"/>
  <c r="J10" i="14" s="1"/>
  <c r="Y10" i="14"/>
  <c r="X10" i="14"/>
  <c r="P10" i="14"/>
  <c r="O10" i="14"/>
  <c r="Q10" i="14" s="1"/>
  <c r="M10" i="14"/>
  <c r="H10" i="14"/>
  <c r="C10" i="14"/>
  <c r="AD9" i="14"/>
  <c r="J9" i="14" s="1"/>
  <c r="AB9" i="14"/>
  <c r="Y9" i="14"/>
  <c r="X9" i="14"/>
  <c r="P9" i="14"/>
  <c r="O9" i="14"/>
  <c r="M9" i="14"/>
  <c r="H9" i="14"/>
  <c r="C9" i="14"/>
  <c r="AB8" i="14"/>
  <c r="AD8" i="14" s="1"/>
  <c r="J8" i="14" s="1"/>
  <c r="Y8" i="14"/>
  <c r="X8" i="14"/>
  <c r="P8" i="14"/>
  <c r="O8" i="14"/>
  <c r="M8" i="14"/>
  <c r="H8" i="14"/>
  <c r="C8" i="14"/>
  <c r="AB7" i="14"/>
  <c r="AD7" i="14" s="1"/>
  <c r="J7" i="14" s="1"/>
  <c r="Y7" i="14"/>
  <c r="X7" i="14"/>
  <c r="P7" i="14"/>
  <c r="O7" i="14"/>
  <c r="Q7" i="14" s="1"/>
  <c r="M7" i="14"/>
  <c r="H7" i="14"/>
  <c r="C7" i="14"/>
  <c r="AB6" i="14"/>
  <c r="AD6" i="14" s="1"/>
  <c r="J6" i="14" s="1"/>
  <c r="Y6" i="14"/>
  <c r="X6" i="14"/>
  <c r="P6" i="14"/>
  <c r="O6" i="14"/>
  <c r="M6" i="14"/>
  <c r="H6" i="14"/>
  <c r="C6" i="14"/>
  <c r="AB5" i="14"/>
  <c r="AD5" i="14" s="1"/>
  <c r="J5" i="14" s="1"/>
  <c r="Y5" i="14"/>
  <c r="X5" i="14"/>
  <c r="P5" i="14"/>
  <c r="O5" i="14"/>
  <c r="Q5" i="14" s="1"/>
  <c r="M5" i="14"/>
  <c r="H5" i="14"/>
  <c r="C5" i="14"/>
  <c r="AB4" i="14"/>
  <c r="AD4" i="14" s="1"/>
  <c r="Y4" i="14"/>
  <c r="X4" i="14"/>
  <c r="P4" i="14"/>
  <c r="O4" i="14"/>
  <c r="Q4" i="14" s="1"/>
  <c r="M4" i="14"/>
  <c r="H4" i="14"/>
  <c r="C4" i="14"/>
  <c r="AG3" i="14"/>
  <c r="AF3" i="14"/>
  <c r="W3" i="14"/>
  <c r="V3" i="14"/>
  <c r="U3" i="14"/>
  <c r="T3" i="14"/>
  <c r="O3" i="14"/>
  <c r="G3" i="14"/>
  <c r="F3" i="14"/>
  <c r="D3" i="14"/>
  <c r="A2" i="14"/>
  <c r="A1" i="14"/>
  <c r="AB31" i="13"/>
  <c r="AD31" i="13" s="1"/>
  <c r="Y31" i="13"/>
  <c r="X31" i="13"/>
  <c r="P31" i="13"/>
  <c r="O31" i="13"/>
  <c r="Q31" i="13" s="1"/>
  <c r="M31" i="13"/>
  <c r="J31" i="13"/>
  <c r="H31" i="13"/>
  <c r="C31" i="13"/>
  <c r="AB30" i="13"/>
  <c r="AD30" i="13" s="1"/>
  <c r="J30" i="13" s="1"/>
  <c r="K30" i="13" s="1"/>
  <c r="Y30" i="13"/>
  <c r="X30" i="13"/>
  <c r="P30" i="13"/>
  <c r="O30" i="13"/>
  <c r="M30" i="13"/>
  <c r="H30" i="13"/>
  <c r="C30" i="13"/>
  <c r="AB29" i="13"/>
  <c r="AD29" i="13" s="1"/>
  <c r="J29" i="13" s="1"/>
  <c r="Y29" i="13"/>
  <c r="X29" i="13"/>
  <c r="P29" i="13"/>
  <c r="O29" i="13"/>
  <c r="M29" i="13"/>
  <c r="H29" i="13"/>
  <c r="C29" i="13"/>
  <c r="AB28" i="13"/>
  <c r="AD28" i="13" s="1"/>
  <c r="Y28" i="13"/>
  <c r="X28" i="13"/>
  <c r="P28" i="13"/>
  <c r="O28" i="13"/>
  <c r="Q28" i="13" s="1"/>
  <c r="M28" i="13"/>
  <c r="J28" i="13"/>
  <c r="K28" i="13" s="1"/>
  <c r="H28" i="13"/>
  <c r="C28" i="13"/>
  <c r="AD27" i="13"/>
  <c r="J27" i="13" s="1"/>
  <c r="AB27" i="13"/>
  <c r="Y27" i="13"/>
  <c r="X27" i="13"/>
  <c r="P27" i="13"/>
  <c r="O27" i="13"/>
  <c r="Q27" i="13" s="1"/>
  <c r="M27" i="13"/>
  <c r="H27" i="13"/>
  <c r="C27" i="13"/>
  <c r="AB26" i="13"/>
  <c r="AD26" i="13" s="1"/>
  <c r="J26" i="13" s="1"/>
  <c r="Y26" i="13"/>
  <c r="X26" i="13"/>
  <c r="P26" i="13"/>
  <c r="O26" i="13"/>
  <c r="M26" i="13"/>
  <c r="H26" i="13"/>
  <c r="C26" i="13"/>
  <c r="AB25" i="13"/>
  <c r="AD25" i="13" s="1"/>
  <c r="J25" i="13" s="1"/>
  <c r="Y25" i="13"/>
  <c r="X25" i="13"/>
  <c r="Q25" i="13"/>
  <c r="P25" i="13"/>
  <c r="O25" i="13"/>
  <c r="M25" i="13"/>
  <c r="H25" i="13"/>
  <c r="C25" i="13"/>
  <c r="AD24" i="13"/>
  <c r="J24" i="13" s="1"/>
  <c r="AB24" i="13"/>
  <c r="Y24" i="13"/>
  <c r="X24" i="13"/>
  <c r="P24" i="13"/>
  <c r="O24" i="13"/>
  <c r="M24" i="13"/>
  <c r="H24" i="13"/>
  <c r="C24" i="13"/>
  <c r="AB23" i="13"/>
  <c r="AD23" i="13" s="1"/>
  <c r="J23" i="13" s="1"/>
  <c r="K23" i="13" s="1"/>
  <c r="Y23" i="13"/>
  <c r="X23" i="13"/>
  <c r="P23" i="13"/>
  <c r="O23" i="13"/>
  <c r="Q23" i="13" s="1"/>
  <c r="M23" i="13"/>
  <c r="H23" i="13"/>
  <c r="C23" i="13"/>
  <c r="AB22" i="13"/>
  <c r="AD22" i="13" s="1"/>
  <c r="J22" i="13" s="1"/>
  <c r="K22" i="13" s="1"/>
  <c r="Y22" i="13"/>
  <c r="X22" i="13"/>
  <c r="P22" i="13"/>
  <c r="Q22" i="13" s="1"/>
  <c r="O22" i="13"/>
  <c r="M22" i="13"/>
  <c r="H22" i="13"/>
  <c r="C22" i="13"/>
  <c r="AD21" i="13"/>
  <c r="J21" i="13" s="1"/>
  <c r="I21" i="13" s="1"/>
  <c r="AB21" i="13"/>
  <c r="Y21" i="13"/>
  <c r="X21" i="13"/>
  <c r="P21" i="13"/>
  <c r="O21" i="13"/>
  <c r="M21" i="13"/>
  <c r="H21" i="13"/>
  <c r="C21" i="13"/>
  <c r="AB20" i="13"/>
  <c r="AD20" i="13" s="1"/>
  <c r="Y20" i="13"/>
  <c r="X20" i="13"/>
  <c r="P20" i="13"/>
  <c r="O20" i="13"/>
  <c r="Q20" i="13" s="1"/>
  <c r="M20" i="13"/>
  <c r="J20" i="13"/>
  <c r="K20" i="13" s="1"/>
  <c r="H20" i="13"/>
  <c r="C20" i="13"/>
  <c r="AB19" i="13"/>
  <c r="AD19" i="13" s="1"/>
  <c r="J19" i="13" s="1"/>
  <c r="Y19" i="13"/>
  <c r="X19" i="13"/>
  <c r="Q19" i="13"/>
  <c r="P19" i="13"/>
  <c r="O19" i="13"/>
  <c r="M19" i="13"/>
  <c r="H19" i="13"/>
  <c r="C19" i="13"/>
  <c r="AB18" i="13"/>
  <c r="AD18" i="13" s="1"/>
  <c r="J18" i="13" s="1"/>
  <c r="Y18" i="13"/>
  <c r="X18" i="13"/>
  <c r="P18" i="13"/>
  <c r="O18" i="13"/>
  <c r="M18" i="13"/>
  <c r="H18" i="13"/>
  <c r="C18" i="13"/>
  <c r="AB17" i="13"/>
  <c r="AD17" i="13" s="1"/>
  <c r="J17" i="13" s="1"/>
  <c r="Y17" i="13"/>
  <c r="X17" i="13"/>
  <c r="P17" i="13"/>
  <c r="O17" i="13"/>
  <c r="Q17" i="13" s="1"/>
  <c r="M17" i="13"/>
  <c r="H17" i="13"/>
  <c r="C17" i="13"/>
  <c r="AB16" i="13"/>
  <c r="AD16" i="13" s="1"/>
  <c r="J16" i="13" s="1"/>
  <c r="Y16" i="13"/>
  <c r="X16" i="13"/>
  <c r="P16" i="13"/>
  <c r="Q16" i="13" s="1"/>
  <c r="O16" i="13"/>
  <c r="M16" i="13"/>
  <c r="H16" i="13"/>
  <c r="C16" i="13"/>
  <c r="AB15" i="13"/>
  <c r="AD15" i="13" s="1"/>
  <c r="J15" i="13" s="1"/>
  <c r="K15" i="13" s="1"/>
  <c r="Y15" i="13"/>
  <c r="X15" i="13"/>
  <c r="Q15" i="13"/>
  <c r="P15" i="13"/>
  <c r="O15" i="13"/>
  <c r="M15" i="13"/>
  <c r="H15" i="13"/>
  <c r="C15" i="13"/>
  <c r="AB14" i="13"/>
  <c r="AD14" i="13" s="1"/>
  <c r="J14" i="13" s="1"/>
  <c r="K14" i="13" s="1"/>
  <c r="Y14" i="13"/>
  <c r="X14" i="13"/>
  <c r="P14" i="13"/>
  <c r="O14" i="13"/>
  <c r="M14" i="13"/>
  <c r="H14" i="13"/>
  <c r="C14" i="13"/>
  <c r="AB13" i="13"/>
  <c r="AD13" i="13" s="1"/>
  <c r="J13" i="13" s="1"/>
  <c r="Y13" i="13"/>
  <c r="X13" i="13"/>
  <c r="P13" i="13"/>
  <c r="O13" i="13"/>
  <c r="M13" i="13"/>
  <c r="H13" i="13"/>
  <c r="C13" i="13"/>
  <c r="AB12" i="13"/>
  <c r="AD12" i="13" s="1"/>
  <c r="J12" i="13" s="1"/>
  <c r="Y12" i="13"/>
  <c r="X12" i="13"/>
  <c r="P12" i="13"/>
  <c r="O12" i="13"/>
  <c r="Q12" i="13" s="1"/>
  <c r="M12" i="13"/>
  <c r="H12" i="13"/>
  <c r="C12" i="13"/>
  <c r="AB11" i="13"/>
  <c r="AD11" i="13" s="1"/>
  <c r="J11" i="13" s="1"/>
  <c r="Y11" i="13"/>
  <c r="X11" i="13"/>
  <c r="P11" i="13"/>
  <c r="Q11" i="13" s="1"/>
  <c r="O11" i="13"/>
  <c r="M11" i="13"/>
  <c r="H11" i="13"/>
  <c r="C11" i="13"/>
  <c r="AB10" i="13"/>
  <c r="AD10" i="13" s="1"/>
  <c r="J10" i="13" s="1"/>
  <c r="Y10" i="13"/>
  <c r="X10" i="13"/>
  <c r="P10" i="13"/>
  <c r="O10" i="13"/>
  <c r="M10" i="13"/>
  <c r="H10" i="13"/>
  <c r="C10" i="13"/>
  <c r="AB9" i="13"/>
  <c r="AD9" i="13" s="1"/>
  <c r="J9" i="13" s="1"/>
  <c r="Y9" i="13"/>
  <c r="X9" i="13"/>
  <c r="P9" i="13"/>
  <c r="O9" i="13"/>
  <c r="Q9" i="13" s="1"/>
  <c r="M9" i="13"/>
  <c r="H9" i="13"/>
  <c r="C9" i="13"/>
  <c r="AB8" i="13"/>
  <c r="AD8" i="13" s="1"/>
  <c r="J8" i="13" s="1"/>
  <c r="Y8" i="13"/>
  <c r="X8" i="13"/>
  <c r="P8" i="13"/>
  <c r="Q8" i="13" s="1"/>
  <c r="O8" i="13"/>
  <c r="M8" i="13"/>
  <c r="H8" i="13"/>
  <c r="C8" i="13"/>
  <c r="AB7" i="13"/>
  <c r="AD7" i="13" s="1"/>
  <c r="J7" i="13" s="1"/>
  <c r="K7" i="13" s="1"/>
  <c r="Y7" i="13"/>
  <c r="X7" i="13"/>
  <c r="Q7" i="13"/>
  <c r="P7" i="13"/>
  <c r="O7" i="13"/>
  <c r="M7" i="13"/>
  <c r="H7" i="13"/>
  <c r="C7" i="13"/>
  <c r="AB6" i="13"/>
  <c r="AD6" i="13" s="1"/>
  <c r="J6" i="13" s="1"/>
  <c r="K6" i="13" s="1"/>
  <c r="Y6" i="13"/>
  <c r="X6" i="13"/>
  <c r="P6" i="13"/>
  <c r="O6" i="13"/>
  <c r="M6" i="13"/>
  <c r="H6" i="13"/>
  <c r="C6" i="13"/>
  <c r="AB5" i="13"/>
  <c r="AD5" i="13" s="1"/>
  <c r="J5" i="13" s="1"/>
  <c r="Y5" i="13"/>
  <c r="X5" i="13"/>
  <c r="P5" i="13"/>
  <c r="O5" i="13"/>
  <c r="M5" i="13"/>
  <c r="H5" i="13"/>
  <c r="C5" i="13"/>
  <c r="AB4" i="13"/>
  <c r="AD4" i="13" s="1"/>
  <c r="Y4" i="13"/>
  <c r="X4" i="13"/>
  <c r="P4" i="13"/>
  <c r="O4" i="13"/>
  <c r="Q4" i="13" s="1"/>
  <c r="M4" i="13"/>
  <c r="H4" i="13"/>
  <c r="C4" i="13"/>
  <c r="AG3" i="13"/>
  <c r="AF3" i="13"/>
  <c r="W3" i="13"/>
  <c r="X3" i="13" s="1"/>
  <c r="V3" i="13"/>
  <c r="U3" i="13"/>
  <c r="T3" i="13"/>
  <c r="O3" i="13"/>
  <c r="G3" i="13"/>
  <c r="F3" i="13"/>
  <c r="D3" i="13"/>
  <c r="A2" i="13"/>
  <c r="A1" i="13"/>
  <c r="AD31" i="12"/>
  <c r="J31" i="12" s="1"/>
  <c r="I31" i="12" s="1"/>
  <c r="AB31" i="12"/>
  <c r="Y31" i="12"/>
  <c r="X31" i="12"/>
  <c r="P31" i="12"/>
  <c r="O31" i="12"/>
  <c r="M31" i="12"/>
  <c r="K31" i="12"/>
  <c r="H31" i="12"/>
  <c r="C31" i="12"/>
  <c r="AB30" i="12"/>
  <c r="AD30" i="12" s="1"/>
  <c r="J30" i="12" s="1"/>
  <c r="Y30" i="12"/>
  <c r="X30" i="12"/>
  <c r="P30" i="12"/>
  <c r="O30" i="12"/>
  <c r="M30" i="12"/>
  <c r="H30" i="12"/>
  <c r="C30" i="12"/>
  <c r="AD29" i="12"/>
  <c r="J29" i="12" s="1"/>
  <c r="AB29" i="12"/>
  <c r="Y29" i="12"/>
  <c r="X29" i="12"/>
  <c r="P29" i="12"/>
  <c r="O29" i="12"/>
  <c r="M29" i="12"/>
  <c r="H29" i="12"/>
  <c r="C29" i="12"/>
  <c r="AB28" i="12"/>
  <c r="AD28" i="12" s="1"/>
  <c r="J28" i="12" s="1"/>
  <c r="Y28" i="12"/>
  <c r="X28" i="12"/>
  <c r="P28" i="12"/>
  <c r="O28" i="12"/>
  <c r="M28" i="12"/>
  <c r="H28" i="12"/>
  <c r="C28" i="12"/>
  <c r="AB27" i="12"/>
  <c r="AD27" i="12" s="1"/>
  <c r="J27" i="12" s="1"/>
  <c r="Y27" i="12"/>
  <c r="X27" i="12"/>
  <c r="Q27" i="12"/>
  <c r="P27" i="12"/>
  <c r="O27" i="12"/>
  <c r="M27" i="12"/>
  <c r="H27" i="12"/>
  <c r="C27" i="12"/>
  <c r="AD26" i="12"/>
  <c r="J26" i="12" s="1"/>
  <c r="AB26" i="12"/>
  <c r="Y26" i="12"/>
  <c r="X26" i="12"/>
  <c r="P26" i="12"/>
  <c r="O26" i="12"/>
  <c r="Q26" i="12" s="1"/>
  <c r="M26" i="12"/>
  <c r="H26" i="12"/>
  <c r="C26" i="12"/>
  <c r="AB25" i="12"/>
  <c r="AD25" i="12" s="1"/>
  <c r="J25" i="12" s="1"/>
  <c r="Y25" i="12"/>
  <c r="X25" i="12"/>
  <c r="Q25" i="12"/>
  <c r="P25" i="12"/>
  <c r="O25" i="12"/>
  <c r="M25" i="12"/>
  <c r="H25" i="12"/>
  <c r="C25" i="12"/>
  <c r="AB24" i="12"/>
  <c r="AD24" i="12" s="1"/>
  <c r="J24" i="12" s="1"/>
  <c r="K24" i="12" s="1"/>
  <c r="Y24" i="12"/>
  <c r="X24" i="12"/>
  <c r="P24" i="12"/>
  <c r="Q24" i="12" s="1"/>
  <c r="O24" i="12"/>
  <c r="M24" i="12"/>
  <c r="H24" i="12"/>
  <c r="C24" i="12"/>
  <c r="AB23" i="12"/>
  <c r="AD23" i="12" s="1"/>
  <c r="J23" i="12" s="1"/>
  <c r="I23" i="12" s="1"/>
  <c r="Y23" i="12"/>
  <c r="X23" i="12"/>
  <c r="P23" i="12"/>
  <c r="O23" i="12"/>
  <c r="M23" i="12"/>
  <c r="H23" i="12"/>
  <c r="C23" i="12"/>
  <c r="AD22" i="12"/>
  <c r="J22" i="12" s="1"/>
  <c r="I22" i="12" s="1"/>
  <c r="AB22" i="12"/>
  <c r="Y22" i="12"/>
  <c r="X22" i="12"/>
  <c r="P22" i="12"/>
  <c r="O22" i="12"/>
  <c r="Q22" i="12" s="1"/>
  <c r="M22" i="12"/>
  <c r="K22" i="12"/>
  <c r="H22" i="12"/>
  <c r="C22" i="12"/>
  <c r="AD21" i="12"/>
  <c r="J21" i="12" s="1"/>
  <c r="AB21" i="12"/>
  <c r="Y21" i="12"/>
  <c r="X21" i="12"/>
  <c r="P21" i="12"/>
  <c r="O21" i="12"/>
  <c r="Q21" i="12" s="1"/>
  <c r="M21" i="12"/>
  <c r="H21" i="12"/>
  <c r="C21" i="12"/>
  <c r="AB20" i="12"/>
  <c r="AD20" i="12" s="1"/>
  <c r="J20" i="12" s="1"/>
  <c r="Y20" i="12"/>
  <c r="X20" i="12"/>
  <c r="P20" i="12"/>
  <c r="O20" i="12"/>
  <c r="Q20" i="12" s="1"/>
  <c r="M20" i="12"/>
  <c r="H20" i="12"/>
  <c r="C20" i="12"/>
  <c r="AB19" i="12"/>
  <c r="AD19" i="12" s="1"/>
  <c r="J19" i="12" s="1"/>
  <c r="Y19" i="12"/>
  <c r="X19" i="12"/>
  <c r="P19" i="12"/>
  <c r="Q19" i="12" s="1"/>
  <c r="O19" i="12"/>
  <c r="M19" i="12"/>
  <c r="H19" i="12"/>
  <c r="C19" i="12"/>
  <c r="AD18" i="12"/>
  <c r="J18" i="12" s="1"/>
  <c r="AB18" i="12"/>
  <c r="Y18" i="12"/>
  <c r="X18" i="12"/>
  <c r="P18" i="12"/>
  <c r="O18" i="12"/>
  <c r="M18" i="12"/>
  <c r="H18" i="12"/>
  <c r="C18" i="12"/>
  <c r="AB17" i="12"/>
  <c r="AD17" i="12" s="1"/>
  <c r="J17" i="12" s="1"/>
  <c r="Y17" i="12"/>
  <c r="X17" i="12"/>
  <c r="P17" i="12"/>
  <c r="O17" i="12"/>
  <c r="Q17" i="12" s="1"/>
  <c r="M17" i="12"/>
  <c r="H17" i="12"/>
  <c r="C17" i="12"/>
  <c r="AB16" i="12"/>
  <c r="AD16" i="12" s="1"/>
  <c r="J16" i="12" s="1"/>
  <c r="K16" i="12" s="1"/>
  <c r="Y16" i="12"/>
  <c r="X16" i="12"/>
  <c r="P16" i="12"/>
  <c r="O16" i="12"/>
  <c r="M16" i="12"/>
  <c r="H16" i="12"/>
  <c r="C16" i="12"/>
  <c r="AD15" i="12"/>
  <c r="J15" i="12" s="1"/>
  <c r="I15" i="12" s="1"/>
  <c r="AB15" i="12"/>
  <c r="Y15" i="12"/>
  <c r="X15" i="12"/>
  <c r="P15" i="12"/>
  <c r="O15" i="12"/>
  <c r="M15" i="12"/>
  <c r="H15" i="12"/>
  <c r="C15" i="12"/>
  <c r="AB14" i="12"/>
  <c r="AD14" i="12" s="1"/>
  <c r="J14" i="12" s="1"/>
  <c r="Y14" i="12"/>
  <c r="X14" i="12"/>
  <c r="P14" i="12"/>
  <c r="O14" i="12"/>
  <c r="Q14" i="12" s="1"/>
  <c r="M14" i="12"/>
  <c r="H14" i="12"/>
  <c r="C14" i="12"/>
  <c r="AD13" i="12"/>
  <c r="J13" i="12" s="1"/>
  <c r="AB13" i="12"/>
  <c r="Y13" i="12"/>
  <c r="X13" i="12"/>
  <c r="P13" i="12"/>
  <c r="O13" i="12"/>
  <c r="M13" i="12"/>
  <c r="H13" i="12"/>
  <c r="C13" i="12"/>
  <c r="AB12" i="12"/>
  <c r="AD12" i="12" s="1"/>
  <c r="J12" i="12" s="1"/>
  <c r="Y12" i="12"/>
  <c r="X12" i="12"/>
  <c r="P12" i="12"/>
  <c r="O12" i="12"/>
  <c r="M12" i="12"/>
  <c r="H12" i="12"/>
  <c r="C12" i="12"/>
  <c r="AB11" i="12"/>
  <c r="AD11" i="12" s="1"/>
  <c r="J11" i="12" s="1"/>
  <c r="Y11" i="12"/>
  <c r="X11" i="12"/>
  <c r="P11" i="12"/>
  <c r="O11" i="12"/>
  <c r="Q11" i="12" s="1"/>
  <c r="M11" i="12"/>
  <c r="H11" i="12"/>
  <c r="C11" i="12"/>
  <c r="AB10" i="12"/>
  <c r="AD10" i="12" s="1"/>
  <c r="J10" i="12" s="1"/>
  <c r="Y10" i="12"/>
  <c r="X10" i="12"/>
  <c r="P10" i="12"/>
  <c r="O10" i="12"/>
  <c r="M10" i="12"/>
  <c r="H10" i="12"/>
  <c r="C10" i="12"/>
  <c r="AD9" i="12"/>
  <c r="AB9" i="12"/>
  <c r="Y9" i="12"/>
  <c r="X9" i="12"/>
  <c r="P9" i="12"/>
  <c r="O9" i="12"/>
  <c r="Q9" i="12" s="1"/>
  <c r="M9" i="12"/>
  <c r="H9" i="12"/>
  <c r="C9" i="12"/>
  <c r="AG3" i="12"/>
  <c r="AF3" i="12"/>
  <c r="W3" i="12"/>
  <c r="V3" i="12"/>
  <c r="U3" i="12"/>
  <c r="T3" i="12"/>
  <c r="O3" i="12"/>
  <c r="G3" i="12"/>
  <c r="F3" i="12"/>
  <c r="D3" i="12"/>
  <c r="A2" i="12"/>
  <c r="A1" i="12"/>
  <c r="AB31" i="11"/>
  <c r="AD31" i="11" s="1"/>
  <c r="J31" i="11" s="1"/>
  <c r="Y31" i="11"/>
  <c r="X31" i="11"/>
  <c r="P31" i="11"/>
  <c r="O31" i="11"/>
  <c r="M31" i="11"/>
  <c r="H31" i="11"/>
  <c r="C31" i="11"/>
  <c r="AB30" i="11"/>
  <c r="AD30" i="11" s="1"/>
  <c r="J30" i="11" s="1"/>
  <c r="Y30" i="11"/>
  <c r="X30" i="11"/>
  <c r="Q30" i="11"/>
  <c r="P30" i="11"/>
  <c r="O30" i="11"/>
  <c r="M30" i="11"/>
  <c r="H30" i="11"/>
  <c r="C30" i="11"/>
  <c r="AD29" i="11"/>
  <c r="J29" i="11" s="1"/>
  <c r="K29" i="11" s="1"/>
  <c r="AB29" i="11"/>
  <c r="Y29" i="11"/>
  <c r="X29" i="11"/>
  <c r="P29" i="11"/>
  <c r="O29" i="11"/>
  <c r="M29" i="11"/>
  <c r="H29" i="11"/>
  <c r="C29" i="11"/>
  <c r="AD28" i="11"/>
  <c r="J28" i="11" s="1"/>
  <c r="I28" i="11" s="1"/>
  <c r="AB28" i="11"/>
  <c r="Y28" i="11"/>
  <c r="X28" i="11"/>
  <c r="P28" i="11"/>
  <c r="O28" i="11"/>
  <c r="M28" i="11"/>
  <c r="H28" i="11"/>
  <c r="C28" i="11"/>
  <c r="AB27" i="11"/>
  <c r="AD27" i="11" s="1"/>
  <c r="J27" i="11" s="1"/>
  <c r="K27" i="11" s="1"/>
  <c r="Y27" i="11"/>
  <c r="X27" i="11"/>
  <c r="Q27" i="11"/>
  <c r="P27" i="11"/>
  <c r="O27" i="11"/>
  <c r="M27" i="11"/>
  <c r="I27" i="11"/>
  <c r="H27" i="11"/>
  <c r="C27" i="11"/>
  <c r="AB26" i="11"/>
  <c r="AD26" i="11" s="1"/>
  <c r="J26" i="11" s="1"/>
  <c r="Y26" i="11"/>
  <c r="X26" i="11"/>
  <c r="P26" i="11"/>
  <c r="O26" i="11"/>
  <c r="M26" i="11"/>
  <c r="H26" i="11"/>
  <c r="C26" i="11"/>
  <c r="AB25" i="11"/>
  <c r="AD25" i="11" s="1"/>
  <c r="J25" i="11" s="1"/>
  <c r="Y25" i="11"/>
  <c r="X25" i="11"/>
  <c r="P25" i="11"/>
  <c r="O25" i="11"/>
  <c r="M25" i="11"/>
  <c r="H25" i="11"/>
  <c r="C25" i="11"/>
  <c r="AB24" i="11"/>
  <c r="AD24" i="11" s="1"/>
  <c r="J24" i="11" s="1"/>
  <c r="K24" i="11" s="1"/>
  <c r="Y24" i="11"/>
  <c r="X24" i="11"/>
  <c r="Q24" i="11"/>
  <c r="P24" i="11"/>
  <c r="O24" i="11"/>
  <c r="M24" i="11"/>
  <c r="H24" i="11"/>
  <c r="C24" i="11"/>
  <c r="AB23" i="11"/>
  <c r="AD23" i="11" s="1"/>
  <c r="J23" i="11" s="1"/>
  <c r="Y23" i="11"/>
  <c r="X23" i="11"/>
  <c r="P23" i="11"/>
  <c r="O23" i="11"/>
  <c r="M23" i="11"/>
  <c r="H23" i="11"/>
  <c r="C23" i="11"/>
  <c r="AB22" i="11"/>
  <c r="AD22" i="11" s="1"/>
  <c r="J22" i="11" s="1"/>
  <c r="Y22" i="11"/>
  <c r="X22" i="11"/>
  <c r="Q22" i="11"/>
  <c r="P22" i="11"/>
  <c r="O22" i="11"/>
  <c r="M22" i="11"/>
  <c r="H22" i="11"/>
  <c r="C22" i="11"/>
  <c r="AD21" i="11"/>
  <c r="J21" i="11" s="1"/>
  <c r="AB21" i="11"/>
  <c r="Y21" i="11"/>
  <c r="X21" i="11"/>
  <c r="P21" i="11"/>
  <c r="O21" i="11"/>
  <c r="M21" i="11"/>
  <c r="H21" i="11"/>
  <c r="C21" i="11"/>
  <c r="AD20" i="11"/>
  <c r="J20" i="11" s="1"/>
  <c r="I20" i="11" s="1"/>
  <c r="AB20" i="11"/>
  <c r="Y20" i="11"/>
  <c r="X20" i="11"/>
  <c r="P20" i="11"/>
  <c r="O20" i="11"/>
  <c r="M20" i="11"/>
  <c r="K20" i="11"/>
  <c r="H20" i="11"/>
  <c r="C20" i="11"/>
  <c r="AB19" i="11"/>
  <c r="AD19" i="11" s="1"/>
  <c r="J19" i="11" s="1"/>
  <c r="Y19" i="11"/>
  <c r="X19" i="11"/>
  <c r="P19" i="11"/>
  <c r="O19" i="11"/>
  <c r="Q19" i="11" s="1"/>
  <c r="M19" i="11"/>
  <c r="H19" i="11"/>
  <c r="C19" i="11"/>
  <c r="AD18" i="11"/>
  <c r="J18" i="11" s="1"/>
  <c r="AB18" i="11"/>
  <c r="Y18" i="11"/>
  <c r="X18" i="11"/>
  <c r="P18" i="11"/>
  <c r="Q18" i="11" s="1"/>
  <c r="O18" i="11"/>
  <c r="M18" i="11"/>
  <c r="H18" i="11"/>
  <c r="C18" i="11"/>
  <c r="AB17" i="11"/>
  <c r="AD17" i="11" s="1"/>
  <c r="J17" i="11" s="1"/>
  <c r="Y17" i="11"/>
  <c r="X17" i="11"/>
  <c r="P17" i="11"/>
  <c r="O17" i="11"/>
  <c r="M17" i="11"/>
  <c r="H17" i="11"/>
  <c r="C17" i="11"/>
  <c r="AB16" i="11"/>
  <c r="AD16" i="11" s="1"/>
  <c r="Y16" i="11"/>
  <c r="X16" i="11"/>
  <c r="Q16" i="11"/>
  <c r="P16" i="11"/>
  <c r="O16" i="11"/>
  <c r="M16" i="11"/>
  <c r="J16" i="11"/>
  <c r="K16" i="11" s="1"/>
  <c r="H16" i="11"/>
  <c r="C16" i="11"/>
  <c r="AD15" i="11"/>
  <c r="J15" i="11" s="1"/>
  <c r="AB15" i="11"/>
  <c r="Y15" i="11"/>
  <c r="X15" i="11"/>
  <c r="P15" i="11"/>
  <c r="Q15" i="11" s="1"/>
  <c r="O15" i="11"/>
  <c r="M15" i="11"/>
  <c r="H15" i="11"/>
  <c r="C15" i="11"/>
  <c r="AB14" i="11"/>
  <c r="AD14" i="11" s="1"/>
  <c r="J14" i="11" s="1"/>
  <c r="K14" i="11" s="1"/>
  <c r="Y14" i="11"/>
  <c r="X14" i="11"/>
  <c r="Q14" i="11"/>
  <c r="P14" i="11"/>
  <c r="O14" i="11"/>
  <c r="M14" i="11"/>
  <c r="H14" i="11"/>
  <c r="C14" i="11"/>
  <c r="AB13" i="11"/>
  <c r="AD13" i="11" s="1"/>
  <c r="J13" i="11" s="1"/>
  <c r="Y13" i="11"/>
  <c r="X13" i="11"/>
  <c r="P13" i="11"/>
  <c r="O13" i="11"/>
  <c r="M13" i="11"/>
  <c r="H13" i="11"/>
  <c r="C13" i="11"/>
  <c r="AD12" i="11"/>
  <c r="J12" i="11" s="1"/>
  <c r="I12" i="11" s="1"/>
  <c r="AB12" i="11"/>
  <c r="Y12" i="11"/>
  <c r="X12" i="11"/>
  <c r="P12" i="11"/>
  <c r="O12" i="11"/>
  <c r="M12" i="11"/>
  <c r="H12" i="11"/>
  <c r="C12" i="11"/>
  <c r="AB11" i="11"/>
  <c r="AD11" i="11" s="1"/>
  <c r="J11" i="11" s="1"/>
  <c r="Y11" i="11"/>
  <c r="X11" i="11"/>
  <c r="Q11" i="11"/>
  <c r="P11" i="11"/>
  <c r="O11" i="11"/>
  <c r="M11" i="11"/>
  <c r="H11" i="11"/>
  <c r="C11" i="11"/>
  <c r="AB10" i="11"/>
  <c r="AD10" i="11" s="1"/>
  <c r="J10" i="11" s="1"/>
  <c r="Y10" i="11"/>
  <c r="X10" i="11"/>
  <c r="P10" i="11"/>
  <c r="O10" i="11"/>
  <c r="Q10" i="11" s="1"/>
  <c r="M10" i="11"/>
  <c r="H10" i="11"/>
  <c r="C10" i="11"/>
  <c r="AB9" i="11"/>
  <c r="AD9" i="11" s="1"/>
  <c r="Y9" i="11"/>
  <c r="X9" i="11"/>
  <c r="P9" i="11"/>
  <c r="O9" i="11"/>
  <c r="Q9" i="11" s="1"/>
  <c r="M9" i="11"/>
  <c r="H9" i="11"/>
  <c r="C9" i="11"/>
  <c r="AG3" i="11"/>
  <c r="AF3" i="11"/>
  <c r="W3" i="11"/>
  <c r="V3" i="11"/>
  <c r="U3" i="11"/>
  <c r="T3" i="11"/>
  <c r="O3" i="11"/>
  <c r="G3" i="11"/>
  <c r="H3" i="11" s="1"/>
  <c r="F3" i="11"/>
  <c r="D3" i="11"/>
  <c r="A2" i="11"/>
  <c r="A1" i="11"/>
  <c r="AB31" i="10"/>
  <c r="AD31" i="10" s="1"/>
  <c r="J31" i="10" s="1"/>
  <c r="Y31" i="10"/>
  <c r="X31" i="10"/>
  <c r="P31" i="10"/>
  <c r="O31" i="10"/>
  <c r="Q31" i="10" s="1"/>
  <c r="M31" i="10"/>
  <c r="H31" i="10"/>
  <c r="C31" i="10"/>
  <c r="AB30" i="10"/>
  <c r="AD30" i="10" s="1"/>
  <c r="J30" i="10" s="1"/>
  <c r="I30" i="10" s="1"/>
  <c r="Y30" i="10"/>
  <c r="X30" i="10"/>
  <c r="P30" i="10"/>
  <c r="O30" i="10"/>
  <c r="Q30" i="10" s="1"/>
  <c r="M30" i="10"/>
  <c r="H30" i="10"/>
  <c r="C30" i="10"/>
  <c r="AB29" i="10"/>
  <c r="AD29" i="10" s="1"/>
  <c r="Y29" i="10"/>
  <c r="X29" i="10"/>
  <c r="Q29" i="10"/>
  <c r="P29" i="10"/>
  <c r="O29" i="10"/>
  <c r="M29" i="10"/>
  <c r="J29" i="10"/>
  <c r="K29" i="10" s="1"/>
  <c r="H29" i="10"/>
  <c r="C29" i="10"/>
  <c r="AB28" i="10"/>
  <c r="AD28" i="10" s="1"/>
  <c r="J28" i="10" s="1"/>
  <c r="Y28" i="10"/>
  <c r="X28" i="10"/>
  <c r="P28" i="10"/>
  <c r="O28" i="10"/>
  <c r="M28" i="10"/>
  <c r="H28" i="10"/>
  <c r="C28" i="10"/>
  <c r="AB27" i="10"/>
  <c r="AD27" i="10" s="1"/>
  <c r="J27" i="10" s="1"/>
  <c r="Y27" i="10"/>
  <c r="X27" i="10"/>
  <c r="Q27" i="10"/>
  <c r="P27" i="10"/>
  <c r="O27" i="10"/>
  <c r="M27" i="10"/>
  <c r="H27" i="10"/>
  <c r="C27" i="10"/>
  <c r="AB26" i="10"/>
  <c r="AD26" i="10" s="1"/>
  <c r="J26" i="10" s="1"/>
  <c r="K26" i="10" s="1"/>
  <c r="Y26" i="10"/>
  <c r="X26" i="10"/>
  <c r="P26" i="10"/>
  <c r="O26" i="10"/>
  <c r="M26" i="10"/>
  <c r="H26" i="10"/>
  <c r="C26" i="10"/>
  <c r="AB25" i="10"/>
  <c r="AD25" i="10" s="1"/>
  <c r="J25" i="10" s="1"/>
  <c r="Y25" i="10"/>
  <c r="X25" i="10"/>
  <c r="P25" i="10"/>
  <c r="O25" i="10"/>
  <c r="M25" i="10"/>
  <c r="H25" i="10"/>
  <c r="C25" i="10"/>
  <c r="AD24" i="10"/>
  <c r="J24" i="10" s="1"/>
  <c r="AB24" i="10"/>
  <c r="Y24" i="10"/>
  <c r="X24" i="10"/>
  <c r="Q24" i="10"/>
  <c r="P24" i="10"/>
  <c r="O24" i="10"/>
  <c r="M24" i="10"/>
  <c r="H24" i="10"/>
  <c r="C24" i="10"/>
  <c r="AD23" i="10"/>
  <c r="J23" i="10" s="1"/>
  <c r="AB23" i="10"/>
  <c r="Y23" i="10"/>
  <c r="X23" i="10"/>
  <c r="P23" i="10"/>
  <c r="O23" i="10"/>
  <c r="Q23" i="10" s="1"/>
  <c r="M23" i="10"/>
  <c r="H23" i="10"/>
  <c r="C23" i="10"/>
  <c r="AB22" i="10"/>
  <c r="AD22" i="10" s="1"/>
  <c r="J22" i="10" s="1"/>
  <c r="Y22" i="10"/>
  <c r="X22" i="10"/>
  <c r="P22" i="10"/>
  <c r="O22" i="10"/>
  <c r="Q22" i="10" s="1"/>
  <c r="M22" i="10"/>
  <c r="H22" i="10"/>
  <c r="C22" i="10"/>
  <c r="AB21" i="10"/>
  <c r="AD21" i="10" s="1"/>
  <c r="J21" i="10" s="1"/>
  <c r="Y21" i="10"/>
  <c r="X21" i="10"/>
  <c r="P21" i="10"/>
  <c r="O21" i="10"/>
  <c r="Q21" i="10" s="1"/>
  <c r="M21" i="10"/>
  <c r="H21" i="10"/>
  <c r="C21" i="10"/>
  <c r="AD20" i="10"/>
  <c r="J20" i="10" s="1"/>
  <c r="AB20" i="10"/>
  <c r="Y20" i="10"/>
  <c r="X20" i="10"/>
  <c r="P20" i="10"/>
  <c r="O20" i="10"/>
  <c r="M20" i="10"/>
  <c r="H20" i="10"/>
  <c r="C20" i="10"/>
  <c r="AB19" i="10"/>
  <c r="AD19" i="10" s="1"/>
  <c r="J19" i="10" s="1"/>
  <c r="Y19" i="10"/>
  <c r="X19" i="10"/>
  <c r="Q19" i="10"/>
  <c r="P19" i="10"/>
  <c r="O19" i="10"/>
  <c r="M19" i="10"/>
  <c r="H19" i="10"/>
  <c r="C19" i="10"/>
  <c r="AB18" i="10"/>
  <c r="AD18" i="10" s="1"/>
  <c r="J18" i="10" s="1"/>
  <c r="Y18" i="10"/>
  <c r="X18" i="10"/>
  <c r="Q18" i="10"/>
  <c r="P18" i="10"/>
  <c r="O18" i="10"/>
  <c r="M18" i="10"/>
  <c r="H18" i="10"/>
  <c r="C18" i="10"/>
  <c r="AB17" i="10"/>
  <c r="AD17" i="10" s="1"/>
  <c r="J17" i="10" s="1"/>
  <c r="I17" i="10" s="1"/>
  <c r="Y17" i="10"/>
  <c r="X17" i="10"/>
  <c r="P17" i="10"/>
  <c r="O17" i="10"/>
  <c r="Q17" i="10" s="1"/>
  <c r="M17" i="10"/>
  <c r="H17" i="10"/>
  <c r="C17" i="10"/>
  <c r="AB16" i="10"/>
  <c r="AD16" i="10" s="1"/>
  <c r="J16" i="10" s="1"/>
  <c r="Y16" i="10"/>
  <c r="X16" i="10"/>
  <c r="P16" i="10"/>
  <c r="O16" i="10"/>
  <c r="Q16" i="10" s="1"/>
  <c r="M16" i="10"/>
  <c r="H16" i="10"/>
  <c r="C16" i="10"/>
  <c r="AB15" i="10"/>
  <c r="AD15" i="10" s="1"/>
  <c r="J15" i="10" s="1"/>
  <c r="Y15" i="10"/>
  <c r="X15" i="10"/>
  <c r="P15" i="10"/>
  <c r="O15" i="10"/>
  <c r="M15" i="10"/>
  <c r="H15" i="10"/>
  <c r="C15" i="10"/>
  <c r="AD14" i="10"/>
  <c r="J14" i="10" s="1"/>
  <c r="I14" i="10" s="1"/>
  <c r="AB14" i="10"/>
  <c r="Y14" i="10"/>
  <c r="X14" i="10"/>
  <c r="P14" i="10"/>
  <c r="O14" i="10"/>
  <c r="M14" i="10"/>
  <c r="H14" i="10"/>
  <c r="C14" i="10"/>
  <c r="AB13" i="10"/>
  <c r="AD13" i="10" s="1"/>
  <c r="J13" i="10" s="1"/>
  <c r="K13" i="10" s="1"/>
  <c r="Y13" i="10"/>
  <c r="X13" i="10"/>
  <c r="P13" i="10"/>
  <c r="Q13" i="10" s="1"/>
  <c r="O13" i="10"/>
  <c r="M13" i="10"/>
  <c r="H13" i="10"/>
  <c r="C13" i="10"/>
  <c r="AD12" i="10"/>
  <c r="J12" i="10" s="1"/>
  <c r="AB12" i="10"/>
  <c r="Y12" i="10"/>
  <c r="X12" i="10"/>
  <c r="P12" i="10"/>
  <c r="O12" i="10"/>
  <c r="Q12" i="10" s="1"/>
  <c r="M12" i="10"/>
  <c r="H12" i="10"/>
  <c r="C12" i="10"/>
  <c r="AD11" i="10"/>
  <c r="J11" i="10" s="1"/>
  <c r="AB11" i="10"/>
  <c r="Y11" i="10"/>
  <c r="X11" i="10"/>
  <c r="Q11" i="10"/>
  <c r="P11" i="10"/>
  <c r="O11" i="10"/>
  <c r="M11" i="10"/>
  <c r="H11" i="10"/>
  <c r="C11" i="10"/>
  <c r="AD10" i="10"/>
  <c r="J10" i="10" s="1"/>
  <c r="K10" i="10" s="1"/>
  <c r="AB10" i="10"/>
  <c r="Y10" i="10"/>
  <c r="X10" i="10"/>
  <c r="P10" i="10"/>
  <c r="O10" i="10"/>
  <c r="M10" i="10"/>
  <c r="H10" i="10"/>
  <c r="C10" i="10"/>
  <c r="AB9" i="10"/>
  <c r="AD9" i="10" s="1"/>
  <c r="J9" i="10" s="1"/>
  <c r="I9" i="10" s="1"/>
  <c r="Y9" i="10"/>
  <c r="X9" i="10"/>
  <c r="P9" i="10"/>
  <c r="O9" i="10"/>
  <c r="M9" i="10"/>
  <c r="H9" i="10"/>
  <c r="C9" i="10"/>
  <c r="AB8" i="10"/>
  <c r="AD8" i="10" s="1"/>
  <c r="J8" i="10" s="1"/>
  <c r="Y8" i="10"/>
  <c r="X8" i="10"/>
  <c r="Q8" i="10"/>
  <c r="P8" i="10"/>
  <c r="O8" i="10"/>
  <c r="M8" i="10"/>
  <c r="H8" i="10"/>
  <c r="C8" i="10"/>
  <c r="AB7" i="10"/>
  <c r="AD7" i="10" s="1"/>
  <c r="J7" i="10" s="1"/>
  <c r="Y7" i="10"/>
  <c r="X7" i="10"/>
  <c r="P7" i="10"/>
  <c r="O7" i="10"/>
  <c r="M7" i="10"/>
  <c r="H7" i="10"/>
  <c r="C7" i="10"/>
  <c r="AB6" i="10"/>
  <c r="AD6" i="10" s="1"/>
  <c r="J6" i="10" s="1"/>
  <c r="Y6" i="10"/>
  <c r="X6" i="10"/>
  <c r="P6" i="10"/>
  <c r="O6" i="10"/>
  <c r="Q6" i="10" s="1"/>
  <c r="M6" i="10"/>
  <c r="H6" i="10"/>
  <c r="C6" i="10"/>
  <c r="AB5" i="10"/>
  <c r="AD5" i="10" s="1"/>
  <c r="J5" i="10" s="1"/>
  <c r="Y5" i="10"/>
  <c r="X5" i="10"/>
  <c r="P5" i="10"/>
  <c r="Q5" i="10" s="1"/>
  <c r="O5" i="10"/>
  <c r="M5" i="10"/>
  <c r="H5" i="10"/>
  <c r="C5" i="10"/>
  <c r="AD4" i="10"/>
  <c r="J4" i="10" s="1"/>
  <c r="AB4" i="10"/>
  <c r="Y4" i="10"/>
  <c r="X4" i="10"/>
  <c r="P4" i="10"/>
  <c r="O4" i="10"/>
  <c r="Q4" i="10" s="1"/>
  <c r="M4" i="10"/>
  <c r="H4" i="10"/>
  <c r="C4" i="10"/>
  <c r="AG3" i="10"/>
  <c r="AF3" i="10"/>
  <c r="W3" i="10"/>
  <c r="V3" i="10"/>
  <c r="U3" i="10"/>
  <c r="T3" i="10"/>
  <c r="O3" i="10"/>
  <c r="G3" i="10"/>
  <c r="H3" i="10" s="1"/>
  <c r="F3" i="10"/>
  <c r="A2" i="10"/>
  <c r="A1" i="10"/>
  <c r="AB31" i="9"/>
  <c r="AD31" i="9" s="1"/>
  <c r="J31" i="9" s="1"/>
  <c r="Y31" i="9"/>
  <c r="X31" i="9"/>
  <c r="Q31" i="9"/>
  <c r="P31" i="9"/>
  <c r="O31" i="9"/>
  <c r="M31" i="9"/>
  <c r="H31" i="9"/>
  <c r="C31" i="9"/>
  <c r="AB30" i="9"/>
  <c r="AD30" i="9" s="1"/>
  <c r="J30" i="9" s="1"/>
  <c r="Y30" i="9"/>
  <c r="X30" i="9"/>
  <c r="Q30" i="9"/>
  <c r="P30" i="9"/>
  <c r="O30" i="9"/>
  <c r="M30" i="9"/>
  <c r="H30" i="9"/>
  <c r="C30" i="9"/>
  <c r="AB29" i="9"/>
  <c r="AD29" i="9" s="1"/>
  <c r="J29" i="9" s="1"/>
  <c r="Y29" i="9"/>
  <c r="X29" i="9"/>
  <c r="P29" i="9"/>
  <c r="O29" i="9"/>
  <c r="Q29" i="9" s="1"/>
  <c r="M29" i="9"/>
  <c r="H29" i="9"/>
  <c r="C29" i="9"/>
  <c r="AB28" i="9"/>
  <c r="AD28" i="9" s="1"/>
  <c r="J28" i="9" s="1"/>
  <c r="Y28" i="9"/>
  <c r="X28" i="9"/>
  <c r="P28" i="9"/>
  <c r="Q28" i="9" s="1"/>
  <c r="O28" i="9"/>
  <c r="M28" i="9"/>
  <c r="H28" i="9"/>
  <c r="C28" i="9"/>
  <c r="AD27" i="9"/>
  <c r="J27" i="9" s="1"/>
  <c r="AB27" i="9"/>
  <c r="Y27" i="9"/>
  <c r="X27" i="9"/>
  <c r="P27" i="9"/>
  <c r="O27" i="9"/>
  <c r="M27" i="9"/>
  <c r="H27" i="9"/>
  <c r="C27" i="9"/>
  <c r="AB26" i="9"/>
  <c r="AD26" i="9" s="1"/>
  <c r="J26" i="9" s="1"/>
  <c r="Y26" i="9"/>
  <c r="X26" i="9"/>
  <c r="P26" i="9"/>
  <c r="O26" i="9"/>
  <c r="Q26" i="9" s="1"/>
  <c r="M26" i="9"/>
  <c r="H26" i="9"/>
  <c r="C26" i="9"/>
  <c r="AD25" i="9"/>
  <c r="J25" i="9" s="1"/>
  <c r="AB25" i="9"/>
  <c r="Y25" i="9"/>
  <c r="X25" i="9"/>
  <c r="P25" i="9"/>
  <c r="O25" i="9"/>
  <c r="M25" i="9"/>
  <c r="H25" i="9"/>
  <c r="C25" i="9"/>
  <c r="AD24" i="9"/>
  <c r="J24" i="9" s="1"/>
  <c r="AB24" i="9"/>
  <c r="Y24" i="9"/>
  <c r="X24" i="9"/>
  <c r="P24" i="9"/>
  <c r="O24" i="9"/>
  <c r="Q24" i="9" s="1"/>
  <c r="M24" i="9"/>
  <c r="H24" i="9"/>
  <c r="C24" i="9"/>
  <c r="AB23" i="9"/>
  <c r="AD23" i="9" s="1"/>
  <c r="J23" i="9" s="1"/>
  <c r="Y23" i="9"/>
  <c r="X23" i="9"/>
  <c r="P23" i="9"/>
  <c r="Q23" i="9" s="1"/>
  <c r="O23" i="9"/>
  <c r="M23" i="9"/>
  <c r="H23" i="9"/>
  <c r="C23" i="9"/>
  <c r="AD22" i="9"/>
  <c r="J22" i="9" s="1"/>
  <c r="AB22" i="9"/>
  <c r="Y22" i="9"/>
  <c r="X22" i="9"/>
  <c r="P22" i="9"/>
  <c r="O22" i="9"/>
  <c r="Q22" i="9" s="1"/>
  <c r="M22" i="9"/>
  <c r="H22" i="9"/>
  <c r="C22" i="9"/>
  <c r="AB21" i="9"/>
  <c r="AD21" i="9" s="1"/>
  <c r="J21" i="9" s="1"/>
  <c r="Y21" i="9"/>
  <c r="X21" i="9"/>
  <c r="P21" i="9"/>
  <c r="O21" i="9"/>
  <c r="Q21" i="9" s="1"/>
  <c r="M21" i="9"/>
  <c r="H21" i="9"/>
  <c r="C21" i="9"/>
  <c r="AB20" i="9"/>
  <c r="AD20" i="9" s="1"/>
  <c r="J20" i="9" s="1"/>
  <c r="Y20" i="9"/>
  <c r="X20" i="9"/>
  <c r="P20" i="9"/>
  <c r="O20" i="9"/>
  <c r="Q20" i="9" s="1"/>
  <c r="M20" i="9"/>
  <c r="H20" i="9"/>
  <c r="C20" i="9"/>
  <c r="AD19" i="9"/>
  <c r="J19" i="9" s="1"/>
  <c r="I19" i="9" s="1"/>
  <c r="AB19" i="9"/>
  <c r="Y19" i="9"/>
  <c r="X19" i="9"/>
  <c r="P19" i="9"/>
  <c r="O19" i="9"/>
  <c r="M19" i="9"/>
  <c r="H19" i="9"/>
  <c r="C19" i="9"/>
  <c r="AB18" i="9"/>
  <c r="AD18" i="9" s="1"/>
  <c r="J18" i="9" s="1"/>
  <c r="Y18" i="9"/>
  <c r="X18" i="9"/>
  <c r="P18" i="9"/>
  <c r="O18" i="9"/>
  <c r="Q18" i="9" s="1"/>
  <c r="M18" i="9"/>
  <c r="H18" i="9"/>
  <c r="C18" i="9"/>
  <c r="AB17" i="9"/>
  <c r="AD17" i="9" s="1"/>
  <c r="J17" i="9" s="1"/>
  <c r="Y17" i="9"/>
  <c r="X17" i="9"/>
  <c r="P17" i="9"/>
  <c r="Q17" i="9" s="1"/>
  <c r="O17" i="9"/>
  <c r="M17" i="9"/>
  <c r="H17" i="9"/>
  <c r="C17" i="9"/>
  <c r="AD16" i="9"/>
  <c r="J16" i="9" s="1"/>
  <c r="I16" i="9" s="1"/>
  <c r="AB16" i="9"/>
  <c r="Y16" i="9"/>
  <c r="X16" i="9"/>
  <c r="P16" i="9"/>
  <c r="O16" i="9"/>
  <c r="Q16" i="9" s="1"/>
  <c r="M16" i="9"/>
  <c r="H16" i="9"/>
  <c r="C16" i="9"/>
  <c r="AB15" i="9"/>
  <c r="AD15" i="9" s="1"/>
  <c r="J15" i="9" s="1"/>
  <c r="Y15" i="9"/>
  <c r="X15" i="9"/>
  <c r="Q15" i="9"/>
  <c r="P15" i="9"/>
  <c r="O15" i="9"/>
  <c r="M15" i="9"/>
  <c r="H15" i="9"/>
  <c r="C15" i="9"/>
  <c r="AD14" i="9"/>
  <c r="J14" i="9" s="1"/>
  <c r="AB14" i="9"/>
  <c r="Y14" i="9"/>
  <c r="X14" i="9"/>
  <c r="P14" i="9"/>
  <c r="O14" i="9"/>
  <c r="M14" i="9"/>
  <c r="H14" i="9"/>
  <c r="C14" i="9"/>
  <c r="AB13" i="9"/>
  <c r="AD13" i="9" s="1"/>
  <c r="J13" i="9" s="1"/>
  <c r="I13" i="9" s="1"/>
  <c r="Y13" i="9"/>
  <c r="X13" i="9"/>
  <c r="Q13" i="9"/>
  <c r="P13" i="9"/>
  <c r="O13" i="9"/>
  <c r="M13" i="9"/>
  <c r="H13" i="9"/>
  <c r="C13" i="9"/>
  <c r="AB12" i="9"/>
  <c r="AD12" i="9" s="1"/>
  <c r="J12" i="9" s="1"/>
  <c r="K12" i="9" s="1"/>
  <c r="Y12" i="9"/>
  <c r="X12" i="9"/>
  <c r="P12" i="9"/>
  <c r="O12" i="9"/>
  <c r="M12" i="9"/>
  <c r="H12" i="9"/>
  <c r="C12" i="9"/>
  <c r="AB11" i="9"/>
  <c r="AD11" i="9" s="1"/>
  <c r="J11" i="9" s="1"/>
  <c r="Y11" i="9"/>
  <c r="X11" i="9"/>
  <c r="P11" i="9"/>
  <c r="O11" i="9"/>
  <c r="M11" i="9"/>
  <c r="H11" i="9"/>
  <c r="C11" i="9"/>
  <c r="AB10" i="9"/>
  <c r="AD10" i="9" s="1"/>
  <c r="J10" i="9" s="1"/>
  <c r="Y10" i="9"/>
  <c r="X10" i="9"/>
  <c r="P10" i="9"/>
  <c r="O10" i="9"/>
  <c r="Q10" i="9" s="1"/>
  <c r="M10" i="9"/>
  <c r="H10" i="9"/>
  <c r="C10" i="9"/>
  <c r="AB9" i="9"/>
  <c r="AD9" i="9" s="1"/>
  <c r="J9" i="9" s="1"/>
  <c r="Y9" i="9"/>
  <c r="X9" i="9"/>
  <c r="P9" i="9"/>
  <c r="O9" i="9"/>
  <c r="Q9" i="9" s="1"/>
  <c r="M9" i="9"/>
  <c r="H9" i="9"/>
  <c r="C9" i="9"/>
  <c r="AB8" i="9"/>
  <c r="AD8" i="9" s="1"/>
  <c r="J8" i="9" s="1"/>
  <c r="I8" i="9" s="1"/>
  <c r="Y8" i="9"/>
  <c r="X8" i="9"/>
  <c r="P8" i="9"/>
  <c r="O8" i="9"/>
  <c r="Q8" i="9" s="1"/>
  <c r="M8" i="9"/>
  <c r="H8" i="9"/>
  <c r="C8" i="9"/>
  <c r="AB7" i="9"/>
  <c r="AD7" i="9" s="1"/>
  <c r="J7" i="9" s="1"/>
  <c r="K7" i="9" s="1"/>
  <c r="Y7" i="9"/>
  <c r="X7" i="9"/>
  <c r="P7" i="9"/>
  <c r="O7" i="9"/>
  <c r="Q7" i="9" s="1"/>
  <c r="M7" i="9"/>
  <c r="H7" i="9"/>
  <c r="C7" i="9"/>
  <c r="AD6" i="9"/>
  <c r="J6" i="9" s="1"/>
  <c r="AB6" i="9"/>
  <c r="Y6" i="9"/>
  <c r="X6" i="9"/>
  <c r="P6" i="9"/>
  <c r="O6" i="9"/>
  <c r="M6" i="9"/>
  <c r="H6" i="9"/>
  <c r="C6" i="9"/>
  <c r="AB5" i="9"/>
  <c r="AD5" i="9" s="1"/>
  <c r="J5" i="9" s="1"/>
  <c r="Y5" i="9"/>
  <c r="X5" i="9"/>
  <c r="P5" i="9"/>
  <c r="O5" i="9"/>
  <c r="Q5" i="9" s="1"/>
  <c r="M5" i="9"/>
  <c r="H5" i="9"/>
  <c r="C5" i="9"/>
  <c r="AB4" i="9"/>
  <c r="AD4" i="9" s="1"/>
  <c r="Y4" i="9"/>
  <c r="X4" i="9"/>
  <c r="P4" i="9"/>
  <c r="O4" i="9"/>
  <c r="M4" i="9"/>
  <c r="H4" i="9"/>
  <c r="C4" i="9"/>
  <c r="AG3" i="9"/>
  <c r="AF3" i="9"/>
  <c r="W3" i="9"/>
  <c r="V3" i="9"/>
  <c r="U3" i="9"/>
  <c r="T3" i="9"/>
  <c r="O3" i="9"/>
  <c r="G3" i="9"/>
  <c r="F3" i="9"/>
  <c r="D3" i="9"/>
  <c r="A2" i="9"/>
  <c r="A1" i="9"/>
  <c r="AB31" i="8"/>
  <c r="AD31" i="8" s="1"/>
  <c r="J31" i="8" s="1"/>
  <c r="I31" i="8" s="1"/>
  <c r="Y31" i="8"/>
  <c r="X31" i="8"/>
  <c r="Q31" i="8"/>
  <c r="P31" i="8"/>
  <c r="O31" i="8"/>
  <c r="M31" i="8"/>
  <c r="H31" i="8"/>
  <c r="C31" i="8"/>
  <c r="AB30" i="8"/>
  <c r="AD30" i="8" s="1"/>
  <c r="J30" i="8" s="1"/>
  <c r="Y30" i="8"/>
  <c r="X30" i="8"/>
  <c r="Q30" i="8"/>
  <c r="P30" i="8"/>
  <c r="O30" i="8"/>
  <c r="M30" i="8"/>
  <c r="H30" i="8"/>
  <c r="C30" i="8"/>
  <c r="AB29" i="8"/>
  <c r="AD29" i="8" s="1"/>
  <c r="J29" i="8" s="1"/>
  <c r="Y29" i="8"/>
  <c r="X29" i="8"/>
  <c r="P29" i="8"/>
  <c r="O29" i="8"/>
  <c r="M29" i="8"/>
  <c r="H29" i="8"/>
  <c r="C29" i="8"/>
  <c r="AB28" i="8"/>
  <c r="AD28" i="8" s="1"/>
  <c r="J28" i="8" s="1"/>
  <c r="Y28" i="8"/>
  <c r="X28" i="8"/>
  <c r="P28" i="8"/>
  <c r="O28" i="8"/>
  <c r="Q28" i="8" s="1"/>
  <c r="M28" i="8"/>
  <c r="H28" i="8"/>
  <c r="C28" i="8"/>
  <c r="AD27" i="8"/>
  <c r="J27" i="8" s="1"/>
  <c r="AB27" i="8"/>
  <c r="Y27" i="8"/>
  <c r="X27" i="8"/>
  <c r="P27" i="8"/>
  <c r="O27" i="8"/>
  <c r="M27" i="8"/>
  <c r="H27" i="8"/>
  <c r="C27" i="8"/>
  <c r="AB26" i="8"/>
  <c r="AD26" i="8" s="1"/>
  <c r="J26" i="8" s="1"/>
  <c r="Y26" i="8"/>
  <c r="X26" i="8"/>
  <c r="P26" i="8"/>
  <c r="O26" i="8"/>
  <c r="M26" i="8"/>
  <c r="H26" i="8"/>
  <c r="C26" i="8"/>
  <c r="AB25" i="8"/>
  <c r="AD25" i="8" s="1"/>
  <c r="J25" i="8" s="1"/>
  <c r="K25" i="8" s="1"/>
  <c r="Y25" i="8"/>
  <c r="X25" i="8"/>
  <c r="P25" i="8"/>
  <c r="O25" i="8"/>
  <c r="M25" i="8"/>
  <c r="H25" i="8"/>
  <c r="C25" i="8"/>
  <c r="AD24" i="8"/>
  <c r="J24" i="8" s="1"/>
  <c r="I24" i="8" s="1"/>
  <c r="AB24" i="8"/>
  <c r="Y24" i="8"/>
  <c r="X24" i="8"/>
  <c r="P24" i="8"/>
  <c r="O24" i="8"/>
  <c r="Q24" i="8" s="1"/>
  <c r="M24" i="8"/>
  <c r="H24" i="8"/>
  <c r="C24" i="8"/>
  <c r="AB23" i="8"/>
  <c r="AD23" i="8" s="1"/>
  <c r="J23" i="8" s="1"/>
  <c r="Y23" i="8"/>
  <c r="X23" i="8"/>
  <c r="P23" i="8"/>
  <c r="O23" i="8"/>
  <c r="Q23" i="8" s="1"/>
  <c r="M23" i="8"/>
  <c r="H23" i="8"/>
  <c r="C23" i="8"/>
  <c r="AB22" i="8"/>
  <c r="AD22" i="8" s="1"/>
  <c r="J22" i="8" s="1"/>
  <c r="K22" i="8" s="1"/>
  <c r="Y22" i="8"/>
  <c r="X22" i="8"/>
  <c r="P22" i="8"/>
  <c r="Q22" i="8" s="1"/>
  <c r="O22" i="8"/>
  <c r="M22" i="8"/>
  <c r="I22" i="8"/>
  <c r="H22" i="8"/>
  <c r="C22" i="8"/>
  <c r="AB21" i="8"/>
  <c r="AD21" i="8" s="1"/>
  <c r="J21" i="8" s="1"/>
  <c r="I21" i="8" s="1"/>
  <c r="Y21" i="8"/>
  <c r="X21" i="8"/>
  <c r="P21" i="8"/>
  <c r="O21" i="8"/>
  <c r="Q21" i="8" s="1"/>
  <c r="M21" i="8"/>
  <c r="K21" i="8"/>
  <c r="H21" i="8"/>
  <c r="C21" i="8"/>
  <c r="AB20" i="8"/>
  <c r="AD20" i="8" s="1"/>
  <c r="J20" i="8" s="1"/>
  <c r="K20" i="8" s="1"/>
  <c r="Y20" i="8"/>
  <c r="X20" i="8"/>
  <c r="P20" i="8"/>
  <c r="O20" i="8"/>
  <c r="Q20" i="8" s="1"/>
  <c r="M20" i="8"/>
  <c r="H20" i="8"/>
  <c r="C20" i="8"/>
  <c r="AD19" i="8"/>
  <c r="J19" i="8" s="1"/>
  <c r="AB19" i="8"/>
  <c r="Y19" i="8"/>
  <c r="X19" i="8"/>
  <c r="P19" i="8"/>
  <c r="O19" i="8"/>
  <c r="M19" i="8"/>
  <c r="H19" i="8"/>
  <c r="C19" i="8"/>
  <c r="AB18" i="8"/>
  <c r="AD18" i="8" s="1"/>
  <c r="J18" i="8" s="1"/>
  <c r="K18" i="8" s="1"/>
  <c r="Y18" i="8"/>
  <c r="X18" i="8"/>
  <c r="P18" i="8"/>
  <c r="O18" i="8"/>
  <c r="Q18" i="8" s="1"/>
  <c r="M18" i="8"/>
  <c r="H18" i="8"/>
  <c r="C18" i="8"/>
  <c r="AB17" i="8"/>
  <c r="AD17" i="8" s="1"/>
  <c r="J17" i="8" s="1"/>
  <c r="K17" i="8" s="1"/>
  <c r="Y17" i="8"/>
  <c r="X17" i="8"/>
  <c r="P17" i="8"/>
  <c r="Q17" i="8" s="1"/>
  <c r="O17" i="8"/>
  <c r="M17" i="8"/>
  <c r="H17" i="8"/>
  <c r="C17" i="8"/>
  <c r="AD16" i="8"/>
  <c r="J16" i="8" s="1"/>
  <c r="I16" i="8" s="1"/>
  <c r="AB16" i="8"/>
  <c r="Y16" i="8"/>
  <c r="X16" i="8"/>
  <c r="P16" i="8"/>
  <c r="O16" i="8"/>
  <c r="Q16" i="8" s="1"/>
  <c r="M16" i="8"/>
  <c r="K16" i="8"/>
  <c r="H16" i="8"/>
  <c r="C16" i="8"/>
  <c r="AB15" i="8"/>
  <c r="AD15" i="8" s="1"/>
  <c r="J15" i="8" s="1"/>
  <c r="Y15" i="8"/>
  <c r="X15" i="8"/>
  <c r="P15" i="8"/>
  <c r="O15" i="8"/>
  <c r="Q15" i="8" s="1"/>
  <c r="M15" i="8"/>
  <c r="H15" i="8"/>
  <c r="C15" i="8"/>
  <c r="AB14" i="8"/>
  <c r="AD14" i="8" s="1"/>
  <c r="J14" i="8" s="1"/>
  <c r="K14" i="8" s="1"/>
  <c r="Y14" i="8"/>
  <c r="X14" i="8"/>
  <c r="P14" i="8"/>
  <c r="O14" i="8"/>
  <c r="M14" i="8"/>
  <c r="H14" i="8"/>
  <c r="C14" i="8"/>
  <c r="AB13" i="8"/>
  <c r="AD13" i="8" s="1"/>
  <c r="J13" i="8" s="1"/>
  <c r="Y13" i="8"/>
  <c r="X13" i="8"/>
  <c r="P13" i="8"/>
  <c r="O13" i="8"/>
  <c r="M13" i="8"/>
  <c r="H13" i="8"/>
  <c r="C13" i="8"/>
  <c r="AD12" i="8"/>
  <c r="J12" i="8" s="1"/>
  <c r="AB12" i="8"/>
  <c r="Y12" i="8"/>
  <c r="X12" i="8"/>
  <c r="Q12" i="8"/>
  <c r="P12" i="8"/>
  <c r="O12" i="8"/>
  <c r="M12" i="8"/>
  <c r="H12" i="8"/>
  <c r="C12" i="8"/>
  <c r="AB11" i="8"/>
  <c r="AD11" i="8" s="1"/>
  <c r="J11" i="8" s="1"/>
  <c r="Y11" i="8"/>
  <c r="X11" i="8"/>
  <c r="Q11" i="8"/>
  <c r="P11" i="8"/>
  <c r="O11" i="8"/>
  <c r="M11" i="8"/>
  <c r="H11" i="8"/>
  <c r="C11" i="8"/>
  <c r="AD10" i="8"/>
  <c r="J10" i="8" s="1"/>
  <c r="AB10" i="8"/>
  <c r="Y10" i="8"/>
  <c r="X10" i="8"/>
  <c r="P10" i="8"/>
  <c r="O10" i="8"/>
  <c r="M10" i="8"/>
  <c r="H10" i="8"/>
  <c r="C10" i="8"/>
  <c r="AB9" i="8"/>
  <c r="AD9" i="8" s="1"/>
  <c r="J9" i="8" s="1"/>
  <c r="Y9" i="8"/>
  <c r="X9" i="8"/>
  <c r="P9" i="8"/>
  <c r="Q9" i="8" s="1"/>
  <c r="O9" i="8"/>
  <c r="M9" i="8"/>
  <c r="H9" i="8"/>
  <c r="C9" i="8"/>
  <c r="AB8" i="8"/>
  <c r="AD8" i="8" s="1"/>
  <c r="J8" i="8" s="1"/>
  <c r="I8" i="8" s="1"/>
  <c r="Y8" i="8"/>
  <c r="X8" i="8"/>
  <c r="P8" i="8"/>
  <c r="O8" i="8"/>
  <c r="Q8" i="8" s="1"/>
  <c r="M8" i="8"/>
  <c r="H8" i="8"/>
  <c r="C8" i="8"/>
  <c r="AD7" i="8"/>
  <c r="J7" i="8" s="1"/>
  <c r="I7" i="8" s="1"/>
  <c r="AB7" i="8"/>
  <c r="Y7" i="8"/>
  <c r="X7" i="8"/>
  <c r="P7" i="8"/>
  <c r="O7" i="8"/>
  <c r="Q7" i="8" s="1"/>
  <c r="M7" i="8"/>
  <c r="K7" i="8"/>
  <c r="H7" i="8"/>
  <c r="C7" i="8"/>
  <c r="AB6" i="8"/>
  <c r="AD6" i="8" s="1"/>
  <c r="J6" i="8" s="1"/>
  <c r="K6" i="8" s="1"/>
  <c r="Y6" i="8"/>
  <c r="X6" i="8"/>
  <c r="Q6" i="8"/>
  <c r="P6" i="8"/>
  <c r="O6" i="8"/>
  <c r="M6" i="8"/>
  <c r="H6" i="8"/>
  <c r="C6" i="8"/>
  <c r="AB5" i="8"/>
  <c r="AD5" i="8" s="1"/>
  <c r="J5" i="8" s="1"/>
  <c r="Y5" i="8"/>
  <c r="X5" i="8"/>
  <c r="P5" i="8"/>
  <c r="O5" i="8"/>
  <c r="M5" i="8"/>
  <c r="H5" i="8"/>
  <c r="C5" i="8"/>
  <c r="AB4" i="8"/>
  <c r="AD4" i="8" s="1"/>
  <c r="Y4" i="8"/>
  <c r="X4" i="8"/>
  <c r="Q4" i="8"/>
  <c r="P4" i="8"/>
  <c r="O4" i="8"/>
  <c r="M4" i="8"/>
  <c r="H4" i="8"/>
  <c r="C4" i="8"/>
  <c r="AG3" i="8"/>
  <c r="AF3" i="8"/>
  <c r="W3" i="8"/>
  <c r="V3" i="8"/>
  <c r="U3" i="8"/>
  <c r="T3" i="8"/>
  <c r="O3" i="8"/>
  <c r="G3" i="8"/>
  <c r="H3" i="8" s="1"/>
  <c r="F3" i="8"/>
  <c r="D3" i="8"/>
  <c r="A2" i="8"/>
  <c r="A1" i="8"/>
  <c r="AB31" i="7"/>
  <c r="AD31" i="7" s="1"/>
  <c r="J31" i="7" s="1"/>
  <c r="Y31" i="7"/>
  <c r="X31" i="7"/>
  <c r="P31" i="7"/>
  <c r="O31" i="7"/>
  <c r="M31" i="7"/>
  <c r="H31" i="7"/>
  <c r="C31" i="7"/>
  <c r="AB30" i="7"/>
  <c r="AD30" i="7" s="1"/>
  <c r="J30" i="7" s="1"/>
  <c r="Y30" i="7"/>
  <c r="X30" i="7"/>
  <c r="P30" i="7"/>
  <c r="O30" i="7"/>
  <c r="Q30" i="7" s="1"/>
  <c r="M30" i="7"/>
  <c r="H30" i="7"/>
  <c r="C30" i="7"/>
  <c r="AB29" i="7"/>
  <c r="AD29" i="7" s="1"/>
  <c r="J29" i="7" s="1"/>
  <c r="Y29" i="7"/>
  <c r="X29" i="7"/>
  <c r="P29" i="7"/>
  <c r="O29" i="7"/>
  <c r="Q29" i="7" s="1"/>
  <c r="M29" i="7"/>
  <c r="H29" i="7"/>
  <c r="C29" i="7"/>
  <c r="AB28" i="7"/>
  <c r="AD28" i="7" s="1"/>
  <c r="J28" i="7" s="1"/>
  <c r="Y28" i="7"/>
  <c r="X28" i="7"/>
  <c r="P28" i="7"/>
  <c r="O28" i="7"/>
  <c r="Q28" i="7" s="1"/>
  <c r="M28" i="7"/>
  <c r="H28" i="7"/>
  <c r="C28" i="7"/>
  <c r="AB27" i="7"/>
  <c r="AD27" i="7" s="1"/>
  <c r="J27" i="7" s="1"/>
  <c r="Y27" i="7"/>
  <c r="X27" i="7"/>
  <c r="P27" i="7"/>
  <c r="O27" i="7"/>
  <c r="Q27" i="7" s="1"/>
  <c r="M27" i="7"/>
  <c r="H27" i="7"/>
  <c r="C27" i="7"/>
  <c r="AB26" i="7"/>
  <c r="AD26" i="7" s="1"/>
  <c r="J26" i="7" s="1"/>
  <c r="Y26" i="7"/>
  <c r="X26" i="7"/>
  <c r="P26" i="7"/>
  <c r="Q26" i="7" s="1"/>
  <c r="O26" i="7"/>
  <c r="M26" i="7"/>
  <c r="H26" i="7"/>
  <c r="C26" i="7"/>
  <c r="AB25" i="7"/>
  <c r="AD25" i="7" s="1"/>
  <c r="J25" i="7" s="1"/>
  <c r="Y25" i="7"/>
  <c r="X25" i="7"/>
  <c r="P25" i="7"/>
  <c r="Q25" i="7" s="1"/>
  <c r="O25" i="7"/>
  <c r="M25" i="7"/>
  <c r="H25" i="7"/>
  <c r="C25" i="7"/>
  <c r="AB24" i="7"/>
  <c r="AD24" i="7" s="1"/>
  <c r="J24" i="7" s="1"/>
  <c r="K24" i="7" s="1"/>
  <c r="Y24" i="7"/>
  <c r="X24" i="7"/>
  <c r="Q24" i="7"/>
  <c r="P24" i="7"/>
  <c r="O24" i="7"/>
  <c r="M24" i="7"/>
  <c r="H24" i="7"/>
  <c r="C24" i="7"/>
  <c r="AB23" i="7"/>
  <c r="AD23" i="7" s="1"/>
  <c r="J23" i="7" s="1"/>
  <c r="Y23" i="7"/>
  <c r="X23" i="7"/>
  <c r="P23" i="7"/>
  <c r="O23" i="7"/>
  <c r="Q23" i="7" s="1"/>
  <c r="M23" i="7"/>
  <c r="H23" i="7"/>
  <c r="C23" i="7"/>
  <c r="AD22" i="7"/>
  <c r="J22" i="7" s="1"/>
  <c r="I22" i="7" s="1"/>
  <c r="AB22" i="7"/>
  <c r="Y22" i="7"/>
  <c r="X22" i="7"/>
  <c r="P22" i="7"/>
  <c r="O22" i="7"/>
  <c r="Q22" i="7" s="1"/>
  <c r="M22" i="7"/>
  <c r="H22" i="7"/>
  <c r="C22" i="7"/>
  <c r="AD21" i="7"/>
  <c r="J21" i="7" s="1"/>
  <c r="AB21" i="7"/>
  <c r="Y21" i="7"/>
  <c r="X21" i="7"/>
  <c r="P21" i="7"/>
  <c r="O21" i="7"/>
  <c r="Q21" i="7" s="1"/>
  <c r="M21" i="7"/>
  <c r="H21" i="7"/>
  <c r="C21" i="7"/>
  <c r="AB20" i="7"/>
  <c r="AD20" i="7" s="1"/>
  <c r="J20" i="7" s="1"/>
  <c r="Y20" i="7"/>
  <c r="X20" i="7"/>
  <c r="P20" i="7"/>
  <c r="O20" i="7"/>
  <c r="Q20" i="7" s="1"/>
  <c r="M20" i="7"/>
  <c r="H20" i="7"/>
  <c r="C20" i="7"/>
  <c r="AB19" i="7"/>
  <c r="AD19" i="7" s="1"/>
  <c r="J19" i="7" s="1"/>
  <c r="Y19" i="7"/>
  <c r="X19" i="7"/>
  <c r="P19" i="7"/>
  <c r="O19" i="7"/>
  <c r="M19" i="7"/>
  <c r="H19" i="7"/>
  <c r="C19" i="7"/>
  <c r="AB18" i="7"/>
  <c r="AD18" i="7" s="1"/>
  <c r="J18" i="7" s="1"/>
  <c r="Y18" i="7"/>
  <c r="X18" i="7"/>
  <c r="P18" i="7"/>
  <c r="Q18" i="7" s="1"/>
  <c r="O18" i="7"/>
  <c r="M18" i="7"/>
  <c r="H18" i="7"/>
  <c r="C18" i="7"/>
  <c r="AB17" i="7"/>
  <c r="AD17" i="7" s="1"/>
  <c r="J17" i="7" s="1"/>
  <c r="Y17" i="7"/>
  <c r="X17" i="7"/>
  <c r="P17" i="7"/>
  <c r="O17" i="7"/>
  <c r="Q17" i="7" s="1"/>
  <c r="M17" i="7"/>
  <c r="H17" i="7"/>
  <c r="C17" i="7"/>
  <c r="AB16" i="7"/>
  <c r="AD16" i="7" s="1"/>
  <c r="J16" i="7" s="1"/>
  <c r="Y16" i="7"/>
  <c r="X16" i="7"/>
  <c r="P16" i="7"/>
  <c r="O16" i="7"/>
  <c r="Q16" i="7" s="1"/>
  <c r="M16" i="7"/>
  <c r="H16" i="7"/>
  <c r="C16" i="7"/>
  <c r="AB15" i="7"/>
  <c r="AD15" i="7" s="1"/>
  <c r="J15" i="7" s="1"/>
  <c r="I15" i="7" s="1"/>
  <c r="Y15" i="7"/>
  <c r="X15" i="7"/>
  <c r="P15" i="7"/>
  <c r="O15" i="7"/>
  <c r="M15" i="7"/>
  <c r="H15" i="7"/>
  <c r="C15" i="7"/>
  <c r="AD14" i="7"/>
  <c r="J14" i="7" s="1"/>
  <c r="AB14" i="7"/>
  <c r="Y14" i="7"/>
  <c r="X14" i="7"/>
  <c r="P14" i="7"/>
  <c r="O14" i="7"/>
  <c r="Q14" i="7" s="1"/>
  <c r="M14" i="7"/>
  <c r="H14" i="7"/>
  <c r="C14" i="7"/>
  <c r="AD13" i="7"/>
  <c r="J13" i="7" s="1"/>
  <c r="AB13" i="7"/>
  <c r="Y13" i="7"/>
  <c r="X13" i="7"/>
  <c r="P13" i="7"/>
  <c r="O13" i="7"/>
  <c r="Q13" i="7" s="1"/>
  <c r="M13" i="7"/>
  <c r="H13" i="7"/>
  <c r="C13" i="7"/>
  <c r="AB12" i="7"/>
  <c r="AD12" i="7" s="1"/>
  <c r="J12" i="7" s="1"/>
  <c r="Y12" i="7"/>
  <c r="X12" i="7"/>
  <c r="P12" i="7"/>
  <c r="O12" i="7"/>
  <c r="Q12" i="7" s="1"/>
  <c r="M12" i="7"/>
  <c r="H12" i="7"/>
  <c r="C12" i="7"/>
  <c r="AB11" i="7"/>
  <c r="AD11" i="7" s="1"/>
  <c r="J11" i="7" s="1"/>
  <c r="K11" i="7" s="1"/>
  <c r="Y11" i="7"/>
  <c r="X11" i="7"/>
  <c r="P11" i="7"/>
  <c r="O11" i="7"/>
  <c r="M11" i="7"/>
  <c r="I11" i="7"/>
  <c r="H11" i="7"/>
  <c r="C11" i="7"/>
  <c r="AD10" i="7"/>
  <c r="J10" i="7" s="1"/>
  <c r="I10" i="7" s="1"/>
  <c r="AB10" i="7"/>
  <c r="Y10" i="7"/>
  <c r="X10" i="7"/>
  <c r="P10" i="7"/>
  <c r="O10" i="7"/>
  <c r="M10" i="7"/>
  <c r="H10" i="7"/>
  <c r="C10" i="7"/>
  <c r="AB9" i="7"/>
  <c r="AD9" i="7" s="1"/>
  <c r="J9" i="7" s="1"/>
  <c r="K9" i="7" s="1"/>
  <c r="Y9" i="7"/>
  <c r="X9" i="7"/>
  <c r="P9" i="7"/>
  <c r="Q9" i="7" s="1"/>
  <c r="O9" i="7"/>
  <c r="M9" i="7"/>
  <c r="H9" i="7"/>
  <c r="C9" i="7"/>
  <c r="AB8" i="7"/>
  <c r="AD8" i="7" s="1"/>
  <c r="J8" i="7" s="1"/>
  <c r="Y8" i="7"/>
  <c r="X8" i="7"/>
  <c r="P8" i="7"/>
  <c r="O8" i="7"/>
  <c r="M8" i="7"/>
  <c r="H8" i="7"/>
  <c r="C8" i="7"/>
  <c r="AD7" i="7"/>
  <c r="AB7" i="7"/>
  <c r="Y7" i="7"/>
  <c r="X7" i="7"/>
  <c r="P7" i="7"/>
  <c r="O7" i="7"/>
  <c r="M7" i="7"/>
  <c r="J7" i="7"/>
  <c r="I7" i="7" s="1"/>
  <c r="H7" i="7"/>
  <c r="C7" i="7"/>
  <c r="AD6" i="7"/>
  <c r="J6" i="7" s="1"/>
  <c r="AB6" i="7"/>
  <c r="Y6" i="7"/>
  <c r="X6" i="7"/>
  <c r="P6" i="7"/>
  <c r="O6" i="7"/>
  <c r="Q6" i="7" s="1"/>
  <c r="M6" i="7"/>
  <c r="H6" i="7"/>
  <c r="C6" i="7"/>
  <c r="AD5" i="7"/>
  <c r="J5" i="7" s="1"/>
  <c r="AB5" i="7"/>
  <c r="Y5" i="7"/>
  <c r="X5" i="7"/>
  <c r="P5" i="7"/>
  <c r="Q5" i="7" s="1"/>
  <c r="O5" i="7"/>
  <c r="M5" i="7"/>
  <c r="H5" i="7"/>
  <c r="C5" i="7"/>
  <c r="AB4" i="7"/>
  <c r="AD4" i="7" s="1"/>
  <c r="Y4" i="7"/>
  <c r="X4" i="7"/>
  <c r="P4" i="7"/>
  <c r="O4" i="7"/>
  <c r="M4" i="7"/>
  <c r="H4" i="7"/>
  <c r="C4" i="7"/>
  <c r="AG3" i="7"/>
  <c r="AF3" i="7"/>
  <c r="W3" i="7"/>
  <c r="X3" i="7" s="1"/>
  <c r="V3" i="7"/>
  <c r="U3" i="7"/>
  <c r="T3" i="7"/>
  <c r="O3" i="7"/>
  <c r="G3" i="7"/>
  <c r="F3" i="7"/>
  <c r="D3" i="7"/>
  <c r="A2" i="7"/>
  <c r="A1" i="7"/>
  <c r="AB31" i="6"/>
  <c r="AD31" i="6" s="1"/>
  <c r="J31" i="6" s="1"/>
  <c r="Y31" i="6"/>
  <c r="X31" i="6"/>
  <c r="P31" i="6"/>
  <c r="O31" i="6"/>
  <c r="M31" i="6"/>
  <c r="H31" i="6"/>
  <c r="C31" i="6"/>
  <c r="AB30" i="6"/>
  <c r="AD30" i="6" s="1"/>
  <c r="J30" i="6" s="1"/>
  <c r="I30" i="6" s="1"/>
  <c r="Y30" i="6"/>
  <c r="X30" i="6"/>
  <c r="P30" i="6"/>
  <c r="O30" i="6"/>
  <c r="M30" i="6"/>
  <c r="K30" i="6"/>
  <c r="H30" i="6"/>
  <c r="C30" i="6"/>
  <c r="AB29" i="6"/>
  <c r="AD29" i="6" s="1"/>
  <c r="J29" i="6" s="1"/>
  <c r="Y29" i="6"/>
  <c r="X29" i="6"/>
  <c r="Q29" i="6"/>
  <c r="P29" i="6"/>
  <c r="O29" i="6"/>
  <c r="M29" i="6"/>
  <c r="H29" i="6"/>
  <c r="C29" i="6"/>
  <c r="AB28" i="6"/>
  <c r="AD28" i="6" s="1"/>
  <c r="J28" i="6" s="1"/>
  <c r="I28" i="6" s="1"/>
  <c r="Y28" i="6"/>
  <c r="X28" i="6"/>
  <c r="P28" i="6"/>
  <c r="O28" i="6"/>
  <c r="M28" i="6"/>
  <c r="H28" i="6"/>
  <c r="C28" i="6"/>
  <c r="AD27" i="6"/>
  <c r="J27" i="6" s="1"/>
  <c r="AB27" i="6"/>
  <c r="Y27" i="6"/>
  <c r="X27" i="6"/>
  <c r="P27" i="6"/>
  <c r="O27" i="6"/>
  <c r="Q27" i="6" s="1"/>
  <c r="M27" i="6"/>
  <c r="H27" i="6"/>
  <c r="C27" i="6"/>
  <c r="AB26" i="6"/>
  <c r="AD26" i="6" s="1"/>
  <c r="J26" i="6" s="1"/>
  <c r="K26" i="6" s="1"/>
  <c r="Y26" i="6"/>
  <c r="X26" i="6"/>
  <c r="P26" i="6"/>
  <c r="O26" i="6"/>
  <c r="Q26" i="6" s="1"/>
  <c r="M26" i="6"/>
  <c r="H26" i="6"/>
  <c r="C26" i="6"/>
  <c r="AB25" i="6"/>
  <c r="AD25" i="6" s="1"/>
  <c r="J25" i="6" s="1"/>
  <c r="Y25" i="6"/>
  <c r="X25" i="6"/>
  <c r="P25" i="6"/>
  <c r="O25" i="6"/>
  <c r="Q25" i="6" s="1"/>
  <c r="M25" i="6"/>
  <c r="H25" i="6"/>
  <c r="C25" i="6"/>
  <c r="AB24" i="6"/>
  <c r="AD24" i="6" s="1"/>
  <c r="J24" i="6" s="1"/>
  <c r="Y24" i="6"/>
  <c r="X24" i="6"/>
  <c r="P24" i="6"/>
  <c r="O24" i="6"/>
  <c r="M24" i="6"/>
  <c r="H24" i="6"/>
  <c r="C24" i="6"/>
  <c r="AB23" i="6"/>
  <c r="AD23" i="6" s="1"/>
  <c r="J23" i="6" s="1"/>
  <c r="Y23" i="6"/>
  <c r="X23" i="6"/>
  <c r="P23" i="6"/>
  <c r="Q23" i="6" s="1"/>
  <c r="O23" i="6"/>
  <c r="M23" i="6"/>
  <c r="H23" i="6"/>
  <c r="C23" i="6"/>
  <c r="AB22" i="6"/>
  <c r="AD22" i="6" s="1"/>
  <c r="J22" i="6" s="1"/>
  <c r="Y22" i="6"/>
  <c r="X22" i="6"/>
  <c r="P22" i="6"/>
  <c r="O22" i="6"/>
  <c r="M22" i="6"/>
  <c r="H22" i="6"/>
  <c r="C22" i="6"/>
  <c r="AB21" i="6"/>
  <c r="AD21" i="6" s="1"/>
  <c r="J21" i="6" s="1"/>
  <c r="Y21" i="6"/>
  <c r="X21" i="6"/>
  <c r="P21" i="6"/>
  <c r="O21" i="6"/>
  <c r="M21" i="6"/>
  <c r="H21" i="6"/>
  <c r="C21" i="6"/>
  <c r="AB20" i="6"/>
  <c r="AD20" i="6" s="1"/>
  <c r="Y20" i="6"/>
  <c r="X20" i="6"/>
  <c r="P20" i="6"/>
  <c r="O20" i="6"/>
  <c r="M20" i="6"/>
  <c r="J20" i="6"/>
  <c r="H20" i="6"/>
  <c r="C20" i="6"/>
  <c r="AB19" i="6"/>
  <c r="AD19" i="6" s="1"/>
  <c r="J19" i="6" s="1"/>
  <c r="Y19" i="6"/>
  <c r="X19" i="6"/>
  <c r="Q19" i="6"/>
  <c r="P19" i="6"/>
  <c r="O19" i="6"/>
  <c r="M19" i="6"/>
  <c r="H19" i="6"/>
  <c r="C19" i="6"/>
  <c r="AB18" i="6"/>
  <c r="AD18" i="6" s="1"/>
  <c r="J18" i="6" s="1"/>
  <c r="Y18" i="6"/>
  <c r="X18" i="6"/>
  <c r="P18" i="6"/>
  <c r="O18" i="6"/>
  <c r="Q18" i="6" s="1"/>
  <c r="M18" i="6"/>
  <c r="H18" i="6"/>
  <c r="C18" i="6"/>
  <c r="AB17" i="6"/>
  <c r="AD17" i="6" s="1"/>
  <c r="J17" i="6" s="1"/>
  <c r="I17" i="6" s="1"/>
  <c r="Y17" i="6"/>
  <c r="X17" i="6"/>
  <c r="P17" i="6"/>
  <c r="O17" i="6"/>
  <c r="M17" i="6"/>
  <c r="H17" i="6"/>
  <c r="C17" i="6"/>
  <c r="AB16" i="6"/>
  <c r="AD16" i="6" s="1"/>
  <c r="J16" i="6" s="1"/>
  <c r="K16" i="6" s="1"/>
  <c r="Y16" i="6"/>
  <c r="X16" i="6"/>
  <c r="P16" i="6"/>
  <c r="O16" i="6"/>
  <c r="Q16" i="6" s="1"/>
  <c r="M16" i="6"/>
  <c r="H16" i="6"/>
  <c r="C16" i="6"/>
  <c r="AB15" i="6"/>
  <c r="AD15" i="6" s="1"/>
  <c r="J15" i="6" s="1"/>
  <c r="Y15" i="6"/>
  <c r="X15" i="6"/>
  <c r="P15" i="6"/>
  <c r="O15" i="6"/>
  <c r="M15" i="6"/>
  <c r="H15" i="6"/>
  <c r="C15" i="6"/>
  <c r="AB14" i="6"/>
  <c r="AD14" i="6" s="1"/>
  <c r="J14" i="6" s="1"/>
  <c r="Y14" i="6"/>
  <c r="X14" i="6"/>
  <c r="P14" i="6"/>
  <c r="O14" i="6"/>
  <c r="Q14" i="6" s="1"/>
  <c r="M14" i="6"/>
  <c r="H14" i="6"/>
  <c r="C14" i="6"/>
  <c r="AB13" i="6"/>
  <c r="AD13" i="6" s="1"/>
  <c r="J13" i="6" s="1"/>
  <c r="I13" i="6" s="1"/>
  <c r="Y13" i="6"/>
  <c r="X13" i="6"/>
  <c r="P13" i="6"/>
  <c r="O13" i="6"/>
  <c r="M13" i="6"/>
  <c r="H13" i="6"/>
  <c r="C13" i="6"/>
  <c r="AB12" i="6"/>
  <c r="AD12" i="6" s="1"/>
  <c r="J12" i="6" s="1"/>
  <c r="Y12" i="6"/>
  <c r="X12" i="6"/>
  <c r="P12" i="6"/>
  <c r="O12" i="6"/>
  <c r="M12" i="6"/>
  <c r="H12" i="6"/>
  <c r="C12" i="6"/>
  <c r="AB11" i="6"/>
  <c r="AD11" i="6" s="1"/>
  <c r="J11" i="6" s="1"/>
  <c r="Y11" i="6"/>
  <c r="X11" i="6"/>
  <c r="P11" i="6"/>
  <c r="O11" i="6"/>
  <c r="M11" i="6"/>
  <c r="H11" i="6"/>
  <c r="C11" i="6"/>
  <c r="AB10" i="6"/>
  <c r="AD10" i="6" s="1"/>
  <c r="J10" i="6" s="1"/>
  <c r="Y10" i="6"/>
  <c r="X10" i="6"/>
  <c r="P10" i="6"/>
  <c r="O10" i="6"/>
  <c r="M10" i="6"/>
  <c r="H10" i="6"/>
  <c r="C10" i="6"/>
  <c r="AB9" i="6"/>
  <c r="AD9" i="6" s="1"/>
  <c r="J9" i="6" s="1"/>
  <c r="K9" i="6" s="1"/>
  <c r="Y9" i="6"/>
  <c r="X9" i="6"/>
  <c r="Q9" i="6"/>
  <c r="P9" i="6"/>
  <c r="O9" i="6"/>
  <c r="M9" i="6"/>
  <c r="H9" i="6"/>
  <c r="C9" i="6"/>
  <c r="AB8" i="6"/>
  <c r="AD8" i="6" s="1"/>
  <c r="J8" i="6" s="1"/>
  <c r="Y8" i="6"/>
  <c r="X8" i="6"/>
  <c r="P8" i="6"/>
  <c r="O8" i="6"/>
  <c r="M8" i="6"/>
  <c r="H8" i="6"/>
  <c r="C8" i="6"/>
  <c r="AB7" i="6"/>
  <c r="AD7" i="6" s="1"/>
  <c r="J7" i="6" s="1"/>
  <c r="Y7" i="6"/>
  <c r="X7" i="6"/>
  <c r="P7" i="6"/>
  <c r="Q7" i="6" s="1"/>
  <c r="O7" i="6"/>
  <c r="M7" i="6"/>
  <c r="H7" i="6"/>
  <c r="C7" i="6"/>
  <c r="AD6" i="6"/>
  <c r="J6" i="6" s="1"/>
  <c r="AB6" i="6"/>
  <c r="Y6" i="6"/>
  <c r="X6" i="6"/>
  <c r="P6" i="6"/>
  <c r="O6" i="6"/>
  <c r="M6" i="6"/>
  <c r="H6" i="6"/>
  <c r="C6" i="6"/>
  <c r="AB5" i="6"/>
  <c r="AD5" i="6" s="1"/>
  <c r="J5" i="6" s="1"/>
  <c r="I5" i="6" s="1"/>
  <c r="Y5" i="6"/>
  <c r="X5" i="6"/>
  <c r="P5" i="6"/>
  <c r="O5" i="6"/>
  <c r="M5" i="6"/>
  <c r="H5" i="6"/>
  <c r="C5" i="6"/>
  <c r="AB4" i="6"/>
  <c r="AD4" i="6" s="1"/>
  <c r="Y4" i="6"/>
  <c r="X4" i="6"/>
  <c r="P4" i="6"/>
  <c r="O4" i="6"/>
  <c r="M4" i="6"/>
  <c r="H4" i="6"/>
  <c r="C4" i="6"/>
  <c r="AG3" i="6"/>
  <c r="AF3" i="6"/>
  <c r="W3" i="6"/>
  <c r="V3" i="6"/>
  <c r="U3" i="6"/>
  <c r="T3" i="6"/>
  <c r="O3" i="6"/>
  <c r="G3" i="6"/>
  <c r="F3" i="6"/>
  <c r="D3" i="6"/>
  <c r="A2" i="6"/>
  <c r="A1" i="6"/>
  <c r="AB31" i="5"/>
  <c r="AD31" i="5" s="1"/>
  <c r="J31" i="5" s="1"/>
  <c r="I31" i="5" s="1"/>
  <c r="Y31" i="5"/>
  <c r="X31" i="5"/>
  <c r="P31" i="5"/>
  <c r="O31" i="5"/>
  <c r="Q31" i="5" s="1"/>
  <c r="M31" i="5"/>
  <c r="K31" i="5"/>
  <c r="H31" i="5"/>
  <c r="C31" i="5"/>
  <c r="AB30" i="5"/>
  <c r="AD30" i="5" s="1"/>
  <c r="J30" i="5" s="1"/>
  <c r="K30" i="5" s="1"/>
  <c r="Y30" i="5"/>
  <c r="X30" i="5"/>
  <c r="P30" i="5"/>
  <c r="O30" i="5"/>
  <c r="M30" i="5"/>
  <c r="H30" i="5"/>
  <c r="C30" i="5"/>
  <c r="AB29" i="5"/>
  <c r="AD29" i="5" s="1"/>
  <c r="J29" i="5" s="1"/>
  <c r="Y29" i="5"/>
  <c r="X29" i="5"/>
  <c r="P29" i="5"/>
  <c r="O29" i="5"/>
  <c r="M29" i="5"/>
  <c r="H29" i="5"/>
  <c r="C29" i="5"/>
  <c r="AB28" i="5"/>
  <c r="AD28" i="5" s="1"/>
  <c r="J28" i="5" s="1"/>
  <c r="Y28" i="5"/>
  <c r="X28" i="5"/>
  <c r="P28" i="5"/>
  <c r="O28" i="5"/>
  <c r="Q28" i="5" s="1"/>
  <c r="M28" i="5"/>
  <c r="H28" i="5"/>
  <c r="C28" i="5"/>
  <c r="AB27" i="5"/>
  <c r="AD27" i="5" s="1"/>
  <c r="J27" i="5" s="1"/>
  <c r="K27" i="5" s="1"/>
  <c r="Y27" i="5"/>
  <c r="X27" i="5"/>
  <c r="P27" i="5"/>
  <c r="O27" i="5"/>
  <c r="Q27" i="5" s="1"/>
  <c r="M27" i="5"/>
  <c r="H27" i="5"/>
  <c r="C27" i="5"/>
  <c r="AB26" i="5"/>
  <c r="AD26" i="5" s="1"/>
  <c r="J26" i="5" s="1"/>
  <c r="Y26" i="5"/>
  <c r="X26" i="5"/>
  <c r="P26" i="5"/>
  <c r="O26" i="5"/>
  <c r="Q26" i="5" s="1"/>
  <c r="M26" i="5"/>
  <c r="H26" i="5"/>
  <c r="C26" i="5"/>
  <c r="AB25" i="5"/>
  <c r="AD25" i="5" s="1"/>
  <c r="J25" i="5" s="1"/>
  <c r="K25" i="5" s="1"/>
  <c r="Y25" i="5"/>
  <c r="X25" i="5"/>
  <c r="P25" i="5"/>
  <c r="Q25" i="5" s="1"/>
  <c r="O25" i="5"/>
  <c r="M25" i="5"/>
  <c r="H25" i="5"/>
  <c r="C25" i="5"/>
  <c r="AB24" i="5"/>
  <c r="AD24" i="5" s="1"/>
  <c r="J24" i="5" s="1"/>
  <c r="Y24" i="5"/>
  <c r="X24" i="5"/>
  <c r="Q24" i="5"/>
  <c r="P24" i="5"/>
  <c r="O24" i="5"/>
  <c r="M24" i="5"/>
  <c r="H24" i="5"/>
  <c r="C24" i="5"/>
  <c r="AD23" i="5"/>
  <c r="J23" i="5" s="1"/>
  <c r="I23" i="5" s="1"/>
  <c r="AB23" i="5"/>
  <c r="Y23" i="5"/>
  <c r="X23" i="5"/>
  <c r="P23" i="5"/>
  <c r="O23" i="5"/>
  <c r="Q23" i="5" s="1"/>
  <c r="M23" i="5"/>
  <c r="H23" i="5"/>
  <c r="C23" i="5"/>
  <c r="AB22" i="5"/>
  <c r="AD22" i="5" s="1"/>
  <c r="Y22" i="5"/>
  <c r="X22" i="5"/>
  <c r="P22" i="5"/>
  <c r="O22" i="5"/>
  <c r="Q22" i="5" s="1"/>
  <c r="M22" i="5"/>
  <c r="J22" i="5"/>
  <c r="K22" i="5" s="1"/>
  <c r="H22" i="5"/>
  <c r="C22" i="5"/>
  <c r="AB21" i="5"/>
  <c r="AD21" i="5" s="1"/>
  <c r="J21" i="5" s="1"/>
  <c r="Y21" i="5"/>
  <c r="X21" i="5"/>
  <c r="P21" i="5"/>
  <c r="Q21" i="5" s="1"/>
  <c r="O21" i="5"/>
  <c r="M21" i="5"/>
  <c r="H21" i="5"/>
  <c r="C21" i="5"/>
  <c r="AB20" i="5"/>
  <c r="AD20" i="5" s="1"/>
  <c r="J20" i="5" s="1"/>
  <c r="Y20" i="5"/>
  <c r="X20" i="5"/>
  <c r="P20" i="5"/>
  <c r="O20" i="5"/>
  <c r="M20" i="5"/>
  <c r="H20" i="5"/>
  <c r="C20" i="5"/>
  <c r="AB19" i="5"/>
  <c r="AD19" i="5" s="1"/>
  <c r="J19" i="5" s="1"/>
  <c r="K19" i="5" s="1"/>
  <c r="Y19" i="5"/>
  <c r="X19" i="5"/>
  <c r="Q19" i="5"/>
  <c r="P19" i="5"/>
  <c r="O19" i="5"/>
  <c r="M19" i="5"/>
  <c r="H19" i="5"/>
  <c r="C19" i="5"/>
  <c r="AB18" i="5"/>
  <c r="AD18" i="5" s="1"/>
  <c r="J18" i="5" s="1"/>
  <c r="Y18" i="5"/>
  <c r="X18" i="5"/>
  <c r="P18" i="5"/>
  <c r="O18" i="5"/>
  <c r="Q18" i="5" s="1"/>
  <c r="M18" i="5"/>
  <c r="H18" i="5"/>
  <c r="C18" i="5"/>
  <c r="AD17" i="5"/>
  <c r="AB17" i="5"/>
  <c r="Y17" i="5"/>
  <c r="X17" i="5"/>
  <c r="P17" i="5"/>
  <c r="O17" i="5"/>
  <c r="M17" i="5"/>
  <c r="J17" i="5"/>
  <c r="K17" i="5" s="1"/>
  <c r="H17" i="5"/>
  <c r="C17" i="5"/>
  <c r="AD16" i="5"/>
  <c r="J16" i="5" s="1"/>
  <c r="AB16" i="5"/>
  <c r="Y16" i="5"/>
  <c r="X16" i="5"/>
  <c r="P16" i="5"/>
  <c r="O16" i="5"/>
  <c r="Q16" i="5" s="1"/>
  <c r="M16" i="5"/>
  <c r="H16" i="5"/>
  <c r="C16" i="5"/>
  <c r="AB15" i="5"/>
  <c r="AD15" i="5" s="1"/>
  <c r="J15" i="5" s="1"/>
  <c r="I15" i="5" s="1"/>
  <c r="Y15" i="5"/>
  <c r="X15" i="5"/>
  <c r="P15" i="5"/>
  <c r="O15" i="5"/>
  <c r="M15" i="5"/>
  <c r="H15" i="5"/>
  <c r="C15" i="5"/>
  <c r="AB14" i="5"/>
  <c r="AD14" i="5" s="1"/>
  <c r="J14" i="5" s="1"/>
  <c r="K14" i="5" s="1"/>
  <c r="Y14" i="5"/>
  <c r="X14" i="5"/>
  <c r="P14" i="5"/>
  <c r="O14" i="5"/>
  <c r="M14" i="5"/>
  <c r="H14" i="5"/>
  <c r="C14" i="5"/>
  <c r="AB13" i="5"/>
  <c r="AD13" i="5" s="1"/>
  <c r="J13" i="5" s="1"/>
  <c r="Y13" i="5"/>
  <c r="X13" i="5"/>
  <c r="P13" i="5"/>
  <c r="O13" i="5"/>
  <c r="M13" i="5"/>
  <c r="H13" i="5"/>
  <c r="C13" i="5"/>
  <c r="AB12" i="5"/>
  <c r="AD12" i="5" s="1"/>
  <c r="J12" i="5" s="1"/>
  <c r="Y12" i="5"/>
  <c r="X12" i="5"/>
  <c r="P12" i="5"/>
  <c r="O12" i="5"/>
  <c r="Q12" i="5" s="1"/>
  <c r="M12" i="5"/>
  <c r="H12" i="5"/>
  <c r="C12" i="5"/>
  <c r="AB11" i="5"/>
  <c r="AD11" i="5" s="1"/>
  <c r="J11" i="5" s="1"/>
  <c r="K11" i="5" s="1"/>
  <c r="Y11" i="5"/>
  <c r="X11" i="5"/>
  <c r="P11" i="5"/>
  <c r="Q11" i="5" s="1"/>
  <c r="O11" i="5"/>
  <c r="M11" i="5"/>
  <c r="H11" i="5"/>
  <c r="C11" i="5"/>
  <c r="AB10" i="5"/>
  <c r="AD10" i="5" s="1"/>
  <c r="J10" i="5" s="1"/>
  <c r="Y10" i="5"/>
  <c r="X10" i="5"/>
  <c r="P10" i="5"/>
  <c r="O10" i="5"/>
  <c r="M10" i="5"/>
  <c r="H10" i="5"/>
  <c r="C10" i="5"/>
  <c r="AD9" i="5"/>
  <c r="J9" i="5" s="1"/>
  <c r="K9" i="5" s="1"/>
  <c r="AB9" i="5"/>
  <c r="Y9" i="5"/>
  <c r="X9" i="5"/>
  <c r="P9" i="5"/>
  <c r="O9" i="5"/>
  <c r="M9" i="5"/>
  <c r="H9" i="5"/>
  <c r="C9" i="5"/>
  <c r="AB8" i="5"/>
  <c r="AD8" i="5" s="1"/>
  <c r="J8" i="5" s="1"/>
  <c r="Y8" i="5"/>
  <c r="X8" i="5"/>
  <c r="P8" i="5"/>
  <c r="O8" i="5"/>
  <c r="Q8" i="5" s="1"/>
  <c r="M8" i="5"/>
  <c r="H8" i="5"/>
  <c r="C8" i="5"/>
  <c r="AB7" i="5"/>
  <c r="AD7" i="5" s="1"/>
  <c r="J7" i="5" s="1"/>
  <c r="I7" i="5" s="1"/>
  <c r="Y7" i="5"/>
  <c r="X7" i="5"/>
  <c r="P7" i="5"/>
  <c r="O7" i="5"/>
  <c r="M7" i="5"/>
  <c r="H7" i="5"/>
  <c r="C7" i="5"/>
  <c r="AB6" i="5"/>
  <c r="AD6" i="5" s="1"/>
  <c r="Y6" i="5"/>
  <c r="X6" i="5"/>
  <c r="P6" i="5"/>
  <c r="O6" i="5"/>
  <c r="M6" i="5"/>
  <c r="J6" i="5"/>
  <c r="K6" i="5" s="1"/>
  <c r="H6" i="5"/>
  <c r="C6" i="5"/>
  <c r="AB5" i="5"/>
  <c r="AD5" i="5" s="1"/>
  <c r="J5" i="5" s="1"/>
  <c r="Y5" i="5"/>
  <c r="X5" i="5"/>
  <c r="P5" i="5"/>
  <c r="Q5" i="5" s="1"/>
  <c r="O5" i="5"/>
  <c r="M5" i="5"/>
  <c r="H5" i="5"/>
  <c r="C5" i="5"/>
  <c r="AB4" i="5"/>
  <c r="AD4" i="5" s="1"/>
  <c r="Y4" i="5"/>
  <c r="X4" i="5"/>
  <c r="P4" i="5"/>
  <c r="O4" i="5"/>
  <c r="M4" i="5"/>
  <c r="H4" i="5"/>
  <c r="C4" i="5"/>
  <c r="AG3" i="5"/>
  <c r="AF3" i="5"/>
  <c r="W3" i="5"/>
  <c r="V3" i="5"/>
  <c r="U3" i="5"/>
  <c r="T3" i="5"/>
  <c r="O3" i="5"/>
  <c r="G3" i="5"/>
  <c r="F3" i="5"/>
  <c r="D3" i="5"/>
  <c r="A2" i="5"/>
  <c r="A1" i="5"/>
  <c r="AD31" i="4"/>
  <c r="J31" i="4" s="1"/>
  <c r="AB31" i="4"/>
  <c r="Y31" i="4"/>
  <c r="X31" i="4"/>
  <c r="P31" i="4"/>
  <c r="O31" i="4"/>
  <c r="M31" i="4"/>
  <c r="H31" i="4"/>
  <c r="C31" i="4"/>
  <c r="AB30" i="4"/>
  <c r="AD30" i="4" s="1"/>
  <c r="J30" i="4" s="1"/>
  <c r="Y30" i="4"/>
  <c r="X30" i="4"/>
  <c r="P30" i="4"/>
  <c r="O30" i="4"/>
  <c r="Q30" i="4" s="1"/>
  <c r="M30" i="4"/>
  <c r="H30" i="4"/>
  <c r="C30" i="4"/>
  <c r="AB29" i="4"/>
  <c r="AD29" i="4" s="1"/>
  <c r="J29" i="4" s="1"/>
  <c r="K29" i="4" s="1"/>
  <c r="Y29" i="4"/>
  <c r="X29" i="4"/>
  <c r="P29" i="4"/>
  <c r="Q29" i="4" s="1"/>
  <c r="O29" i="4"/>
  <c r="M29" i="4"/>
  <c r="H29" i="4"/>
  <c r="C29" i="4"/>
  <c r="AB28" i="4"/>
  <c r="AD28" i="4" s="1"/>
  <c r="J28" i="4" s="1"/>
  <c r="Y28" i="4"/>
  <c r="X28" i="4"/>
  <c r="P28" i="4"/>
  <c r="O28" i="4"/>
  <c r="M28" i="4"/>
  <c r="H28" i="4"/>
  <c r="C28" i="4"/>
  <c r="AB27" i="4"/>
  <c r="AD27" i="4" s="1"/>
  <c r="J27" i="4" s="1"/>
  <c r="Y27" i="4"/>
  <c r="X27" i="4"/>
  <c r="P27" i="4"/>
  <c r="Q27" i="4" s="1"/>
  <c r="O27" i="4"/>
  <c r="M27" i="4"/>
  <c r="H27" i="4"/>
  <c r="C27" i="4"/>
  <c r="AD26" i="4"/>
  <c r="J26" i="4" s="1"/>
  <c r="AB26" i="4"/>
  <c r="Y26" i="4"/>
  <c r="X26" i="4"/>
  <c r="P26" i="4"/>
  <c r="O26" i="4"/>
  <c r="M26" i="4"/>
  <c r="H26" i="4"/>
  <c r="C26" i="4"/>
  <c r="AD25" i="4"/>
  <c r="J25" i="4" s="1"/>
  <c r="I25" i="4" s="1"/>
  <c r="AB25" i="4"/>
  <c r="Y25" i="4"/>
  <c r="X25" i="4"/>
  <c r="P25" i="4"/>
  <c r="O25" i="4"/>
  <c r="Q25" i="4" s="1"/>
  <c r="M25" i="4"/>
  <c r="H25" i="4"/>
  <c r="C25" i="4"/>
  <c r="AB24" i="4"/>
  <c r="AD24" i="4" s="1"/>
  <c r="Y24" i="4"/>
  <c r="X24" i="4"/>
  <c r="P24" i="4"/>
  <c r="O24" i="4"/>
  <c r="Q24" i="4" s="1"/>
  <c r="M24" i="4"/>
  <c r="J24" i="4"/>
  <c r="K24" i="4" s="1"/>
  <c r="H24" i="4"/>
  <c r="C24" i="4"/>
  <c r="AB23" i="4"/>
  <c r="AD23" i="4" s="1"/>
  <c r="J23" i="4" s="1"/>
  <c r="Y23" i="4"/>
  <c r="X23" i="4"/>
  <c r="P23" i="4"/>
  <c r="Q23" i="4" s="1"/>
  <c r="O23" i="4"/>
  <c r="M23" i="4"/>
  <c r="H23" i="4"/>
  <c r="C23" i="4"/>
  <c r="AB22" i="4"/>
  <c r="AD22" i="4" s="1"/>
  <c r="J22" i="4" s="1"/>
  <c r="Y22" i="4"/>
  <c r="X22" i="4"/>
  <c r="P22" i="4"/>
  <c r="O22" i="4"/>
  <c r="M22" i="4"/>
  <c r="H22" i="4"/>
  <c r="C22" i="4"/>
  <c r="AB21" i="4"/>
  <c r="AD21" i="4" s="1"/>
  <c r="J21" i="4" s="1"/>
  <c r="K21" i="4" s="1"/>
  <c r="Y21" i="4"/>
  <c r="X21" i="4"/>
  <c r="P21" i="4"/>
  <c r="O21" i="4"/>
  <c r="Q21" i="4" s="1"/>
  <c r="M21" i="4"/>
  <c r="H21" i="4"/>
  <c r="C21" i="4"/>
  <c r="AB20" i="4"/>
  <c r="AD20" i="4" s="1"/>
  <c r="J20" i="4" s="1"/>
  <c r="Y20" i="4"/>
  <c r="X20" i="4"/>
  <c r="P20" i="4"/>
  <c r="O20" i="4"/>
  <c r="Q20" i="4" s="1"/>
  <c r="M20" i="4"/>
  <c r="H20" i="4"/>
  <c r="C20" i="4"/>
  <c r="AB19" i="4"/>
  <c r="AD19" i="4" s="1"/>
  <c r="J19" i="4" s="1"/>
  <c r="Y19" i="4"/>
  <c r="X19" i="4"/>
  <c r="P19" i="4"/>
  <c r="O19" i="4"/>
  <c r="M19" i="4"/>
  <c r="H19" i="4"/>
  <c r="C19" i="4"/>
  <c r="AB18" i="4"/>
  <c r="AD18" i="4" s="1"/>
  <c r="J18" i="4" s="1"/>
  <c r="Y18" i="4"/>
  <c r="X18" i="4"/>
  <c r="P18" i="4"/>
  <c r="Q18" i="4" s="1"/>
  <c r="O18" i="4"/>
  <c r="M18" i="4"/>
  <c r="H18" i="4"/>
  <c r="C18" i="4"/>
  <c r="AB17" i="4"/>
  <c r="AD17" i="4" s="1"/>
  <c r="J17" i="4" s="1"/>
  <c r="I17" i="4" s="1"/>
  <c r="Y17" i="4"/>
  <c r="X17" i="4"/>
  <c r="P17" i="4"/>
  <c r="O17" i="4"/>
  <c r="M17" i="4"/>
  <c r="H17" i="4"/>
  <c r="C17" i="4"/>
  <c r="AB16" i="4"/>
  <c r="AD16" i="4" s="1"/>
  <c r="J16" i="4" s="1"/>
  <c r="K16" i="4" s="1"/>
  <c r="Y16" i="4"/>
  <c r="X16" i="4"/>
  <c r="P16" i="4"/>
  <c r="O16" i="4"/>
  <c r="M16" i="4"/>
  <c r="H16" i="4"/>
  <c r="C16" i="4"/>
  <c r="AB15" i="4"/>
  <c r="AD15" i="4" s="1"/>
  <c r="J15" i="4" s="1"/>
  <c r="Y15" i="4"/>
  <c r="X15" i="4"/>
  <c r="P15" i="4"/>
  <c r="O15" i="4"/>
  <c r="M15" i="4"/>
  <c r="H15" i="4"/>
  <c r="C15" i="4"/>
  <c r="AB14" i="4"/>
  <c r="AD14" i="4" s="1"/>
  <c r="J14" i="4" s="1"/>
  <c r="Y14" i="4"/>
  <c r="X14" i="4"/>
  <c r="P14" i="4"/>
  <c r="O14" i="4"/>
  <c r="Q14" i="4" s="1"/>
  <c r="M14" i="4"/>
  <c r="H14" i="4"/>
  <c r="C14" i="4"/>
  <c r="AB13" i="4"/>
  <c r="AD13" i="4" s="1"/>
  <c r="J13" i="4" s="1"/>
  <c r="K13" i="4" s="1"/>
  <c r="Y13" i="4"/>
  <c r="X13" i="4"/>
  <c r="P13" i="4"/>
  <c r="Q13" i="4" s="1"/>
  <c r="O13" i="4"/>
  <c r="M13" i="4"/>
  <c r="H13" i="4"/>
  <c r="C13" i="4"/>
  <c r="AB12" i="4"/>
  <c r="AD12" i="4" s="1"/>
  <c r="J12" i="4" s="1"/>
  <c r="Y12" i="4"/>
  <c r="X12" i="4"/>
  <c r="P12" i="4"/>
  <c r="O12" i="4"/>
  <c r="M12" i="4"/>
  <c r="H12" i="4"/>
  <c r="C12" i="4"/>
  <c r="AB11" i="4"/>
  <c r="AD11" i="4" s="1"/>
  <c r="J11" i="4" s="1"/>
  <c r="Y11" i="4"/>
  <c r="X11" i="4"/>
  <c r="P11" i="4"/>
  <c r="Q11" i="4" s="1"/>
  <c r="O11" i="4"/>
  <c r="M11" i="4"/>
  <c r="H11" i="4"/>
  <c r="C11" i="4"/>
  <c r="AD10" i="4"/>
  <c r="J10" i="4" s="1"/>
  <c r="AB10" i="4"/>
  <c r="Y10" i="4"/>
  <c r="X10" i="4"/>
  <c r="P10" i="4"/>
  <c r="Q10" i="4" s="1"/>
  <c r="O10" i="4"/>
  <c r="M10" i="4"/>
  <c r="H10" i="4"/>
  <c r="C10" i="4"/>
  <c r="AD9" i="4"/>
  <c r="J9" i="4" s="1"/>
  <c r="I9" i="4" s="1"/>
  <c r="AB9" i="4"/>
  <c r="Y9" i="4"/>
  <c r="X9" i="4"/>
  <c r="P9" i="4"/>
  <c r="O9" i="4"/>
  <c r="Q9" i="4" s="1"/>
  <c r="M9" i="4"/>
  <c r="H9" i="4"/>
  <c r="C9" i="4"/>
  <c r="AB8" i="4"/>
  <c r="AD8" i="4" s="1"/>
  <c r="Y8" i="4"/>
  <c r="X8" i="4"/>
  <c r="P8" i="4"/>
  <c r="O8" i="4"/>
  <c r="Q8" i="4" s="1"/>
  <c r="M8" i="4"/>
  <c r="J8" i="4"/>
  <c r="K8" i="4" s="1"/>
  <c r="H8" i="4"/>
  <c r="C8" i="4"/>
  <c r="AB7" i="4"/>
  <c r="AD7" i="4" s="1"/>
  <c r="J7" i="4" s="1"/>
  <c r="Y7" i="4"/>
  <c r="X7" i="4"/>
  <c r="P7" i="4"/>
  <c r="Q7" i="4" s="1"/>
  <c r="O7" i="4"/>
  <c r="M7" i="4"/>
  <c r="H7" i="4"/>
  <c r="C7" i="4"/>
  <c r="AB6" i="4"/>
  <c r="AD6" i="4" s="1"/>
  <c r="Y6" i="4"/>
  <c r="X6" i="4"/>
  <c r="P6" i="4"/>
  <c r="O6" i="4"/>
  <c r="M6" i="4"/>
  <c r="H6" i="4"/>
  <c r="C6" i="4"/>
  <c r="AB5" i="4"/>
  <c r="AD5" i="4" s="1"/>
  <c r="J5" i="4" s="1"/>
  <c r="K5" i="4" s="1"/>
  <c r="Y5" i="4"/>
  <c r="X5" i="4"/>
  <c r="P5" i="4"/>
  <c r="O5" i="4"/>
  <c r="Q5" i="4" s="1"/>
  <c r="M5" i="4"/>
  <c r="H5" i="4"/>
  <c r="C5" i="4"/>
  <c r="AB4" i="4"/>
  <c r="AD4" i="4" s="1"/>
  <c r="J4" i="4" s="1"/>
  <c r="Y4" i="4"/>
  <c r="X4" i="4"/>
  <c r="P4" i="4"/>
  <c r="O4" i="4"/>
  <c r="Q4" i="4" s="1"/>
  <c r="M4" i="4"/>
  <c r="H4" i="4"/>
  <c r="C4" i="4"/>
  <c r="AF3" i="4"/>
  <c r="W3" i="4"/>
  <c r="V3" i="4"/>
  <c r="U3" i="4"/>
  <c r="T3" i="4"/>
  <c r="O3" i="4"/>
  <c r="G3" i="4"/>
  <c r="F3" i="4"/>
  <c r="D3" i="4"/>
  <c r="A2" i="4"/>
  <c r="A1" i="4"/>
  <c r="AB31" i="3"/>
  <c r="AD31" i="3" s="1"/>
  <c r="J31" i="3" s="1"/>
  <c r="Y31" i="3"/>
  <c r="X31" i="3"/>
  <c r="P31" i="3"/>
  <c r="O31" i="3"/>
  <c r="Q31" i="3" s="1"/>
  <c r="M31" i="3"/>
  <c r="H31" i="3"/>
  <c r="C31" i="3"/>
  <c r="AB30" i="3"/>
  <c r="AD30" i="3" s="1"/>
  <c r="J30" i="3" s="1"/>
  <c r="Y30" i="3"/>
  <c r="X30" i="3"/>
  <c r="P30" i="3"/>
  <c r="O30" i="3"/>
  <c r="M30" i="3"/>
  <c r="H30" i="3"/>
  <c r="C30" i="3"/>
  <c r="AB29" i="3"/>
  <c r="AD29" i="3" s="1"/>
  <c r="J29" i="3" s="1"/>
  <c r="Y29" i="3"/>
  <c r="X29" i="3"/>
  <c r="P29" i="3"/>
  <c r="Q29" i="3" s="1"/>
  <c r="O29" i="3"/>
  <c r="M29" i="3"/>
  <c r="H29" i="3"/>
  <c r="C29" i="3"/>
  <c r="AB28" i="3"/>
  <c r="AD28" i="3" s="1"/>
  <c r="J28" i="3" s="1"/>
  <c r="Y28" i="3"/>
  <c r="X28" i="3"/>
  <c r="P28" i="3"/>
  <c r="Q28" i="3" s="1"/>
  <c r="O28" i="3"/>
  <c r="M28" i="3"/>
  <c r="H28" i="3"/>
  <c r="C28" i="3"/>
  <c r="AD27" i="3"/>
  <c r="J27" i="3" s="1"/>
  <c r="I27" i="3" s="1"/>
  <c r="AB27" i="3"/>
  <c r="Y27" i="3"/>
  <c r="X27" i="3"/>
  <c r="P27" i="3"/>
  <c r="O27" i="3"/>
  <c r="Q27" i="3" s="1"/>
  <c r="M27" i="3"/>
  <c r="H27" i="3"/>
  <c r="C27" i="3"/>
  <c r="AB26" i="3"/>
  <c r="AD26" i="3" s="1"/>
  <c r="J26" i="3" s="1"/>
  <c r="K26" i="3" s="1"/>
  <c r="Y26" i="3"/>
  <c r="X26" i="3"/>
  <c r="P26" i="3"/>
  <c r="O26" i="3"/>
  <c r="Q26" i="3" s="1"/>
  <c r="M26" i="3"/>
  <c r="I26" i="3"/>
  <c r="H26" i="3"/>
  <c r="C26" i="3"/>
  <c r="AB25" i="3"/>
  <c r="AD25" i="3" s="1"/>
  <c r="J25" i="3" s="1"/>
  <c r="Y25" i="3"/>
  <c r="X25" i="3"/>
  <c r="P25" i="3"/>
  <c r="O25" i="3"/>
  <c r="M25" i="3"/>
  <c r="H25" i="3"/>
  <c r="C25" i="3"/>
  <c r="AB24" i="3"/>
  <c r="AD24" i="3" s="1"/>
  <c r="J24" i="3" s="1"/>
  <c r="Y24" i="3"/>
  <c r="X24" i="3"/>
  <c r="P24" i="3"/>
  <c r="O24" i="3"/>
  <c r="M24" i="3"/>
  <c r="H24" i="3"/>
  <c r="C24" i="3"/>
  <c r="AB23" i="3"/>
  <c r="AD23" i="3" s="1"/>
  <c r="J23" i="3" s="1"/>
  <c r="K23" i="3" s="1"/>
  <c r="Y23" i="3"/>
  <c r="X23" i="3"/>
  <c r="P23" i="3"/>
  <c r="O23" i="3"/>
  <c r="Q23" i="3" s="1"/>
  <c r="M23" i="3"/>
  <c r="H23" i="3"/>
  <c r="C23" i="3"/>
  <c r="AB22" i="3"/>
  <c r="AD22" i="3" s="1"/>
  <c r="J22" i="3" s="1"/>
  <c r="Y22" i="3"/>
  <c r="X22" i="3"/>
  <c r="P22" i="3"/>
  <c r="O22" i="3"/>
  <c r="Q22" i="3" s="1"/>
  <c r="M22" i="3"/>
  <c r="H22" i="3"/>
  <c r="C22" i="3"/>
  <c r="AB21" i="3"/>
  <c r="AD21" i="3" s="1"/>
  <c r="J21" i="3" s="1"/>
  <c r="Y21" i="3"/>
  <c r="X21" i="3"/>
  <c r="P21" i="3"/>
  <c r="O21" i="3"/>
  <c r="M21" i="3"/>
  <c r="H21" i="3"/>
  <c r="C21" i="3"/>
  <c r="AB20" i="3"/>
  <c r="AD20" i="3" s="1"/>
  <c r="J20" i="3" s="1"/>
  <c r="Y20" i="3"/>
  <c r="X20" i="3"/>
  <c r="P20" i="3"/>
  <c r="Q20" i="3" s="1"/>
  <c r="O20" i="3"/>
  <c r="M20" i="3"/>
  <c r="H20" i="3"/>
  <c r="C20" i="3"/>
  <c r="AB19" i="3"/>
  <c r="AD19" i="3" s="1"/>
  <c r="J19" i="3" s="1"/>
  <c r="I19" i="3" s="1"/>
  <c r="Y19" i="3"/>
  <c r="X19" i="3"/>
  <c r="P19" i="3"/>
  <c r="O19" i="3"/>
  <c r="Q19" i="3" s="1"/>
  <c r="M19" i="3"/>
  <c r="H19" i="3"/>
  <c r="C19" i="3"/>
  <c r="AB18" i="3"/>
  <c r="AD18" i="3" s="1"/>
  <c r="J18" i="3" s="1"/>
  <c r="K18" i="3" s="1"/>
  <c r="Y18" i="3"/>
  <c r="X18" i="3"/>
  <c r="P18" i="3"/>
  <c r="O18" i="3"/>
  <c r="Q18" i="3" s="1"/>
  <c r="M18" i="3"/>
  <c r="I18" i="3"/>
  <c r="H18" i="3"/>
  <c r="C18" i="3"/>
  <c r="AB17" i="3"/>
  <c r="AD17" i="3" s="1"/>
  <c r="J17" i="3" s="1"/>
  <c r="Y17" i="3"/>
  <c r="X17" i="3"/>
  <c r="P17" i="3"/>
  <c r="O17" i="3"/>
  <c r="M17" i="3"/>
  <c r="H17" i="3"/>
  <c r="C17" i="3"/>
  <c r="AB16" i="3"/>
  <c r="AD16" i="3" s="1"/>
  <c r="J16" i="3" s="1"/>
  <c r="Y16" i="3"/>
  <c r="X16" i="3"/>
  <c r="P16" i="3"/>
  <c r="O16" i="3"/>
  <c r="M16" i="3"/>
  <c r="H16" i="3"/>
  <c r="C16" i="3"/>
  <c r="AB15" i="3"/>
  <c r="AD15" i="3" s="1"/>
  <c r="J15" i="3" s="1"/>
  <c r="K15" i="3" s="1"/>
  <c r="Y15" i="3"/>
  <c r="X15" i="3"/>
  <c r="Q15" i="3"/>
  <c r="P15" i="3"/>
  <c r="O15" i="3"/>
  <c r="M15" i="3"/>
  <c r="H15" i="3"/>
  <c r="C15" i="3"/>
  <c r="AB14" i="3"/>
  <c r="AD14" i="3" s="1"/>
  <c r="J14" i="3" s="1"/>
  <c r="Y14" i="3"/>
  <c r="X14" i="3"/>
  <c r="P14" i="3"/>
  <c r="O14" i="3"/>
  <c r="Q14" i="3" s="1"/>
  <c r="M14" i="3"/>
  <c r="H14" i="3"/>
  <c r="C14" i="3"/>
  <c r="AB13" i="3"/>
  <c r="AD13" i="3" s="1"/>
  <c r="J13" i="3" s="1"/>
  <c r="Y13" i="3"/>
  <c r="X13" i="3"/>
  <c r="P13" i="3"/>
  <c r="O13" i="3"/>
  <c r="M13" i="3"/>
  <c r="H13" i="3"/>
  <c r="C13" i="3"/>
  <c r="AB12" i="3"/>
  <c r="AD12" i="3" s="1"/>
  <c r="J12" i="3" s="1"/>
  <c r="Y12" i="3"/>
  <c r="X12" i="3"/>
  <c r="P12" i="3"/>
  <c r="O12" i="3"/>
  <c r="M12" i="3"/>
  <c r="H12" i="3"/>
  <c r="C12" i="3"/>
  <c r="AD11" i="3"/>
  <c r="J11" i="3" s="1"/>
  <c r="I11" i="3" s="1"/>
  <c r="AB11" i="3"/>
  <c r="Y11" i="3"/>
  <c r="X11" i="3"/>
  <c r="P11" i="3"/>
  <c r="O11" i="3"/>
  <c r="M11" i="3"/>
  <c r="H11" i="3"/>
  <c r="C11" i="3"/>
  <c r="AB10" i="3"/>
  <c r="AD10" i="3" s="1"/>
  <c r="J10" i="3" s="1"/>
  <c r="K10" i="3" s="1"/>
  <c r="Y10" i="3"/>
  <c r="X10" i="3"/>
  <c r="P10" i="3"/>
  <c r="O10" i="3"/>
  <c r="M10" i="3"/>
  <c r="I10" i="3"/>
  <c r="H10" i="3"/>
  <c r="C10" i="3"/>
  <c r="AB9" i="3"/>
  <c r="AD9" i="3" s="1"/>
  <c r="J9" i="3" s="1"/>
  <c r="Y9" i="3"/>
  <c r="X9" i="3"/>
  <c r="P9" i="3"/>
  <c r="O9" i="3"/>
  <c r="M9" i="3"/>
  <c r="H9" i="3"/>
  <c r="C9" i="3"/>
  <c r="AB8" i="3"/>
  <c r="AD8" i="3" s="1"/>
  <c r="J8" i="3" s="1"/>
  <c r="Y8" i="3"/>
  <c r="X8" i="3"/>
  <c r="P8" i="3"/>
  <c r="O8" i="3"/>
  <c r="M8" i="3"/>
  <c r="H8" i="3"/>
  <c r="C8" i="3"/>
  <c r="AB7" i="3"/>
  <c r="AD7" i="3" s="1"/>
  <c r="J7" i="3" s="1"/>
  <c r="K7" i="3" s="1"/>
  <c r="Y7" i="3"/>
  <c r="X7" i="3"/>
  <c r="P7" i="3"/>
  <c r="O7" i="3"/>
  <c r="Q7" i="3" s="1"/>
  <c r="M7" i="3"/>
  <c r="H7" i="3"/>
  <c r="C7" i="3"/>
  <c r="AB6" i="3"/>
  <c r="AD6" i="3" s="1"/>
  <c r="J6" i="3" s="1"/>
  <c r="Y6" i="3"/>
  <c r="X6" i="3"/>
  <c r="P6" i="3"/>
  <c r="O6" i="3"/>
  <c r="Q6" i="3" s="1"/>
  <c r="M6" i="3"/>
  <c r="H6" i="3"/>
  <c r="C6" i="3"/>
  <c r="AB5" i="3"/>
  <c r="AD5" i="3" s="1"/>
  <c r="J5" i="3" s="1"/>
  <c r="Y5" i="3"/>
  <c r="X5" i="3"/>
  <c r="P5" i="3"/>
  <c r="O5" i="3"/>
  <c r="M5" i="3"/>
  <c r="H5" i="3"/>
  <c r="C5" i="3"/>
  <c r="AD4" i="3"/>
  <c r="AB4" i="3"/>
  <c r="Y4" i="3"/>
  <c r="X4" i="3"/>
  <c r="P4" i="3"/>
  <c r="Q4" i="3" s="1"/>
  <c r="O4" i="3"/>
  <c r="M4" i="3"/>
  <c r="H4" i="3"/>
  <c r="C4" i="3"/>
  <c r="AG3" i="3"/>
  <c r="AF3" i="3"/>
  <c r="W3" i="3"/>
  <c r="V3" i="3"/>
  <c r="U3" i="3"/>
  <c r="T3" i="3"/>
  <c r="O3" i="3"/>
  <c r="G3" i="3"/>
  <c r="F3" i="3"/>
  <c r="D3" i="3"/>
  <c r="A2" i="3"/>
  <c r="A1" i="3"/>
  <c r="AD31" i="2"/>
  <c r="AB31" i="2"/>
  <c r="Y31" i="2"/>
  <c r="X31" i="2"/>
  <c r="P31" i="2"/>
  <c r="Q31" i="2" s="1"/>
  <c r="O31" i="2"/>
  <c r="M31" i="2"/>
  <c r="J31" i="2"/>
  <c r="K31" i="2" s="1"/>
  <c r="H31" i="2"/>
  <c r="C31" i="2"/>
  <c r="AB30" i="2"/>
  <c r="AD30" i="2" s="1"/>
  <c r="J30" i="2" s="1"/>
  <c r="Y30" i="2"/>
  <c r="X30" i="2"/>
  <c r="P30" i="2"/>
  <c r="Q30" i="2" s="1"/>
  <c r="O30" i="2"/>
  <c r="M30" i="2"/>
  <c r="H30" i="2"/>
  <c r="C30" i="2"/>
  <c r="AD29" i="2"/>
  <c r="J29" i="2" s="1"/>
  <c r="I29" i="2" s="1"/>
  <c r="AB29" i="2"/>
  <c r="Y29" i="2"/>
  <c r="X29" i="2"/>
  <c r="P29" i="2"/>
  <c r="O29" i="2"/>
  <c r="Q29" i="2" s="1"/>
  <c r="M29" i="2"/>
  <c r="H29" i="2"/>
  <c r="C29" i="2"/>
  <c r="AB28" i="2"/>
  <c r="AD28" i="2" s="1"/>
  <c r="J28" i="2" s="1"/>
  <c r="Y28" i="2"/>
  <c r="X28" i="2"/>
  <c r="P28" i="2"/>
  <c r="O28" i="2"/>
  <c r="Q28" i="2" s="1"/>
  <c r="M28" i="2"/>
  <c r="H28" i="2"/>
  <c r="C28" i="2"/>
  <c r="AB27" i="2"/>
  <c r="AD27" i="2" s="1"/>
  <c r="J27" i="2" s="1"/>
  <c r="Y27" i="2"/>
  <c r="X27" i="2"/>
  <c r="P27" i="2"/>
  <c r="O27" i="2"/>
  <c r="Q27" i="2" s="1"/>
  <c r="M27" i="2"/>
  <c r="H27" i="2"/>
  <c r="C27" i="2"/>
  <c r="AD26" i="2"/>
  <c r="AB26" i="2"/>
  <c r="Y26" i="2"/>
  <c r="X26" i="2"/>
  <c r="P26" i="2"/>
  <c r="O26" i="2"/>
  <c r="M26" i="2"/>
  <c r="J26" i="2"/>
  <c r="I26" i="2" s="1"/>
  <c r="H26" i="2"/>
  <c r="C26" i="2"/>
  <c r="AB25" i="2"/>
  <c r="AD25" i="2" s="1"/>
  <c r="J25" i="2" s="1"/>
  <c r="K25" i="2" s="1"/>
  <c r="Y25" i="2"/>
  <c r="X25" i="2"/>
  <c r="P25" i="2"/>
  <c r="O25" i="2"/>
  <c r="Q25" i="2" s="1"/>
  <c r="M25" i="2"/>
  <c r="H25" i="2"/>
  <c r="C25" i="2"/>
  <c r="AB24" i="2"/>
  <c r="AD24" i="2" s="1"/>
  <c r="J24" i="2" s="1"/>
  <c r="Y24" i="2"/>
  <c r="X24" i="2"/>
  <c r="P24" i="2"/>
  <c r="O24" i="2"/>
  <c r="M24" i="2"/>
  <c r="H24" i="2"/>
  <c r="C24" i="2"/>
  <c r="AB23" i="2"/>
  <c r="AD23" i="2" s="1"/>
  <c r="J23" i="2" s="1"/>
  <c r="Y23" i="2"/>
  <c r="X23" i="2"/>
  <c r="P23" i="2"/>
  <c r="O23" i="2"/>
  <c r="M23" i="2"/>
  <c r="H23" i="2"/>
  <c r="C23" i="2"/>
  <c r="AB22" i="2"/>
  <c r="AD22" i="2" s="1"/>
  <c r="J22" i="2" s="1"/>
  <c r="Y22" i="2"/>
  <c r="X22" i="2"/>
  <c r="P22" i="2"/>
  <c r="Q22" i="2" s="1"/>
  <c r="O22" i="2"/>
  <c r="M22" i="2"/>
  <c r="H22" i="2"/>
  <c r="C22" i="2"/>
  <c r="AD21" i="2"/>
  <c r="AB21" i="2"/>
  <c r="Y21" i="2"/>
  <c r="X21" i="2"/>
  <c r="P21" i="2"/>
  <c r="O21" i="2"/>
  <c r="M21" i="2"/>
  <c r="K21" i="2"/>
  <c r="I21" i="2"/>
  <c r="H21" i="2"/>
  <c r="C21" i="2"/>
  <c r="AB20" i="2"/>
  <c r="AD20" i="2" s="1"/>
  <c r="J20" i="2" s="1"/>
  <c r="K20" i="2" s="1"/>
  <c r="Y20" i="2"/>
  <c r="X20" i="2"/>
  <c r="Q20" i="2"/>
  <c r="P20" i="2"/>
  <c r="O20" i="2"/>
  <c r="M20" i="2"/>
  <c r="H20" i="2"/>
  <c r="C20" i="2"/>
  <c r="AB19" i="2"/>
  <c r="AD19" i="2" s="1"/>
  <c r="J19" i="2" s="1"/>
  <c r="Y19" i="2"/>
  <c r="X19" i="2"/>
  <c r="P19" i="2"/>
  <c r="O19" i="2"/>
  <c r="Q19" i="2" s="1"/>
  <c r="M19" i="2"/>
  <c r="H19" i="2"/>
  <c r="C19" i="2"/>
  <c r="AD18" i="2"/>
  <c r="AB18" i="2"/>
  <c r="Y18" i="2"/>
  <c r="X18" i="2"/>
  <c r="P18" i="2"/>
  <c r="Q18" i="2" s="1"/>
  <c r="O18" i="2"/>
  <c r="M18" i="2"/>
  <c r="J18" i="2"/>
  <c r="K18" i="2" s="1"/>
  <c r="H18" i="2"/>
  <c r="C18" i="2"/>
  <c r="AD17" i="2"/>
  <c r="J17" i="2" s="1"/>
  <c r="AB17" i="2"/>
  <c r="Y17" i="2"/>
  <c r="X17" i="2"/>
  <c r="P17" i="2"/>
  <c r="Q17" i="2" s="1"/>
  <c r="O17" i="2"/>
  <c r="M17" i="2"/>
  <c r="H17" i="2"/>
  <c r="C17" i="2"/>
  <c r="AD16" i="2"/>
  <c r="J16" i="2" s="1"/>
  <c r="I16" i="2" s="1"/>
  <c r="AB16" i="2"/>
  <c r="Y16" i="2"/>
  <c r="X16" i="2"/>
  <c r="P16" i="2"/>
  <c r="O16" i="2"/>
  <c r="M16" i="2"/>
  <c r="H16" i="2"/>
  <c r="C16" i="2"/>
  <c r="AB15" i="2"/>
  <c r="AD15" i="2" s="1"/>
  <c r="J15" i="2" s="1"/>
  <c r="K15" i="2" s="1"/>
  <c r="Y15" i="2"/>
  <c r="X15" i="2"/>
  <c r="P15" i="2"/>
  <c r="O15" i="2"/>
  <c r="M15" i="2"/>
  <c r="H15" i="2"/>
  <c r="C15" i="2"/>
  <c r="AB14" i="2"/>
  <c r="AD14" i="2" s="1"/>
  <c r="J14" i="2" s="1"/>
  <c r="Y14" i="2"/>
  <c r="X14" i="2"/>
  <c r="P14" i="2"/>
  <c r="O14" i="2"/>
  <c r="M14" i="2"/>
  <c r="H14" i="2"/>
  <c r="C14" i="2"/>
  <c r="AB13" i="2"/>
  <c r="AD13" i="2" s="1"/>
  <c r="J13" i="2" s="1"/>
  <c r="Y13" i="2"/>
  <c r="X13" i="2"/>
  <c r="P13" i="2"/>
  <c r="O13" i="2"/>
  <c r="Q13" i="2" s="1"/>
  <c r="M13" i="2"/>
  <c r="H13" i="2"/>
  <c r="C13" i="2"/>
  <c r="AB12" i="2"/>
  <c r="AD12" i="2" s="1"/>
  <c r="J12" i="2" s="1"/>
  <c r="K12" i="2" s="1"/>
  <c r="Y12" i="2"/>
  <c r="X12" i="2"/>
  <c r="P12" i="2"/>
  <c r="O12" i="2"/>
  <c r="Q12" i="2" s="1"/>
  <c r="M12" i="2"/>
  <c r="H12" i="2"/>
  <c r="C12" i="2"/>
  <c r="AB11" i="2"/>
  <c r="AD11" i="2" s="1"/>
  <c r="J11" i="2" s="1"/>
  <c r="Y11" i="2"/>
  <c r="X11" i="2"/>
  <c r="P11" i="2"/>
  <c r="O11" i="2"/>
  <c r="M11" i="2"/>
  <c r="H11" i="2"/>
  <c r="C11" i="2"/>
  <c r="AD10" i="2"/>
  <c r="J10" i="2" s="1"/>
  <c r="K10" i="2" s="1"/>
  <c r="AB10" i="2"/>
  <c r="Y10" i="2"/>
  <c r="X10" i="2"/>
  <c r="P10" i="2"/>
  <c r="O10" i="2"/>
  <c r="M10" i="2"/>
  <c r="H10" i="2"/>
  <c r="C10" i="2"/>
  <c r="AB9" i="2"/>
  <c r="AD9" i="2" s="1"/>
  <c r="J9" i="2" s="1"/>
  <c r="Y9" i="2"/>
  <c r="X9" i="2"/>
  <c r="P9" i="2"/>
  <c r="O9" i="2"/>
  <c r="Q9" i="2" s="1"/>
  <c r="M9" i="2"/>
  <c r="H9" i="2"/>
  <c r="C9" i="2"/>
  <c r="AB8" i="2"/>
  <c r="AD8" i="2" s="1"/>
  <c r="J8" i="2" s="1"/>
  <c r="I8" i="2" s="1"/>
  <c r="Y8" i="2"/>
  <c r="X8" i="2"/>
  <c r="P8" i="2"/>
  <c r="O8" i="2"/>
  <c r="M8" i="2"/>
  <c r="H8" i="2"/>
  <c r="C8" i="2"/>
  <c r="AB7" i="2"/>
  <c r="AD7" i="2" s="1"/>
  <c r="Y7" i="2"/>
  <c r="X7" i="2"/>
  <c r="P7" i="2"/>
  <c r="O7" i="2"/>
  <c r="M7" i="2"/>
  <c r="J7" i="2"/>
  <c r="K7" i="2" s="1"/>
  <c r="H7" i="2"/>
  <c r="C7" i="2"/>
  <c r="AB6" i="2"/>
  <c r="AD6" i="2" s="1"/>
  <c r="J6" i="2" s="1"/>
  <c r="Y6" i="2"/>
  <c r="X6" i="2"/>
  <c r="P6" i="2"/>
  <c r="Q6" i="2" s="1"/>
  <c r="O6" i="2"/>
  <c r="M6" i="2"/>
  <c r="H6" i="2"/>
  <c r="C6" i="2"/>
  <c r="AB5" i="2"/>
  <c r="AD5" i="2" s="1"/>
  <c r="J5" i="2" s="1"/>
  <c r="Y5" i="2"/>
  <c r="X5" i="2"/>
  <c r="P5" i="2"/>
  <c r="O5" i="2"/>
  <c r="M5" i="2"/>
  <c r="H5" i="2"/>
  <c r="C5" i="2"/>
  <c r="AB4" i="2"/>
  <c r="AD4" i="2" s="1"/>
  <c r="Y4" i="2"/>
  <c r="X4" i="2"/>
  <c r="P4" i="2"/>
  <c r="O4" i="2"/>
  <c r="Q4" i="2" s="1"/>
  <c r="M4" i="2"/>
  <c r="H4" i="2"/>
  <c r="C4" i="2"/>
  <c r="AG3" i="2"/>
  <c r="AF3" i="2"/>
  <c r="W3" i="2"/>
  <c r="V3" i="2"/>
  <c r="U3" i="2"/>
  <c r="T3" i="2"/>
  <c r="O3" i="2"/>
  <c r="G3" i="2"/>
  <c r="F3" i="2"/>
  <c r="D3" i="2"/>
  <c r="A2" i="2"/>
  <c r="A1" i="2"/>
  <c r="AB31" i="1"/>
  <c r="AD31" i="1" s="1"/>
  <c r="J31" i="1" s="1"/>
  <c r="Y31" i="1"/>
  <c r="X31" i="1"/>
  <c r="P31" i="1"/>
  <c r="O31" i="1"/>
  <c r="M31" i="1"/>
  <c r="H31" i="1"/>
  <c r="C31" i="1"/>
  <c r="AB30" i="1"/>
  <c r="AD30" i="1" s="1"/>
  <c r="J30" i="1" s="1"/>
  <c r="K30" i="1" s="1"/>
  <c r="Y30" i="1"/>
  <c r="X30" i="1"/>
  <c r="P30" i="1"/>
  <c r="O30" i="1"/>
  <c r="Q30" i="1" s="1"/>
  <c r="M30" i="1"/>
  <c r="H30" i="1"/>
  <c r="C30" i="1"/>
  <c r="AB29" i="1"/>
  <c r="AD29" i="1" s="1"/>
  <c r="J29" i="1" s="1"/>
  <c r="Y29" i="1"/>
  <c r="X29" i="1"/>
  <c r="P29" i="1"/>
  <c r="O29" i="1"/>
  <c r="Q29" i="1" s="1"/>
  <c r="M29" i="1"/>
  <c r="H29" i="1"/>
  <c r="C29" i="1"/>
  <c r="AB28" i="1"/>
  <c r="AD28" i="1" s="1"/>
  <c r="J28" i="1" s="1"/>
  <c r="Y28" i="1"/>
  <c r="X28" i="1"/>
  <c r="P28" i="1"/>
  <c r="O28" i="1"/>
  <c r="M28" i="1"/>
  <c r="H28" i="1"/>
  <c r="C28" i="1"/>
  <c r="AD27" i="1"/>
  <c r="J27" i="1" s="1"/>
  <c r="AB27" i="1"/>
  <c r="Y27" i="1"/>
  <c r="X27" i="1"/>
  <c r="P27" i="1"/>
  <c r="Q27" i="1" s="1"/>
  <c r="O27" i="1"/>
  <c r="M27" i="1"/>
  <c r="H27" i="1"/>
  <c r="C27" i="1"/>
  <c r="AD26" i="1"/>
  <c r="J26" i="1" s="1"/>
  <c r="I26" i="1" s="1"/>
  <c r="AB26" i="1"/>
  <c r="Y26" i="1"/>
  <c r="X26" i="1"/>
  <c r="P26" i="1"/>
  <c r="O26" i="1"/>
  <c r="Q26" i="1" s="1"/>
  <c r="M26" i="1"/>
  <c r="H26" i="1"/>
  <c r="C26" i="1"/>
  <c r="AB25" i="1"/>
  <c r="AD25" i="1" s="1"/>
  <c r="J25" i="1" s="1"/>
  <c r="Y25" i="1"/>
  <c r="X25" i="1"/>
  <c r="P25" i="1"/>
  <c r="O25" i="1"/>
  <c r="Q25" i="1" s="1"/>
  <c r="M25" i="1"/>
  <c r="H25" i="1"/>
  <c r="C25" i="1"/>
  <c r="AB24" i="1"/>
  <c r="AD24" i="1" s="1"/>
  <c r="J24" i="1" s="1"/>
  <c r="Y24" i="1"/>
  <c r="X24" i="1"/>
  <c r="P24" i="1"/>
  <c r="O24" i="1"/>
  <c r="Q24" i="1" s="1"/>
  <c r="M24" i="1"/>
  <c r="H24" i="1"/>
  <c r="C24" i="1"/>
  <c r="AB23" i="1"/>
  <c r="AD23" i="1" s="1"/>
  <c r="J23" i="1" s="1"/>
  <c r="Y23" i="1"/>
  <c r="X23" i="1"/>
  <c r="P23" i="1"/>
  <c r="O23" i="1"/>
  <c r="Q23" i="1" s="1"/>
  <c r="M23" i="1"/>
  <c r="H23" i="1"/>
  <c r="C23" i="1"/>
  <c r="AB22" i="1"/>
  <c r="AD22" i="1" s="1"/>
  <c r="J22" i="1" s="1"/>
  <c r="K22" i="1" s="1"/>
  <c r="Y22" i="1"/>
  <c r="X22" i="1"/>
  <c r="P22" i="1"/>
  <c r="O22" i="1"/>
  <c r="Q22" i="1" s="1"/>
  <c r="M22" i="1"/>
  <c r="H22" i="1"/>
  <c r="C22" i="1"/>
  <c r="AB21" i="1"/>
  <c r="AD21" i="1" s="1"/>
  <c r="J21" i="1" s="1"/>
  <c r="Y21" i="1"/>
  <c r="X21" i="1"/>
  <c r="P21" i="1"/>
  <c r="O21" i="1"/>
  <c r="M21" i="1"/>
  <c r="H21" i="1"/>
  <c r="C21" i="1"/>
  <c r="AB20" i="1"/>
  <c r="AD20" i="1" s="1"/>
  <c r="J20" i="1" s="1"/>
  <c r="Y20" i="1"/>
  <c r="X20" i="1"/>
  <c r="P20" i="1"/>
  <c r="Q20" i="1" s="1"/>
  <c r="O20" i="1"/>
  <c r="M20" i="1"/>
  <c r="H20" i="1"/>
  <c r="C20" i="1"/>
  <c r="AB19" i="1"/>
  <c r="AD19" i="1" s="1"/>
  <c r="J19" i="1" s="1"/>
  <c r="Y19" i="1"/>
  <c r="X19" i="1"/>
  <c r="P19" i="1"/>
  <c r="O19" i="1"/>
  <c r="M19" i="1"/>
  <c r="H19" i="1"/>
  <c r="C19" i="1"/>
  <c r="AD18" i="1"/>
  <c r="J18" i="1" s="1"/>
  <c r="I18" i="1" s="1"/>
  <c r="AB18" i="1"/>
  <c r="Y18" i="1"/>
  <c r="X18" i="1"/>
  <c r="P18" i="1"/>
  <c r="O18" i="1"/>
  <c r="Q18" i="1" s="1"/>
  <c r="M18" i="1"/>
  <c r="H18" i="1"/>
  <c r="C18" i="1"/>
  <c r="AB17" i="1"/>
  <c r="AD17" i="1" s="1"/>
  <c r="J17" i="1" s="1"/>
  <c r="Y17" i="1"/>
  <c r="X17" i="1"/>
  <c r="P17" i="1"/>
  <c r="O17" i="1"/>
  <c r="Q17" i="1" s="1"/>
  <c r="M17" i="1"/>
  <c r="H17" i="1"/>
  <c r="C17" i="1"/>
  <c r="AB16" i="1"/>
  <c r="AD16" i="1" s="1"/>
  <c r="J16" i="1" s="1"/>
  <c r="Y16" i="1"/>
  <c r="X16" i="1"/>
  <c r="P16" i="1"/>
  <c r="O16" i="1"/>
  <c r="Q16" i="1" s="1"/>
  <c r="M16" i="1"/>
  <c r="H16" i="1"/>
  <c r="C16" i="1"/>
  <c r="AB15" i="1"/>
  <c r="AD15" i="1" s="1"/>
  <c r="J15" i="1" s="1"/>
  <c r="Y15" i="1"/>
  <c r="X15" i="1"/>
  <c r="P15" i="1"/>
  <c r="O15" i="1"/>
  <c r="Q15" i="1" s="1"/>
  <c r="M15" i="1"/>
  <c r="H15" i="1"/>
  <c r="C15" i="1"/>
  <c r="AB14" i="1"/>
  <c r="AD14" i="1" s="1"/>
  <c r="J14" i="1" s="1"/>
  <c r="K14" i="1" s="1"/>
  <c r="Y14" i="1"/>
  <c r="X14" i="1"/>
  <c r="P14" i="1"/>
  <c r="Q14" i="1" s="1"/>
  <c r="O14" i="1"/>
  <c r="M14" i="1"/>
  <c r="H14" i="1"/>
  <c r="C14" i="1"/>
  <c r="AB13" i="1"/>
  <c r="AD13" i="1" s="1"/>
  <c r="J13" i="1" s="1"/>
  <c r="Y13" i="1"/>
  <c r="X13" i="1"/>
  <c r="P13" i="1"/>
  <c r="O13" i="1"/>
  <c r="M13" i="1"/>
  <c r="H13" i="1"/>
  <c r="C13" i="1"/>
  <c r="AB12" i="1"/>
  <c r="AD12" i="1" s="1"/>
  <c r="J12" i="1" s="1"/>
  <c r="Y12" i="1"/>
  <c r="X12" i="1"/>
  <c r="P12" i="1"/>
  <c r="Q12" i="1" s="1"/>
  <c r="O12" i="1"/>
  <c r="M12" i="1"/>
  <c r="H12" i="1"/>
  <c r="C12" i="1"/>
  <c r="AD11" i="1"/>
  <c r="J11" i="1" s="1"/>
  <c r="AB11" i="1"/>
  <c r="Y11" i="1"/>
  <c r="X11" i="1"/>
  <c r="P11" i="1"/>
  <c r="Q11" i="1" s="1"/>
  <c r="O11" i="1"/>
  <c r="M11" i="1"/>
  <c r="H11" i="1"/>
  <c r="C11" i="1"/>
  <c r="AB10" i="1"/>
  <c r="AD10" i="1" s="1"/>
  <c r="J10" i="1" s="1"/>
  <c r="I10" i="1" s="1"/>
  <c r="Y10" i="1"/>
  <c r="X10" i="1"/>
  <c r="P10" i="1"/>
  <c r="O10" i="1"/>
  <c r="Q10" i="1" s="1"/>
  <c r="M10" i="1"/>
  <c r="H10" i="1"/>
  <c r="C10" i="1"/>
  <c r="AB9" i="1"/>
  <c r="AD9" i="1" s="1"/>
  <c r="J9" i="1" s="1"/>
  <c r="Y9" i="1"/>
  <c r="X9" i="1"/>
  <c r="P9" i="1"/>
  <c r="O9" i="1"/>
  <c r="Q9" i="1" s="1"/>
  <c r="M9" i="1"/>
  <c r="H9" i="1"/>
  <c r="C9" i="1"/>
  <c r="AB8" i="1"/>
  <c r="AD8" i="1" s="1"/>
  <c r="J8" i="1" s="1"/>
  <c r="Y8" i="1"/>
  <c r="X8" i="1"/>
  <c r="P8" i="1"/>
  <c r="O8" i="1"/>
  <c r="Q8" i="1" s="1"/>
  <c r="M8" i="1"/>
  <c r="H8" i="1"/>
  <c r="C8" i="1"/>
  <c r="AB7" i="1"/>
  <c r="AD7" i="1" s="1"/>
  <c r="J7" i="1" s="1"/>
  <c r="Y7" i="1"/>
  <c r="X7" i="1"/>
  <c r="P7" i="1"/>
  <c r="O7" i="1"/>
  <c r="Q7" i="1" s="1"/>
  <c r="M7" i="1"/>
  <c r="H7" i="1"/>
  <c r="C7" i="1"/>
  <c r="AB6" i="1"/>
  <c r="AD6" i="1" s="1"/>
  <c r="J6" i="1" s="1"/>
  <c r="K6" i="1" s="1"/>
  <c r="Y6" i="1"/>
  <c r="X6" i="1"/>
  <c r="P6" i="1"/>
  <c r="O6" i="1"/>
  <c r="Q6" i="1" s="1"/>
  <c r="M6" i="1"/>
  <c r="H6" i="1"/>
  <c r="C6" i="1"/>
  <c r="AB5" i="1"/>
  <c r="AD5" i="1" s="1"/>
  <c r="J5" i="1" s="1"/>
  <c r="Y5" i="1"/>
  <c r="X5" i="1"/>
  <c r="P5" i="1"/>
  <c r="O5" i="1"/>
  <c r="M5" i="1"/>
  <c r="H5" i="1"/>
  <c r="C5" i="1"/>
  <c r="AB4" i="1"/>
  <c r="AD4" i="1" s="1"/>
  <c r="Y4" i="1"/>
  <c r="X4" i="1"/>
  <c r="P4" i="1"/>
  <c r="Q4" i="1" s="1"/>
  <c r="O4" i="1"/>
  <c r="M4" i="1"/>
  <c r="H4" i="1"/>
  <c r="C4" i="1"/>
  <c r="AG3" i="1"/>
  <c r="AF3" i="1"/>
  <c r="W3" i="1"/>
  <c r="V3" i="1"/>
  <c r="U3" i="1"/>
  <c r="T3" i="1"/>
  <c r="O3" i="1"/>
  <c r="F3" i="1"/>
  <c r="D3" i="1"/>
  <c r="A2" i="1"/>
  <c r="A1" i="1"/>
  <c r="K32" i="55" l="1"/>
  <c r="I32" i="55"/>
  <c r="K32" i="15"/>
  <c r="I32" i="15"/>
  <c r="AD32" i="30"/>
  <c r="J32" i="30" s="1"/>
  <c r="K32" i="27"/>
  <c r="I32" i="27"/>
  <c r="J32" i="25"/>
  <c r="H32" i="25"/>
  <c r="C32" i="25"/>
  <c r="X32" i="30"/>
  <c r="O32" i="30"/>
  <c r="M32" i="30"/>
  <c r="H32" i="54"/>
  <c r="G3" i="54"/>
  <c r="J32" i="54"/>
  <c r="Y32" i="54"/>
  <c r="F3" i="25"/>
  <c r="H3" i="25" s="1"/>
  <c r="X3" i="32"/>
  <c r="H3" i="34"/>
  <c r="H32" i="1"/>
  <c r="J32" i="52"/>
  <c r="J32" i="48"/>
  <c r="J32" i="44"/>
  <c r="J32" i="40"/>
  <c r="K32" i="35"/>
  <c r="I32" i="35"/>
  <c r="J32" i="33"/>
  <c r="H32" i="33"/>
  <c r="C32" i="33"/>
  <c r="C32" i="30"/>
  <c r="K32" i="20"/>
  <c r="I32" i="20"/>
  <c r="J32" i="13"/>
  <c r="C32" i="13"/>
  <c r="K32" i="8"/>
  <c r="I32" i="8"/>
  <c r="K32" i="11"/>
  <c r="I32" i="11"/>
  <c r="G3" i="1"/>
  <c r="H3" i="53"/>
  <c r="K32" i="1"/>
  <c r="X32" i="54"/>
  <c r="W3" i="54"/>
  <c r="I32" i="51"/>
  <c r="I32" i="47"/>
  <c r="I32" i="43"/>
  <c r="K32" i="39"/>
  <c r="I32" i="39"/>
  <c r="X32" i="38"/>
  <c r="O32" i="38"/>
  <c r="M32" i="38"/>
  <c r="C32" i="38"/>
  <c r="J32" i="38"/>
  <c r="D3" i="38"/>
  <c r="X32" i="26"/>
  <c r="O32" i="26"/>
  <c r="Q32" i="26" s="1"/>
  <c r="M32" i="26"/>
  <c r="J32" i="26"/>
  <c r="AD32" i="26"/>
  <c r="K32" i="19"/>
  <c r="I32" i="19"/>
  <c r="D3" i="18"/>
  <c r="O32" i="18"/>
  <c r="Q32" i="18" s="1"/>
  <c r="M32" i="18"/>
  <c r="C32" i="18"/>
  <c r="Q32" i="17"/>
  <c r="X32" i="10"/>
  <c r="K32" i="7"/>
  <c r="I32" i="7"/>
  <c r="O32" i="6"/>
  <c r="Q32" i="6" s="1"/>
  <c r="M32" i="6"/>
  <c r="C32" i="6"/>
  <c r="H3" i="27"/>
  <c r="J32" i="53"/>
  <c r="F3" i="53"/>
  <c r="C32" i="53"/>
  <c r="J32" i="49"/>
  <c r="C32" i="49"/>
  <c r="J32" i="45"/>
  <c r="F3" i="45"/>
  <c r="C32" i="45"/>
  <c r="J32" i="41"/>
  <c r="C32" i="41"/>
  <c r="X32" i="34"/>
  <c r="O32" i="34"/>
  <c r="Q32" i="34" s="1"/>
  <c r="M32" i="34"/>
  <c r="J32" i="34"/>
  <c r="AD32" i="34"/>
  <c r="AD32" i="14"/>
  <c r="J32" i="9"/>
  <c r="C32" i="9"/>
  <c r="Q32" i="2"/>
  <c r="H3" i="45"/>
  <c r="Q32" i="38"/>
  <c r="O32" i="10"/>
  <c r="Q32" i="10" s="1"/>
  <c r="M32" i="10"/>
  <c r="C32" i="10"/>
  <c r="X3" i="5"/>
  <c r="Q32" i="54"/>
  <c r="H32" i="53"/>
  <c r="H32" i="49"/>
  <c r="H32" i="45"/>
  <c r="H32" i="41"/>
  <c r="C32" i="26"/>
  <c r="K32" i="23"/>
  <c r="I32" i="23"/>
  <c r="J32" i="21"/>
  <c r="F3" i="21"/>
  <c r="H3" i="21" s="1"/>
  <c r="C32" i="21"/>
  <c r="J32" i="16"/>
  <c r="Q32" i="12"/>
  <c r="H32" i="9"/>
  <c r="J32" i="4"/>
  <c r="D3" i="30"/>
  <c r="X3" i="30" s="1"/>
  <c r="G3" i="52"/>
  <c r="H3" i="52" s="1"/>
  <c r="D3" i="54"/>
  <c r="X3" i="54" s="1"/>
  <c r="M32" i="54"/>
  <c r="Q32" i="40"/>
  <c r="Q32" i="36"/>
  <c r="C32" i="34"/>
  <c r="K32" i="31"/>
  <c r="I32" i="31"/>
  <c r="Q32" i="30"/>
  <c r="J32" i="29"/>
  <c r="H32" i="29"/>
  <c r="C32" i="29"/>
  <c r="Q32" i="28"/>
  <c r="X32" i="18"/>
  <c r="O32" i="14"/>
  <c r="Q32" i="14" s="1"/>
  <c r="M32" i="14"/>
  <c r="C32" i="14"/>
  <c r="Q32" i="13"/>
  <c r="AD32" i="10"/>
  <c r="X32" i="6"/>
  <c r="K32" i="3"/>
  <c r="I32" i="3"/>
  <c r="X3" i="4"/>
  <c r="X3" i="18"/>
  <c r="F3" i="49"/>
  <c r="Q32" i="1"/>
  <c r="O32" i="50"/>
  <c r="Q32" i="50" s="1"/>
  <c r="M32" i="50"/>
  <c r="O32" i="46"/>
  <c r="Q32" i="46" s="1"/>
  <c r="M32" i="46"/>
  <c r="O32" i="42"/>
  <c r="Q32" i="42" s="1"/>
  <c r="M32" i="42"/>
  <c r="J32" i="37"/>
  <c r="H32" i="37"/>
  <c r="C32" i="37"/>
  <c r="X32" i="22"/>
  <c r="O32" i="22"/>
  <c r="Q32" i="22" s="1"/>
  <c r="M32" i="22"/>
  <c r="AD32" i="22"/>
  <c r="J32" i="22" s="1"/>
  <c r="J32" i="17"/>
  <c r="C32" i="17"/>
  <c r="J32" i="12"/>
  <c r="J32" i="5"/>
  <c r="C32" i="5"/>
  <c r="Y32" i="50"/>
  <c r="Y32" i="46"/>
  <c r="Y32" i="42"/>
  <c r="Y32" i="38"/>
  <c r="M32" i="36"/>
  <c r="O32" i="35"/>
  <c r="Q32" i="35" s="1"/>
  <c r="M32" i="32"/>
  <c r="O32" i="31"/>
  <c r="Q32" i="31" s="1"/>
  <c r="M32" i="28"/>
  <c r="O32" i="27"/>
  <c r="Q32" i="27" s="1"/>
  <c r="M32" i="24"/>
  <c r="O32" i="23"/>
  <c r="Q32" i="23" s="1"/>
  <c r="Y32" i="18"/>
  <c r="Y32" i="14"/>
  <c r="Y32" i="10"/>
  <c r="Y32" i="6"/>
  <c r="Y32" i="2"/>
  <c r="H3" i="16"/>
  <c r="H3" i="18"/>
  <c r="H3" i="41"/>
  <c r="X32" i="55"/>
  <c r="X32" i="51"/>
  <c r="J32" i="50"/>
  <c r="X32" i="47"/>
  <c r="J32" i="46"/>
  <c r="J32" i="42"/>
  <c r="AD32" i="36"/>
  <c r="AD32" i="32"/>
  <c r="J32" i="32" s="1"/>
  <c r="H32" i="27"/>
  <c r="J32" i="18"/>
  <c r="J32" i="14"/>
  <c r="J32" i="10"/>
  <c r="J32" i="6"/>
  <c r="J32" i="2"/>
  <c r="M32" i="37"/>
  <c r="M32" i="33"/>
  <c r="M32" i="29"/>
  <c r="M32" i="25"/>
  <c r="C32" i="2"/>
  <c r="X3" i="48"/>
  <c r="O32" i="37"/>
  <c r="Q32" i="37" s="1"/>
  <c r="O32" i="33"/>
  <c r="Q32" i="33" s="1"/>
  <c r="O32" i="29"/>
  <c r="Q32" i="29" s="1"/>
  <c r="O32" i="25"/>
  <c r="Q32" i="25" s="1"/>
  <c r="M32" i="2"/>
  <c r="H3" i="5"/>
  <c r="X3" i="29"/>
  <c r="X3" i="40"/>
  <c r="H3" i="42"/>
  <c r="G3" i="50"/>
  <c r="H3" i="50" s="1"/>
  <c r="X32" i="53"/>
  <c r="J32" i="36"/>
  <c r="J32" i="28"/>
  <c r="J32" i="24"/>
  <c r="H32" i="21"/>
  <c r="H32" i="13"/>
  <c r="H3" i="4"/>
  <c r="X3" i="26"/>
  <c r="H3" i="47"/>
  <c r="I11" i="9"/>
  <c r="K11" i="9"/>
  <c r="I26" i="9"/>
  <c r="K26" i="9"/>
  <c r="I29" i="13"/>
  <c r="K29" i="13"/>
  <c r="K12" i="29"/>
  <c r="I12" i="29"/>
  <c r="I29" i="53"/>
  <c r="K29" i="53"/>
  <c r="X3" i="1"/>
  <c r="Q28" i="1"/>
  <c r="Q31" i="1"/>
  <c r="Q5" i="2"/>
  <c r="Q14" i="2"/>
  <c r="Q15" i="2"/>
  <c r="Q16" i="2"/>
  <c r="Q21" i="2"/>
  <c r="K28" i="9"/>
  <c r="I28" i="9"/>
  <c r="I10" i="14"/>
  <c r="K10" i="14"/>
  <c r="K27" i="17"/>
  <c r="I27" i="17"/>
  <c r="K24" i="27"/>
  <c r="I24" i="27"/>
  <c r="I21" i="36"/>
  <c r="K21" i="36"/>
  <c r="Q13" i="1"/>
  <c r="X3" i="2"/>
  <c r="Q7" i="2"/>
  <c r="Q8" i="2"/>
  <c r="I23" i="6"/>
  <c r="K23" i="6"/>
  <c r="Q16" i="12"/>
  <c r="Q30" i="12"/>
  <c r="K12" i="14"/>
  <c r="I12" i="14"/>
  <c r="I22" i="24"/>
  <c r="K22" i="24"/>
  <c r="K23" i="24"/>
  <c r="I23" i="24"/>
  <c r="I20" i="25"/>
  <c r="K20" i="25"/>
  <c r="I15" i="6"/>
  <c r="K15" i="6"/>
  <c r="K31" i="3"/>
  <c r="I31" i="3"/>
  <c r="K18" i="10"/>
  <c r="I18" i="10"/>
  <c r="K31" i="13"/>
  <c r="I31" i="13"/>
  <c r="K15" i="15"/>
  <c r="I15" i="15"/>
  <c r="K18" i="15"/>
  <c r="I18" i="15"/>
  <c r="I24" i="18"/>
  <c r="K24" i="18"/>
  <c r="I23" i="20"/>
  <c r="K23" i="20"/>
  <c r="K26" i="20"/>
  <c r="I26" i="20"/>
  <c r="K8" i="7"/>
  <c r="I8" i="7"/>
  <c r="I25" i="10"/>
  <c r="K25" i="10"/>
  <c r="I13" i="13"/>
  <c r="K13" i="13"/>
  <c r="I24" i="52"/>
  <c r="K24" i="52"/>
  <c r="H3" i="1"/>
  <c r="Q23" i="2"/>
  <c r="I18" i="7"/>
  <c r="K18" i="7"/>
  <c r="Q21" i="14"/>
  <c r="Q29" i="15"/>
  <c r="K10" i="17"/>
  <c r="I21" i="28"/>
  <c r="K21" i="28"/>
  <c r="I5" i="17"/>
  <c r="K5" i="17"/>
  <c r="Q19" i="1"/>
  <c r="Q21" i="1"/>
  <c r="Q26" i="2"/>
  <c r="X3" i="3"/>
  <c r="I26" i="8"/>
  <c r="K26" i="8"/>
  <c r="K20" i="9"/>
  <c r="I20" i="9"/>
  <c r="K13" i="11"/>
  <c r="I13" i="11"/>
  <c r="K21" i="11"/>
  <c r="I21" i="11"/>
  <c r="I14" i="12"/>
  <c r="K14" i="12"/>
  <c r="I30" i="12"/>
  <c r="K30" i="12"/>
  <c r="K31" i="15"/>
  <c r="I31" i="15"/>
  <c r="I11" i="18"/>
  <c r="K11" i="18"/>
  <c r="Q5" i="1"/>
  <c r="Q10" i="2"/>
  <c r="Q11" i="2"/>
  <c r="I31" i="2"/>
  <c r="Q12" i="3"/>
  <c r="I26" i="7"/>
  <c r="K26" i="7"/>
  <c r="K30" i="8"/>
  <c r="I30" i="8"/>
  <c r="I5" i="13"/>
  <c r="K5" i="13"/>
  <c r="I21" i="17"/>
  <c r="K21" i="17"/>
  <c r="Q5" i="3"/>
  <c r="Q8" i="3"/>
  <c r="Q9" i="3"/>
  <c r="Q6" i="4"/>
  <c r="Q19" i="4"/>
  <c r="Q22" i="4"/>
  <c r="H3" i="6"/>
  <c r="Q15" i="6"/>
  <c r="Q11" i="7"/>
  <c r="Q19" i="7"/>
  <c r="Q27" i="8"/>
  <c r="Q14" i="9"/>
  <c r="Q10" i="10"/>
  <c r="K30" i="10"/>
  <c r="Q13" i="11"/>
  <c r="Q12" i="12"/>
  <c r="Q13" i="12"/>
  <c r="Q18" i="12"/>
  <c r="Q10" i="13"/>
  <c r="Q18" i="13"/>
  <c r="Q24" i="13"/>
  <c r="Q30" i="13"/>
  <c r="Q28" i="14"/>
  <c r="Q30" i="14"/>
  <c r="I31" i="14"/>
  <c r="Q17" i="15"/>
  <c r="Q11" i="16"/>
  <c r="Q21" i="17"/>
  <c r="K18" i="18"/>
  <c r="I29" i="19"/>
  <c r="K29" i="19"/>
  <c r="K30" i="20"/>
  <c r="I30" i="20"/>
  <c r="K24" i="21"/>
  <c r="I24" i="21"/>
  <c r="K17" i="22"/>
  <c r="I17" i="22"/>
  <c r="I26" i="24"/>
  <c r="K26" i="24"/>
  <c r="K5" i="26"/>
  <c r="I5" i="26"/>
  <c r="K30" i="28"/>
  <c r="I30" i="28"/>
  <c r="K20" i="29"/>
  <c r="I20" i="29"/>
  <c r="I5" i="36"/>
  <c r="K5" i="36"/>
  <c r="Q7" i="7"/>
  <c r="Q10" i="8"/>
  <c r="Q29" i="8"/>
  <c r="Q27" i="9"/>
  <c r="Q28" i="11"/>
  <c r="H3" i="12"/>
  <c r="Q31" i="12"/>
  <c r="Q26" i="13"/>
  <c r="Q11" i="14"/>
  <c r="Q24" i="14"/>
  <c r="Q25" i="14"/>
  <c r="Q30" i="15"/>
  <c r="Q31" i="16"/>
  <c r="Q25" i="18"/>
  <c r="I13" i="19"/>
  <c r="K13" i="19"/>
  <c r="K8" i="21"/>
  <c r="I8" i="21"/>
  <c r="I30" i="24"/>
  <c r="K30" i="24"/>
  <c r="K23" i="25"/>
  <c r="I23" i="25"/>
  <c r="K25" i="26"/>
  <c r="I25" i="26"/>
  <c r="I18" i="27"/>
  <c r="K18" i="27"/>
  <c r="K17" i="34"/>
  <c r="I17" i="34"/>
  <c r="Q10" i="3"/>
  <c r="Q11" i="3"/>
  <c r="Q21" i="3"/>
  <c r="Q24" i="3"/>
  <c r="Q25" i="3"/>
  <c r="Q17" i="5"/>
  <c r="Q24" i="6"/>
  <c r="H3" i="7"/>
  <c r="I5" i="23"/>
  <c r="K5" i="23"/>
  <c r="K7" i="23"/>
  <c r="I7" i="23"/>
  <c r="Q16" i="23"/>
  <c r="I20" i="23"/>
  <c r="K20" i="23"/>
  <c r="K8" i="26"/>
  <c r="I8" i="26"/>
  <c r="K9" i="26"/>
  <c r="I9" i="26"/>
  <c r="I10" i="26"/>
  <c r="K10" i="26"/>
  <c r="K12" i="26"/>
  <c r="I12" i="26"/>
  <c r="K13" i="26"/>
  <c r="I13" i="26"/>
  <c r="Q22" i="26"/>
  <c r="K23" i="26"/>
  <c r="Q14" i="27"/>
  <c r="I27" i="32"/>
  <c r="K27" i="32"/>
  <c r="Q12" i="4"/>
  <c r="Q26" i="4"/>
  <c r="Q28" i="4"/>
  <c r="Q9" i="5"/>
  <c r="Q10" i="5"/>
  <c r="Q20" i="5"/>
  <c r="Q29" i="5"/>
  <c r="Q30" i="5"/>
  <c r="Q4" i="6"/>
  <c r="Q5" i="6"/>
  <c r="Q17" i="6"/>
  <c r="Q28" i="6"/>
  <c r="Q8" i="7"/>
  <c r="K10" i="7"/>
  <c r="Q15" i="7"/>
  <c r="Q11" i="9"/>
  <c r="Q25" i="10"/>
  <c r="Q21" i="11"/>
  <c r="Q29" i="11"/>
  <c r="I7" i="13"/>
  <c r="I15" i="13"/>
  <c r="K21" i="13"/>
  <c r="X3" i="14"/>
  <c r="Q6" i="14"/>
  <c r="Q19" i="14"/>
  <c r="I20" i="14"/>
  <c r="Q19" i="15"/>
  <c r="Q20" i="15"/>
  <c r="Q25" i="15"/>
  <c r="Q5" i="17"/>
  <c r="I23" i="18"/>
  <c r="I10" i="20"/>
  <c r="I16" i="20"/>
  <c r="K16" i="20"/>
  <c r="K18" i="20"/>
  <c r="I18" i="20"/>
  <c r="I31" i="20"/>
  <c r="K31" i="20"/>
  <c r="I14" i="21"/>
  <c r="K14" i="21"/>
  <c r="I30" i="21"/>
  <c r="K30" i="21"/>
  <c r="I26" i="22"/>
  <c r="K26" i="22"/>
  <c r="I8" i="23"/>
  <c r="K8" i="23"/>
  <c r="K10" i="23"/>
  <c r="I10" i="23"/>
  <c r="I12" i="25"/>
  <c r="K12" i="25"/>
  <c r="Q20" i="25"/>
  <c r="K17" i="26"/>
  <c r="I17" i="26"/>
  <c r="I10" i="32"/>
  <c r="K10" i="32"/>
  <c r="X3" i="8"/>
  <c r="X3" i="11"/>
  <c r="Q23" i="11"/>
  <c r="Q15" i="12"/>
  <c r="I16" i="12"/>
  <c r="Q28" i="12"/>
  <c r="Q29" i="12"/>
  <c r="K19" i="22"/>
  <c r="K23" i="23"/>
  <c r="I23" i="23"/>
  <c r="K13" i="24"/>
  <c r="I13" i="24"/>
  <c r="K31" i="25"/>
  <c r="I31" i="25"/>
  <c r="K29" i="26"/>
  <c r="I29" i="26"/>
  <c r="I30" i="26"/>
  <c r="K30" i="26"/>
  <c r="I5" i="28"/>
  <c r="K5" i="28"/>
  <c r="K6" i="28"/>
  <c r="I6" i="28"/>
  <c r="I8" i="28"/>
  <c r="K8" i="28"/>
  <c r="Q13" i="3"/>
  <c r="Q16" i="3"/>
  <c r="Q17" i="3"/>
  <c r="Q15" i="4"/>
  <c r="Q16" i="4"/>
  <c r="Q17" i="4"/>
  <c r="Q31" i="4"/>
  <c r="Q4" i="5"/>
  <c r="Q13" i="5"/>
  <c r="Q14" i="5"/>
  <c r="Q15" i="5"/>
  <c r="X3" i="6"/>
  <c r="Q6" i="6"/>
  <c r="Q8" i="6"/>
  <c r="Q4" i="7"/>
  <c r="Q10" i="7"/>
  <c r="Q19" i="8"/>
  <c r="Q25" i="8"/>
  <c r="Q4" i="9"/>
  <c r="Q6" i="9"/>
  <c r="Q12" i="9"/>
  <c r="Q25" i="9"/>
  <c r="Q7" i="10"/>
  <c r="Q14" i="10"/>
  <c r="Q20" i="10"/>
  <c r="Q26" i="10"/>
  <c r="Q12" i="11"/>
  <c r="Q17" i="11"/>
  <c r="Q31" i="11"/>
  <c r="Q6" i="13"/>
  <c r="Q14" i="13"/>
  <c r="Q8" i="14"/>
  <c r="Q9" i="14"/>
  <c r="Q14" i="14"/>
  <c r="Q27" i="14"/>
  <c r="I28" i="14"/>
  <c r="Q22" i="15"/>
  <c r="I23" i="15"/>
  <c r="Q27" i="15"/>
  <c r="Q28" i="15"/>
  <c r="Q10" i="16"/>
  <c r="I11" i="16"/>
  <c r="Q15" i="16"/>
  <c r="Q6" i="17"/>
  <c r="Q13" i="17"/>
  <c r="Q19" i="17"/>
  <c r="I17" i="18"/>
  <c r="K17" i="18"/>
  <c r="I24" i="23"/>
  <c r="K24" i="23"/>
  <c r="K6" i="27"/>
  <c r="I6" i="27"/>
  <c r="K8" i="27"/>
  <c r="I8" i="27"/>
  <c r="K10" i="27"/>
  <c r="I10" i="27"/>
  <c r="K25" i="31"/>
  <c r="I25" i="31"/>
  <c r="Q30" i="3"/>
  <c r="Q6" i="5"/>
  <c r="Q7" i="5"/>
  <c r="Q10" i="6"/>
  <c r="Q11" i="6"/>
  <c r="Q12" i="6"/>
  <c r="Q13" i="6"/>
  <c r="Q20" i="6"/>
  <c r="Q21" i="6"/>
  <c r="Q22" i="6"/>
  <c r="Q30" i="6"/>
  <c r="Q31" i="6"/>
  <c r="Q14" i="8"/>
  <c r="Q26" i="8"/>
  <c r="X3" i="9"/>
  <c r="Q9" i="10"/>
  <c r="Q15" i="10"/>
  <c r="Q28" i="10"/>
  <c r="Q25" i="11"/>
  <c r="Q26" i="11"/>
  <c r="X3" i="12"/>
  <c r="Q10" i="12"/>
  <c r="Q23" i="12"/>
  <c r="I24" i="12"/>
  <c r="H3" i="13"/>
  <c r="Q23" i="16"/>
  <c r="Q12" i="18"/>
  <c r="Q13" i="18"/>
  <c r="Q21" i="23"/>
  <c r="K30" i="23"/>
  <c r="I30" i="23"/>
  <c r="Q9" i="24"/>
  <c r="Q7" i="25"/>
  <c r="K22" i="27"/>
  <c r="I22" i="27"/>
  <c r="I9" i="31"/>
  <c r="K9" i="31"/>
  <c r="Q19" i="18"/>
  <c r="Q27" i="20"/>
  <c r="Q18" i="22"/>
  <c r="Q7" i="23"/>
  <c r="Q25" i="23"/>
  <c r="X3" i="24"/>
  <c r="Q9" i="25"/>
  <c r="Q11" i="25"/>
  <c r="Q31" i="25"/>
  <c r="Q5" i="26"/>
  <c r="Q9" i="26"/>
  <c r="Q13" i="26"/>
  <c r="Q8" i="27"/>
  <c r="Q25" i="27"/>
  <c r="Q11" i="28"/>
  <c r="Q16" i="28"/>
  <c r="Q12" i="29"/>
  <c r="K13" i="32"/>
  <c r="I13" i="32"/>
  <c r="I7" i="36"/>
  <c r="K7" i="36"/>
  <c r="K29" i="40"/>
  <c r="I29" i="40"/>
  <c r="Q22" i="19"/>
  <c r="Q23" i="19"/>
  <c r="Q24" i="19"/>
  <c r="I27" i="19"/>
  <c r="Q30" i="19"/>
  <c r="Q31" i="19"/>
  <c r="Q9" i="20"/>
  <c r="Q16" i="21"/>
  <c r="I26" i="29"/>
  <c r="K26" i="29"/>
  <c r="I27" i="29"/>
  <c r="K27" i="29"/>
  <c r="I29" i="31"/>
  <c r="K29" i="31"/>
  <c r="I10" i="42"/>
  <c r="K10" i="42"/>
  <c r="I21" i="45"/>
  <c r="K21" i="45"/>
  <c r="Q15" i="21"/>
  <c r="I15" i="23"/>
  <c r="Q17" i="23"/>
  <c r="K13" i="25"/>
  <c r="K7" i="26"/>
  <c r="Q9" i="27"/>
  <c r="Q16" i="27"/>
  <c r="Q7" i="28"/>
  <c r="Q25" i="28"/>
  <c r="I5" i="29"/>
  <c r="K5" i="29"/>
  <c r="K28" i="29"/>
  <c r="I28" i="29"/>
  <c r="K12" i="31"/>
  <c r="K28" i="31"/>
  <c r="AD3" i="34"/>
  <c r="K23" i="35"/>
  <c r="I23" i="35"/>
  <c r="I30" i="37"/>
  <c r="K30" i="37"/>
  <c r="I21" i="41"/>
  <c r="K21" i="41"/>
  <c r="Q14" i="18"/>
  <c r="I28" i="18"/>
  <c r="Q13" i="19"/>
  <c r="Q18" i="19"/>
  <c r="Q17" i="20"/>
  <c r="Q18" i="20"/>
  <c r="Q24" i="20"/>
  <c r="Q30" i="20"/>
  <c r="Q8" i="21"/>
  <c r="I10" i="21"/>
  <c r="Q24" i="21"/>
  <c r="Q31" i="21"/>
  <c r="I16" i="22"/>
  <c r="Q24" i="22"/>
  <c r="Q27" i="22"/>
  <c r="Q8" i="23"/>
  <c r="Q23" i="23"/>
  <c r="H3" i="24"/>
  <c r="Q17" i="24"/>
  <c r="I20" i="24"/>
  <c r="I25" i="24"/>
  <c r="Q28" i="24"/>
  <c r="Q29" i="24"/>
  <c r="Q4" i="25"/>
  <c r="Q12" i="25"/>
  <c r="Q16" i="26"/>
  <c r="Q10" i="27"/>
  <c r="Q23" i="27"/>
  <c r="I23" i="28"/>
  <c r="Q23" i="29"/>
  <c r="K27" i="30"/>
  <c r="I27" i="30"/>
  <c r="I6" i="34"/>
  <c r="K6" i="34"/>
  <c r="I15" i="39"/>
  <c r="K15" i="39"/>
  <c r="I24" i="39"/>
  <c r="K24" i="39"/>
  <c r="K10" i="41"/>
  <c r="I10" i="41"/>
  <c r="I31" i="23"/>
  <c r="I7" i="25"/>
  <c r="H3" i="26"/>
  <c r="K18" i="30"/>
  <c r="I18" i="30"/>
  <c r="K17" i="31"/>
  <c r="I17" i="31"/>
  <c r="K18" i="31"/>
  <c r="I18" i="31"/>
  <c r="K21" i="32"/>
  <c r="I21" i="32"/>
  <c r="I31" i="32"/>
  <c r="K31" i="32"/>
  <c r="I7" i="34"/>
  <c r="K7" i="34"/>
  <c r="K24" i="34"/>
  <c r="I24" i="34"/>
  <c r="K25" i="34"/>
  <c r="I25" i="34"/>
  <c r="K14" i="35"/>
  <c r="I14" i="35"/>
  <c r="K15" i="35"/>
  <c r="I15" i="35"/>
  <c r="I27" i="36"/>
  <c r="K27" i="36"/>
  <c r="K29" i="36"/>
  <c r="I29" i="36"/>
  <c r="K8" i="38"/>
  <c r="I8" i="38"/>
  <c r="K15" i="42"/>
  <c r="I15" i="42"/>
  <c r="Q26" i="17"/>
  <c r="K15" i="19"/>
  <c r="Q19" i="19"/>
  <c r="Q20" i="19"/>
  <c r="H3" i="20"/>
  <c r="Q13" i="20"/>
  <c r="Q25" i="20"/>
  <c r="Q31" i="20"/>
  <c r="K5" i="21"/>
  <c r="Q9" i="21"/>
  <c r="K21" i="21"/>
  <c r="Q25" i="21"/>
  <c r="X3" i="22"/>
  <c r="Q16" i="22"/>
  <c r="Q25" i="22"/>
  <c r="Q5" i="23"/>
  <c r="I11" i="23"/>
  <c r="Q30" i="23"/>
  <c r="I5" i="24"/>
  <c r="Q19" i="24"/>
  <c r="X3" i="25"/>
  <c r="Q6" i="25"/>
  <c r="Q13" i="25"/>
  <c r="Q14" i="25"/>
  <c r="Q7" i="26"/>
  <c r="Q17" i="26"/>
  <c r="Q6" i="27"/>
  <c r="Q11" i="27"/>
  <c r="Q12" i="27"/>
  <c r="K28" i="27"/>
  <c r="X3" i="28"/>
  <c r="K15" i="28"/>
  <c r="K24" i="28"/>
  <c r="I16" i="29"/>
  <c r="K16" i="29"/>
  <c r="I6" i="30"/>
  <c r="K6" i="30"/>
  <c r="K21" i="30"/>
  <c r="I21" i="30"/>
  <c r="K23" i="31"/>
  <c r="I23" i="31"/>
  <c r="I31" i="31"/>
  <c r="K31" i="31"/>
  <c r="I9" i="33"/>
  <c r="K9" i="33"/>
  <c r="K11" i="33"/>
  <c r="I11" i="33"/>
  <c r="I19" i="33"/>
  <c r="I29" i="35"/>
  <c r="K29" i="35"/>
  <c r="Q14" i="20"/>
  <c r="Q15" i="20"/>
  <c r="Q26" i="20"/>
  <c r="Q17" i="22"/>
  <c r="Q6" i="23"/>
  <c r="Q10" i="23"/>
  <c r="Q13" i="24"/>
  <c r="Q21" i="24"/>
  <c r="Q25" i="26"/>
  <c r="Q7" i="27"/>
  <c r="Q23" i="28"/>
  <c r="Q5" i="29"/>
  <c r="K7" i="31"/>
  <c r="I7" i="31"/>
  <c r="K8" i="31"/>
  <c r="I8" i="31"/>
  <c r="I24" i="31"/>
  <c r="K24" i="31"/>
  <c r="I15" i="34"/>
  <c r="K15" i="34"/>
  <c r="I5" i="35"/>
  <c r="K5" i="35"/>
  <c r="K6" i="35"/>
  <c r="I6" i="35"/>
  <c r="K17" i="36"/>
  <c r="I17" i="36"/>
  <c r="I19" i="36"/>
  <c r="K19" i="36"/>
  <c r="I7" i="39"/>
  <c r="K7" i="39"/>
  <c r="I5" i="42"/>
  <c r="K5" i="42"/>
  <c r="I18" i="43"/>
  <c r="K18" i="43"/>
  <c r="Q16" i="29"/>
  <c r="Q19" i="30"/>
  <c r="Q7" i="31"/>
  <c r="Q21" i="31"/>
  <c r="Q23" i="31"/>
  <c r="Q27" i="31"/>
  <c r="Q31" i="31"/>
  <c r="Q4" i="32"/>
  <c r="Q13" i="32"/>
  <c r="Q17" i="34"/>
  <c r="K6" i="38"/>
  <c r="I6" i="38"/>
  <c r="I24" i="41"/>
  <c r="K24" i="41"/>
  <c r="I31" i="41"/>
  <c r="K31" i="41"/>
  <c r="I8" i="42"/>
  <c r="K8" i="42"/>
  <c r="K23" i="45"/>
  <c r="I23" i="45"/>
  <c r="I19" i="35"/>
  <c r="I12" i="40"/>
  <c r="K12" i="40"/>
  <c r="I16" i="42"/>
  <c r="K16" i="42"/>
  <c r="K26" i="42"/>
  <c r="I24" i="43"/>
  <c r="K24" i="43"/>
  <c r="I26" i="50"/>
  <c r="K26" i="50"/>
  <c r="K24" i="54"/>
  <c r="I24" i="54"/>
  <c r="K12" i="30"/>
  <c r="Q20" i="30"/>
  <c r="Q16" i="31"/>
  <c r="I9" i="34"/>
  <c r="Q23" i="34"/>
  <c r="Q13" i="35"/>
  <c r="I23" i="36"/>
  <c r="K25" i="36"/>
  <c r="I25" i="36"/>
  <c r="K28" i="37"/>
  <c r="I28" i="37"/>
  <c r="I6" i="39"/>
  <c r="I23" i="51"/>
  <c r="K23" i="51"/>
  <c r="I25" i="51"/>
  <c r="K25" i="51"/>
  <c r="K23" i="55"/>
  <c r="I23" i="55"/>
  <c r="Q22" i="30"/>
  <c r="Q26" i="30"/>
  <c r="Q4" i="31"/>
  <c r="I14" i="31"/>
  <c r="Q24" i="31"/>
  <c r="H3" i="32"/>
  <c r="I12" i="32"/>
  <c r="X3" i="33"/>
  <c r="I7" i="33"/>
  <c r="Q10" i="33"/>
  <c r="Q31" i="33"/>
  <c r="J4" i="34"/>
  <c r="I16" i="34"/>
  <c r="Q5" i="35"/>
  <c r="H3" i="36"/>
  <c r="Q6" i="36"/>
  <c r="Q17" i="36"/>
  <c r="Q22" i="36"/>
  <c r="I8" i="37"/>
  <c r="I10" i="37"/>
  <c r="K10" i="37"/>
  <c r="I28" i="39"/>
  <c r="K28" i="39"/>
  <c r="Q7" i="41"/>
  <c r="Q16" i="43"/>
  <c r="Q17" i="43"/>
  <c r="H3" i="51"/>
  <c r="I22" i="52"/>
  <c r="K22" i="52"/>
  <c r="Q23" i="30"/>
  <c r="Q6" i="33"/>
  <c r="Q27" i="33"/>
  <c r="Q10" i="35"/>
  <c r="Q14" i="35"/>
  <c r="Q13" i="36"/>
  <c r="Q29" i="36"/>
  <c r="X3" i="39"/>
  <c r="Q6" i="39"/>
  <c r="I10" i="39"/>
  <c r="K10" i="39"/>
  <c r="Q24" i="41"/>
  <c r="K22" i="42"/>
  <c r="I22" i="42"/>
  <c r="K23" i="42"/>
  <c r="I23" i="42"/>
  <c r="I27" i="47"/>
  <c r="K27" i="47"/>
  <c r="I29" i="47"/>
  <c r="K29" i="47"/>
  <c r="X3" i="34"/>
  <c r="K25" i="37"/>
  <c r="K23" i="38"/>
  <c r="I13" i="39"/>
  <c r="K13" i="39"/>
  <c r="I18" i="39"/>
  <c r="K18" i="39"/>
  <c r="K18" i="41"/>
  <c r="I18" i="41"/>
  <c r="X3" i="45"/>
  <c r="K25" i="46"/>
  <c r="Q24" i="28"/>
  <c r="Q31" i="28"/>
  <c r="Q13" i="29"/>
  <c r="Q21" i="29"/>
  <c r="Q22" i="29"/>
  <c r="Q7" i="30"/>
  <c r="K19" i="30"/>
  <c r="Q28" i="30"/>
  <c r="Q19" i="31"/>
  <c r="Q24" i="32"/>
  <c r="Q28" i="33"/>
  <c r="Q5" i="34"/>
  <c r="Q25" i="34"/>
  <c r="Q31" i="34"/>
  <c r="Q15" i="35"/>
  <c r="Q14" i="36"/>
  <c r="Q19" i="36"/>
  <c r="Q30" i="36"/>
  <c r="H3" i="37"/>
  <c r="I19" i="37"/>
  <c r="Q28" i="37"/>
  <c r="Q8" i="38"/>
  <c r="I16" i="38"/>
  <c r="K16" i="38"/>
  <c r="Q26" i="38"/>
  <c r="K28" i="38"/>
  <c r="Q18" i="42"/>
  <c r="Q19" i="42"/>
  <c r="I14" i="43"/>
  <c r="K14" i="43"/>
  <c r="Q26" i="43"/>
  <c r="I27" i="44"/>
  <c r="K31" i="45"/>
  <c r="I31" i="45"/>
  <c r="Q29" i="46"/>
  <c r="Q31" i="53"/>
  <c r="Q21" i="54"/>
  <c r="Q29" i="54"/>
  <c r="Q28" i="55"/>
  <c r="Q18" i="37"/>
  <c r="Q24" i="37"/>
  <c r="Q9" i="38"/>
  <c r="Q16" i="38"/>
  <c r="Q14" i="39"/>
  <c r="Q9" i="41"/>
  <c r="Q16" i="41"/>
  <c r="Q17" i="41"/>
  <c r="Q21" i="41"/>
  <c r="Q8" i="42"/>
  <c r="Q31" i="43"/>
  <c r="Q30" i="45"/>
  <c r="Q29" i="47"/>
  <c r="I31" i="47"/>
  <c r="H3" i="48"/>
  <c r="Q22" i="53"/>
  <c r="I25" i="53"/>
  <c r="Q22" i="54"/>
  <c r="Q30" i="54"/>
  <c r="Q19" i="37"/>
  <c r="Q20" i="37"/>
  <c r="Q25" i="37"/>
  <c r="Q4" i="38"/>
  <c r="Q10" i="38"/>
  <c r="Q28" i="38"/>
  <c r="Q29" i="39"/>
  <c r="Q18" i="40"/>
  <c r="Q23" i="41"/>
  <c r="Q27" i="41"/>
  <c r="Q9" i="42"/>
  <c r="Q26" i="42"/>
  <c r="Q6" i="43"/>
  <c r="Q8" i="43"/>
  <c r="Q21" i="44"/>
  <c r="Q22" i="45"/>
  <c r="I25" i="45"/>
  <c r="Q30" i="46"/>
  <c r="I23" i="47"/>
  <c r="Q26" i="47"/>
  <c r="Q23" i="53"/>
  <c r="X3" i="55"/>
  <c r="Q19" i="40"/>
  <c r="Q5" i="42"/>
  <c r="Q10" i="42"/>
  <c r="Q22" i="42"/>
  <c r="Q27" i="42"/>
  <c r="Q9" i="43"/>
  <c r="Q24" i="45"/>
  <c r="Q27" i="47"/>
  <c r="Q23" i="49"/>
  <c r="Q24" i="49"/>
  <c r="Q25" i="49"/>
  <c r="Q31" i="49"/>
  <c r="Q31" i="51"/>
  <c r="Q24" i="52"/>
  <c r="Q25" i="52"/>
  <c r="I26" i="52"/>
  <c r="Q29" i="53"/>
  <c r="H3" i="54"/>
  <c r="Q28" i="36"/>
  <c r="Q5" i="37"/>
  <c r="Q16" i="37"/>
  <c r="Q17" i="37"/>
  <c r="Q14" i="38"/>
  <c r="Q21" i="38"/>
  <c r="Q22" i="38"/>
  <c r="I26" i="38"/>
  <c r="Q30" i="38"/>
  <c r="K12" i="39"/>
  <c r="Q19" i="39"/>
  <c r="Q20" i="39"/>
  <c r="Q21" i="39"/>
  <c r="Q26" i="39"/>
  <c r="Q30" i="39"/>
  <c r="Q7" i="40"/>
  <c r="I10" i="40"/>
  <c r="Q25" i="40"/>
  <c r="Q26" i="40"/>
  <c r="Q11" i="41"/>
  <c r="Q6" i="42"/>
  <c r="Q14" i="43"/>
  <c r="I16" i="43"/>
  <c r="Q20" i="43"/>
  <c r="Q24" i="43"/>
  <c r="Q22" i="44"/>
  <c r="Q23" i="44"/>
  <c r="Q31" i="45"/>
  <c r="I24" i="46"/>
  <c r="Q27" i="46"/>
  <c r="Q26" i="50"/>
  <c r="Q22" i="52"/>
  <c r="K21" i="53"/>
  <c r="Q24" i="55"/>
  <c r="Q25" i="55"/>
  <c r="Q23" i="38"/>
  <c r="Q9" i="40"/>
  <c r="Q27" i="40"/>
  <c r="Q4" i="43"/>
  <c r="Q25" i="43"/>
  <c r="Q29" i="44"/>
  <c r="Q30" i="44"/>
  <c r="Q31" i="44"/>
  <c r="Q28" i="46"/>
  <c r="Q28" i="49"/>
  <c r="Q23" i="51"/>
  <c r="Q27" i="54"/>
  <c r="Q28" i="54"/>
  <c r="Q27" i="55"/>
  <c r="K12" i="1"/>
  <c r="I12" i="1"/>
  <c r="I5" i="2"/>
  <c r="K5" i="2"/>
  <c r="K6" i="7"/>
  <c r="I6" i="7"/>
  <c r="K15" i="8"/>
  <c r="I15" i="8"/>
  <c r="K12" i="13"/>
  <c r="I12" i="13"/>
  <c r="I13" i="17"/>
  <c r="K13" i="17"/>
  <c r="K17" i="1"/>
  <c r="I17" i="1"/>
  <c r="I14" i="4"/>
  <c r="K14" i="4"/>
  <c r="I20" i="5"/>
  <c r="K20" i="5"/>
  <c r="K8" i="10"/>
  <c r="I8" i="10"/>
  <c r="I28" i="12"/>
  <c r="K28" i="12"/>
  <c r="I17" i="16"/>
  <c r="K17" i="16"/>
  <c r="I29" i="18"/>
  <c r="K29" i="18"/>
  <c r="K26" i="28"/>
  <c r="I26" i="28"/>
  <c r="I31" i="1"/>
  <c r="K31" i="1"/>
  <c r="I23" i="2"/>
  <c r="K23" i="2"/>
  <c r="I29" i="3"/>
  <c r="K29" i="3"/>
  <c r="I12" i="5"/>
  <c r="K12" i="5"/>
  <c r="K30" i="7"/>
  <c r="I30" i="7"/>
  <c r="I29" i="8"/>
  <c r="K29" i="8"/>
  <c r="I5" i="14"/>
  <c r="K5" i="14"/>
  <c r="K12" i="16"/>
  <c r="I12" i="16"/>
  <c r="K11" i="41"/>
  <c r="I11" i="41"/>
  <c r="I20" i="1"/>
  <c r="K20" i="1"/>
  <c r="I5" i="3"/>
  <c r="K5" i="3"/>
  <c r="AD3" i="5"/>
  <c r="J4" i="5"/>
  <c r="K10" i="8"/>
  <c r="I10" i="8"/>
  <c r="K19" i="11"/>
  <c r="I19" i="11"/>
  <c r="K20" i="16"/>
  <c r="I20" i="16"/>
  <c r="I25" i="16"/>
  <c r="K25" i="16"/>
  <c r="I23" i="1"/>
  <c r="K23" i="1"/>
  <c r="K25" i="1"/>
  <c r="I25" i="1"/>
  <c r="I8" i="3"/>
  <c r="K8" i="3"/>
  <c r="K19" i="4"/>
  <c r="I19" i="4"/>
  <c r="K7" i="6"/>
  <c r="I7" i="6"/>
  <c r="I21" i="9"/>
  <c r="K21" i="9"/>
  <c r="I8" i="14"/>
  <c r="K8" i="14"/>
  <c r="I13" i="14"/>
  <c r="K13" i="14"/>
  <c r="I13" i="3"/>
  <c r="K13" i="3"/>
  <c r="K11" i="4"/>
  <c r="I11" i="4"/>
  <c r="K27" i="4"/>
  <c r="I27" i="4"/>
  <c r="I28" i="5"/>
  <c r="K28" i="5"/>
  <c r="I24" i="6"/>
  <c r="K24" i="6"/>
  <c r="K27" i="7"/>
  <c r="I27" i="7"/>
  <c r="I24" i="14"/>
  <c r="K24" i="14"/>
  <c r="K10" i="18"/>
  <c r="I10" i="18"/>
  <c r="K22" i="30"/>
  <c r="I22" i="30"/>
  <c r="I15" i="1"/>
  <c r="K15" i="1"/>
  <c r="I16" i="3"/>
  <c r="K16" i="3"/>
  <c r="I30" i="4"/>
  <c r="K30" i="4"/>
  <c r="I11" i="11"/>
  <c r="K11" i="11"/>
  <c r="AD3" i="1"/>
  <c r="J4" i="1"/>
  <c r="K28" i="2"/>
  <c r="I28" i="2"/>
  <c r="I21" i="3"/>
  <c r="K21" i="3"/>
  <c r="J6" i="4"/>
  <c r="AD3" i="4"/>
  <c r="I22" i="4"/>
  <c r="K22" i="4"/>
  <c r="I10" i="6"/>
  <c r="K10" i="6"/>
  <c r="K12" i="6"/>
  <c r="I12" i="6"/>
  <c r="K25" i="7"/>
  <c r="I25" i="7"/>
  <c r="I31" i="7"/>
  <c r="K31" i="7"/>
  <c r="I5" i="8"/>
  <c r="K5" i="8"/>
  <c r="I12" i="12"/>
  <c r="K12" i="12"/>
  <c r="I17" i="12"/>
  <c r="K17" i="12"/>
  <c r="K28" i="16"/>
  <c r="I28" i="16"/>
  <c r="I22" i="19"/>
  <c r="K22" i="19"/>
  <c r="K8" i="22"/>
  <c r="I8" i="22"/>
  <c r="I7" i="1"/>
  <c r="K7" i="1"/>
  <c r="K9" i="1"/>
  <c r="I9" i="1"/>
  <c r="I28" i="1"/>
  <c r="K28" i="1"/>
  <c r="I24" i="3"/>
  <c r="K24" i="3"/>
  <c r="K22" i="6"/>
  <c r="I22" i="6"/>
  <c r="K9" i="13"/>
  <c r="I9" i="13"/>
  <c r="K17" i="13"/>
  <c r="I17" i="13"/>
  <c r="I16" i="14"/>
  <c r="K16" i="14"/>
  <c r="I21" i="14"/>
  <c r="K21" i="14"/>
  <c r="I13" i="2"/>
  <c r="K13" i="2"/>
  <c r="K20" i="7"/>
  <c r="I20" i="7"/>
  <c r="I12" i="8"/>
  <c r="K12" i="8"/>
  <c r="I24" i="9"/>
  <c r="K24" i="9"/>
  <c r="K29" i="9"/>
  <c r="I29" i="9"/>
  <c r="K5" i="10"/>
  <c r="J3" i="10"/>
  <c r="I5" i="10"/>
  <c r="I20" i="12"/>
  <c r="K20" i="12"/>
  <c r="I25" i="12"/>
  <c r="K25" i="12"/>
  <c r="K25" i="13"/>
  <c r="I25" i="13"/>
  <c r="I29" i="14"/>
  <c r="K29" i="14"/>
  <c r="K10" i="15"/>
  <c r="J3" i="15"/>
  <c r="I10" i="15"/>
  <c r="K16" i="18"/>
  <c r="I16" i="18"/>
  <c r="K8" i="1"/>
  <c r="I8" i="1"/>
  <c r="AD3" i="2"/>
  <c r="J4" i="2"/>
  <c r="K10" i="4"/>
  <c r="I10" i="4"/>
  <c r="I26" i="4"/>
  <c r="K26" i="4"/>
  <c r="I23" i="7"/>
  <c r="K23" i="7"/>
  <c r="K20" i="10"/>
  <c r="I20" i="10"/>
  <c r="K24" i="2"/>
  <c r="I24" i="2"/>
  <c r="K5" i="1"/>
  <c r="I5" i="1"/>
  <c r="K13" i="1"/>
  <c r="I13" i="1"/>
  <c r="K9" i="2"/>
  <c r="I9" i="2"/>
  <c r="K15" i="4"/>
  <c r="I15" i="4"/>
  <c r="K8" i="5"/>
  <c r="I8" i="5"/>
  <c r="K16" i="5"/>
  <c r="I16" i="5"/>
  <c r="AD3" i="6"/>
  <c r="K31" i="9"/>
  <c r="I31" i="9"/>
  <c r="I10" i="10"/>
  <c r="K23" i="10"/>
  <c r="I23" i="10"/>
  <c r="I30" i="11"/>
  <c r="K30" i="11"/>
  <c r="K11" i="12"/>
  <c r="I11" i="12"/>
  <c r="I18" i="13"/>
  <c r="K18" i="13"/>
  <c r="I16" i="15"/>
  <c r="K16" i="15"/>
  <c r="H3" i="17"/>
  <c r="I6" i="18"/>
  <c r="K6" i="18"/>
  <c r="J9" i="35"/>
  <c r="AD3" i="35"/>
  <c r="K7" i="40"/>
  <c r="I7" i="40"/>
  <c r="AD3" i="3"/>
  <c r="K20" i="3"/>
  <c r="I20" i="3"/>
  <c r="K11" i="10"/>
  <c r="I11" i="10"/>
  <c r="I24" i="11"/>
  <c r="AD3" i="13"/>
  <c r="K24" i="1"/>
  <c r="I24" i="1"/>
  <c r="K18" i="4"/>
  <c r="I18" i="4"/>
  <c r="K27" i="12"/>
  <c r="I27" i="12"/>
  <c r="K26" i="15"/>
  <c r="I26" i="15"/>
  <c r="I8" i="17"/>
  <c r="K8" i="17"/>
  <c r="K18" i="17"/>
  <c r="I24" i="17"/>
  <c r="K24" i="17"/>
  <c r="K28" i="17"/>
  <c r="I29" i="21"/>
  <c r="K29" i="21"/>
  <c r="I9" i="25"/>
  <c r="K9" i="25"/>
  <c r="I23" i="41"/>
  <c r="K23" i="41"/>
  <c r="K26" i="43"/>
  <c r="I26" i="43"/>
  <c r="I23" i="44"/>
  <c r="K23" i="44"/>
  <c r="I20" i="2"/>
  <c r="K7" i="5"/>
  <c r="K15" i="5"/>
  <c r="I14" i="7"/>
  <c r="K14" i="7"/>
  <c r="K24" i="8"/>
  <c r="K17" i="9"/>
  <c r="I17" i="9"/>
  <c r="I22" i="10"/>
  <c r="K22" i="10"/>
  <c r="K28" i="10"/>
  <c r="I28" i="10"/>
  <c r="K19" i="12"/>
  <c r="I19" i="12"/>
  <c r="K7" i="14"/>
  <c r="I7" i="14"/>
  <c r="K30" i="16"/>
  <c r="I30" i="16"/>
  <c r="K21" i="18"/>
  <c r="I21" i="18"/>
  <c r="I14" i="19"/>
  <c r="K14" i="19"/>
  <c r="I28" i="19"/>
  <c r="K28" i="19"/>
  <c r="K6" i="24"/>
  <c r="I17" i="25"/>
  <c r="K17" i="25"/>
  <c r="K13" i="29"/>
  <c r="I13" i="29"/>
  <c r="K28" i="35"/>
  <c r="I24" i="40"/>
  <c r="K24" i="40"/>
  <c r="K29" i="1"/>
  <c r="I29" i="1"/>
  <c r="K17" i="2"/>
  <c r="I17" i="2"/>
  <c r="H3" i="3"/>
  <c r="K11" i="3"/>
  <c r="K19" i="3"/>
  <c r="I23" i="3"/>
  <c r="K7" i="4"/>
  <c r="I7" i="4"/>
  <c r="K23" i="4"/>
  <c r="I23" i="4"/>
  <c r="I24" i="5"/>
  <c r="K24" i="5"/>
  <c r="I27" i="6"/>
  <c r="K27" i="6"/>
  <c r="K18" i="9"/>
  <c r="I18" i="9"/>
  <c r="AD3" i="10"/>
  <c r="I16" i="10"/>
  <c r="K16" i="10"/>
  <c r="I25" i="11"/>
  <c r="K25" i="11"/>
  <c r="I23" i="16"/>
  <c r="K23" i="16"/>
  <c r="K20" i="17"/>
  <c r="I20" i="17"/>
  <c r="K30" i="17"/>
  <c r="I30" i="17"/>
  <c r="K27" i="28"/>
  <c r="I27" i="28"/>
  <c r="I21" i="29"/>
  <c r="K21" i="29"/>
  <c r="K10" i="35"/>
  <c r="I10" i="35"/>
  <c r="J21" i="40"/>
  <c r="J3" i="40" s="1"/>
  <c r="AD3" i="40"/>
  <c r="I12" i="3"/>
  <c r="K12" i="3"/>
  <c r="K28" i="3"/>
  <c r="I28" i="3"/>
  <c r="K18" i="6"/>
  <c r="I18" i="6"/>
  <c r="K13" i="9"/>
  <c r="I29" i="15"/>
  <c r="K29" i="15"/>
  <c r="K22" i="16"/>
  <c r="I22" i="16"/>
  <c r="K15" i="17"/>
  <c r="I15" i="17"/>
  <c r="K8" i="18"/>
  <c r="I8" i="18"/>
  <c r="K27" i="18"/>
  <c r="I27" i="18"/>
  <c r="I24" i="20"/>
  <c r="K24" i="20"/>
  <c r="K25" i="20"/>
  <c r="I25" i="20"/>
  <c r="K9" i="28"/>
  <c r="I9" i="28"/>
  <c r="K19" i="28"/>
  <c r="I19" i="28"/>
  <c r="K6" i="2"/>
  <c r="I6" i="2"/>
  <c r="K14" i="2"/>
  <c r="I14" i="2"/>
  <c r="I25" i="2"/>
  <c r="K29" i="2"/>
  <c r="K4" i="4"/>
  <c r="I4" i="4"/>
  <c r="K12" i="4"/>
  <c r="I12" i="4"/>
  <c r="K20" i="4"/>
  <c r="I20" i="4"/>
  <c r="K28" i="4"/>
  <c r="I28" i="4"/>
  <c r="K5" i="5"/>
  <c r="I5" i="5"/>
  <c r="K13" i="5"/>
  <c r="I13" i="5"/>
  <c r="K21" i="5"/>
  <c r="I21" i="5"/>
  <c r="K29" i="5"/>
  <c r="I29" i="5"/>
  <c r="J4" i="6"/>
  <c r="K14" i="6"/>
  <c r="I14" i="6"/>
  <c r="K17" i="6"/>
  <c r="K19" i="6"/>
  <c r="I19" i="6"/>
  <c r="I9" i="7"/>
  <c r="K16" i="7"/>
  <c r="I16" i="7"/>
  <c r="I28" i="7"/>
  <c r="K28" i="7"/>
  <c r="I20" i="8"/>
  <c r="K9" i="9"/>
  <c r="I9" i="9"/>
  <c r="K14" i="9"/>
  <c r="I14" i="9"/>
  <c r="K24" i="10"/>
  <c r="I24" i="10"/>
  <c r="J4" i="13"/>
  <c r="I10" i="13"/>
  <c r="K10" i="13"/>
  <c r="I23" i="13"/>
  <c r="I15" i="16"/>
  <c r="K15" i="16"/>
  <c r="I16" i="17"/>
  <c r="K16" i="17"/>
  <c r="K26" i="17"/>
  <c r="K16" i="19"/>
  <c r="I16" i="19"/>
  <c r="I12" i="20"/>
  <c r="I15" i="21"/>
  <c r="I6" i="26"/>
  <c r="K6" i="26"/>
  <c r="K28" i="26"/>
  <c r="I28" i="26"/>
  <c r="K9" i="27"/>
  <c r="I9" i="27"/>
  <c r="I6" i="1"/>
  <c r="K10" i="1"/>
  <c r="I14" i="1"/>
  <c r="K18" i="1"/>
  <c r="I22" i="1"/>
  <c r="K26" i="1"/>
  <c r="I30" i="1"/>
  <c r="I10" i="2"/>
  <c r="I18" i="2"/>
  <c r="I22" i="2"/>
  <c r="K22" i="2"/>
  <c r="Q24" i="2"/>
  <c r="K30" i="2"/>
  <c r="I30" i="2"/>
  <c r="K9" i="3"/>
  <c r="I9" i="3"/>
  <c r="K17" i="3"/>
  <c r="I17" i="3"/>
  <c r="K25" i="3"/>
  <c r="I25" i="3"/>
  <c r="I8" i="4"/>
  <c r="I16" i="4"/>
  <c r="I24" i="4"/>
  <c r="I9" i="5"/>
  <c r="I17" i="5"/>
  <c r="I25" i="5"/>
  <c r="K5" i="6"/>
  <c r="I9" i="6"/>
  <c r="K13" i="6"/>
  <c r="K21" i="6"/>
  <c r="I21" i="6"/>
  <c r="K28" i="6"/>
  <c r="K29" i="6"/>
  <c r="I29" i="6"/>
  <c r="K15" i="7"/>
  <c r="K17" i="7"/>
  <c r="I17" i="7"/>
  <c r="Q31" i="7"/>
  <c r="AD3" i="8"/>
  <c r="J4" i="8"/>
  <c r="K9" i="8"/>
  <c r="I9" i="8"/>
  <c r="K8" i="9"/>
  <c r="K10" i="9"/>
  <c r="I10" i="9"/>
  <c r="K15" i="9"/>
  <c r="I15" i="9"/>
  <c r="K19" i="9"/>
  <c r="K23" i="9"/>
  <c r="I23" i="9"/>
  <c r="I27" i="9"/>
  <c r="K27" i="9"/>
  <c r="AD3" i="11"/>
  <c r="J9" i="11"/>
  <c r="I16" i="11"/>
  <c r="I17" i="11"/>
  <c r="K17" i="11"/>
  <c r="K31" i="11"/>
  <c r="I31" i="11"/>
  <c r="I28" i="13"/>
  <c r="I13" i="15"/>
  <c r="I19" i="15"/>
  <c r="K19" i="15"/>
  <c r="K14" i="16"/>
  <c r="I14" i="16"/>
  <c r="K7" i="18"/>
  <c r="I7" i="18"/>
  <c r="Q22" i="18"/>
  <c r="K31" i="18"/>
  <c r="I31" i="18"/>
  <c r="AD3" i="19"/>
  <c r="I15" i="20"/>
  <c r="K15" i="20"/>
  <c r="I18" i="21"/>
  <c r="K18" i="21"/>
  <c r="K25" i="21"/>
  <c r="I25" i="21"/>
  <c r="K5" i="22"/>
  <c r="I5" i="22"/>
  <c r="I21" i="23"/>
  <c r="K21" i="23"/>
  <c r="K20" i="26"/>
  <c r="I20" i="26"/>
  <c r="I31" i="26"/>
  <c r="K31" i="26"/>
  <c r="I9" i="30"/>
  <c r="K9" i="30"/>
  <c r="K14" i="30"/>
  <c r="I14" i="30"/>
  <c r="K17" i="30"/>
  <c r="K24" i="30"/>
  <c r="I24" i="30"/>
  <c r="I31" i="30"/>
  <c r="K31" i="30"/>
  <c r="K16" i="1"/>
  <c r="I16" i="1"/>
  <c r="K11" i="6"/>
  <c r="I11" i="6"/>
  <c r="K19" i="7"/>
  <c r="I19" i="7"/>
  <c r="K22" i="7"/>
  <c r="K8" i="2"/>
  <c r="I12" i="2"/>
  <c r="K31" i="17"/>
  <c r="I31" i="17"/>
  <c r="J4" i="18"/>
  <c r="AD3" i="18"/>
  <c r="K12" i="19"/>
  <c r="I12" i="19"/>
  <c r="I11" i="34"/>
  <c r="K11" i="34"/>
  <c r="K6" i="9"/>
  <c r="I6" i="9"/>
  <c r="K27" i="10"/>
  <c r="I27" i="10"/>
  <c r="AD3" i="12"/>
  <c r="I26" i="13"/>
  <c r="K26" i="13"/>
  <c r="K15" i="14"/>
  <c r="I15" i="14"/>
  <c r="I11" i="15"/>
  <c r="K11" i="15"/>
  <c r="I27" i="15"/>
  <c r="K27" i="15"/>
  <c r="I8" i="25"/>
  <c r="K8" i="25"/>
  <c r="I20" i="31"/>
  <c r="K20" i="31"/>
  <c r="K22" i="41"/>
  <c r="I22" i="41"/>
  <c r="I27" i="43"/>
  <c r="K27" i="43"/>
  <c r="I26" i="45"/>
  <c r="K26" i="45"/>
  <c r="K16" i="2"/>
  <c r="I11" i="5"/>
  <c r="I19" i="5"/>
  <c r="K23" i="5"/>
  <c r="I27" i="5"/>
  <c r="I16" i="6"/>
  <c r="K31" i="6"/>
  <c r="I31" i="6"/>
  <c r="K16" i="9"/>
  <c r="I6" i="10"/>
  <c r="K6" i="10"/>
  <c r="K21" i="10"/>
  <c r="I21" i="10"/>
  <c r="I14" i="11"/>
  <c r="I29" i="11"/>
  <c r="AD3" i="15"/>
  <c r="I21" i="15"/>
  <c r="K28" i="15"/>
  <c r="I28" i="15"/>
  <c r="I20" i="19"/>
  <c r="K20" i="19"/>
  <c r="K28" i="20"/>
  <c r="I28" i="20"/>
  <c r="K4" i="36"/>
  <c r="I4" i="36"/>
  <c r="K8" i="36"/>
  <c r="I8" i="36"/>
  <c r="K17" i="41"/>
  <c r="K21" i="1"/>
  <c r="I21" i="1"/>
  <c r="I7" i="3"/>
  <c r="I15" i="3"/>
  <c r="K27" i="3"/>
  <c r="K8" i="6"/>
  <c r="I8" i="6"/>
  <c r="I26" i="6"/>
  <c r="K11" i="1"/>
  <c r="I11" i="1"/>
  <c r="K19" i="1"/>
  <c r="I19" i="1"/>
  <c r="K27" i="1"/>
  <c r="I27" i="1"/>
  <c r="K11" i="2"/>
  <c r="I11" i="2"/>
  <c r="K19" i="2"/>
  <c r="I19" i="2"/>
  <c r="K31" i="4"/>
  <c r="I31" i="4"/>
  <c r="K10" i="5"/>
  <c r="I10" i="5"/>
  <c r="K18" i="5"/>
  <c r="I18" i="5"/>
  <c r="K26" i="5"/>
  <c r="I26" i="5"/>
  <c r="K6" i="6"/>
  <c r="I6" i="6"/>
  <c r="K12" i="7"/>
  <c r="I12" i="7"/>
  <c r="I13" i="8"/>
  <c r="K13" i="8"/>
  <c r="K23" i="8"/>
  <c r="I23" i="8"/>
  <c r="K27" i="8"/>
  <c r="I27" i="8"/>
  <c r="AD3" i="9"/>
  <c r="J4" i="9"/>
  <c r="K24" i="15"/>
  <c r="I24" i="15"/>
  <c r="K12" i="17"/>
  <c r="I12" i="17"/>
  <c r="I10" i="19"/>
  <c r="J3" i="19"/>
  <c r="K10" i="19"/>
  <c r="K23" i="19"/>
  <c r="I23" i="19"/>
  <c r="K21" i="20"/>
  <c r="I21" i="20"/>
  <c r="I23" i="22"/>
  <c r="K23" i="22"/>
  <c r="K27" i="26"/>
  <c r="I27" i="26"/>
  <c r="H3" i="2"/>
  <c r="I7" i="2"/>
  <c r="I15" i="2"/>
  <c r="K26" i="2"/>
  <c r="K27" i="2"/>
  <c r="I27" i="2"/>
  <c r="K6" i="3"/>
  <c r="I6" i="3"/>
  <c r="K14" i="3"/>
  <c r="I14" i="3"/>
  <c r="K22" i="3"/>
  <c r="I22" i="3"/>
  <c r="K30" i="3"/>
  <c r="I30" i="3"/>
  <c r="I5" i="4"/>
  <c r="K9" i="4"/>
  <c r="I13" i="4"/>
  <c r="K17" i="4"/>
  <c r="I21" i="4"/>
  <c r="K25" i="4"/>
  <c r="I29" i="4"/>
  <c r="I6" i="5"/>
  <c r="I14" i="5"/>
  <c r="I22" i="5"/>
  <c r="I30" i="5"/>
  <c r="I20" i="6"/>
  <c r="K20" i="6"/>
  <c r="K25" i="6"/>
  <c r="I25" i="6"/>
  <c r="J4" i="7"/>
  <c r="AD3" i="7"/>
  <c r="K13" i="7"/>
  <c r="I13" i="7"/>
  <c r="I17" i="8"/>
  <c r="K28" i="8"/>
  <c r="I28" i="8"/>
  <c r="K31" i="8"/>
  <c r="H3" i="9"/>
  <c r="K5" i="9"/>
  <c r="I5" i="9"/>
  <c r="I13" i="10"/>
  <c r="K19" i="10"/>
  <c r="I19" i="10"/>
  <c r="K31" i="10"/>
  <c r="I31" i="10"/>
  <c r="I22" i="11"/>
  <c r="K22" i="11"/>
  <c r="J9" i="12"/>
  <c r="I20" i="13"/>
  <c r="K23" i="14"/>
  <c r="I23" i="14"/>
  <c r="K25" i="15"/>
  <c r="I25" i="15"/>
  <c r="X3" i="17"/>
  <c r="K7" i="17"/>
  <c r="I7" i="17"/>
  <c r="K23" i="17"/>
  <c r="I23" i="17"/>
  <c r="Q11" i="18"/>
  <c r="K13" i="18"/>
  <c r="I13" i="18"/>
  <c r="I14" i="18"/>
  <c r="K14" i="18"/>
  <c r="K25" i="19"/>
  <c r="I25" i="19"/>
  <c r="K12" i="21"/>
  <c r="I12" i="21"/>
  <c r="I13" i="21"/>
  <c r="K13" i="21"/>
  <c r="I14" i="22"/>
  <c r="K14" i="22"/>
  <c r="K8" i="24"/>
  <c r="I8" i="24"/>
  <c r="J4" i="30"/>
  <c r="AD3" i="30"/>
  <c r="K30" i="33"/>
  <c r="I30" i="33"/>
  <c r="I26" i="10"/>
  <c r="K6" i="17"/>
  <c r="I6" i="17"/>
  <c r="K14" i="17"/>
  <c r="I14" i="17"/>
  <c r="K29" i="17"/>
  <c r="I29" i="17"/>
  <c r="K20" i="20"/>
  <c r="X3" i="21"/>
  <c r="K9" i="22"/>
  <c r="I9" i="22"/>
  <c r="I29" i="23"/>
  <c r="K29" i="23"/>
  <c r="K10" i="24"/>
  <c r="I29" i="24"/>
  <c r="K24" i="26"/>
  <c r="I24" i="26"/>
  <c r="K31" i="28"/>
  <c r="I31" i="28"/>
  <c r="K8" i="34"/>
  <c r="I8" i="34"/>
  <c r="K11" i="17"/>
  <c r="I11" i="17"/>
  <c r="K24" i="25"/>
  <c r="K8" i="8"/>
  <c r="I12" i="9"/>
  <c r="K22" i="9"/>
  <c r="I22" i="9"/>
  <c r="K13" i="12"/>
  <c r="I13" i="12"/>
  <c r="K29" i="12"/>
  <c r="I29" i="12"/>
  <c r="K25" i="14"/>
  <c r="I25" i="14"/>
  <c r="K11" i="19"/>
  <c r="I11" i="19"/>
  <c r="I26" i="21"/>
  <c r="I30" i="27"/>
  <c r="K30" i="27"/>
  <c r="K30" i="29"/>
  <c r="I10" i="30"/>
  <c r="K22" i="33"/>
  <c r="I22" i="33"/>
  <c r="K28" i="33"/>
  <c r="I28" i="33"/>
  <c r="J3" i="34"/>
  <c r="I14" i="34"/>
  <c r="K14" i="34"/>
  <c r="K23" i="39"/>
  <c r="I23" i="39"/>
  <c r="J4" i="3"/>
  <c r="Q5" i="8"/>
  <c r="I6" i="8"/>
  <c r="K11" i="8"/>
  <c r="I11" i="8"/>
  <c r="I18" i="8"/>
  <c r="I25" i="8"/>
  <c r="I7" i="9"/>
  <c r="Q19" i="9"/>
  <c r="K30" i="9"/>
  <c r="I30" i="9"/>
  <c r="I29" i="10"/>
  <c r="K10" i="11"/>
  <c r="I10" i="11"/>
  <c r="K12" i="11"/>
  <c r="AD3" i="14"/>
  <c r="J4" i="14"/>
  <c r="K13" i="16"/>
  <c r="I13" i="16"/>
  <c r="K16" i="16"/>
  <c r="I16" i="16"/>
  <c r="K18" i="16"/>
  <c r="K21" i="16"/>
  <c r="I21" i="16"/>
  <c r="K24" i="16"/>
  <c r="I24" i="16"/>
  <c r="K26" i="16"/>
  <c r="K29" i="16"/>
  <c r="I29" i="16"/>
  <c r="Q8" i="17"/>
  <c r="I9" i="17"/>
  <c r="Q16" i="17"/>
  <c r="I17" i="17"/>
  <c r="Q24" i="17"/>
  <c r="I25" i="17"/>
  <c r="Q20" i="18"/>
  <c r="X3" i="19"/>
  <c r="I17" i="20"/>
  <c r="K22" i="20"/>
  <c r="I22" i="20"/>
  <c r="Q29" i="20"/>
  <c r="Q11" i="21"/>
  <c r="I31" i="21"/>
  <c r="I20" i="22"/>
  <c r="K21" i="22"/>
  <c r="I21" i="22"/>
  <c r="K24" i="22"/>
  <c r="I24" i="22"/>
  <c r="I28" i="22"/>
  <c r="K25" i="23"/>
  <c r="I25" i="23"/>
  <c r="K26" i="23"/>
  <c r="I26" i="23"/>
  <c r="I11" i="24"/>
  <c r="K11" i="24"/>
  <c r="Q20" i="24"/>
  <c r="K21" i="24"/>
  <c r="K5" i="25"/>
  <c r="I5" i="25"/>
  <c r="K21" i="25"/>
  <c r="I21" i="25"/>
  <c r="I29" i="25"/>
  <c r="K29" i="25"/>
  <c r="K18" i="26"/>
  <c r="K21" i="27"/>
  <c r="I21" i="27"/>
  <c r="I23" i="27"/>
  <c r="K23" i="27"/>
  <c r="I13" i="33"/>
  <c r="K18" i="34"/>
  <c r="I18" i="34"/>
  <c r="I20" i="38"/>
  <c r="K20" i="38"/>
  <c r="K22" i="17"/>
  <c r="I22" i="17"/>
  <c r="K11" i="21"/>
  <c r="I11" i="21"/>
  <c r="K15" i="30"/>
  <c r="I15" i="30"/>
  <c r="K15" i="12"/>
  <c r="K6" i="14"/>
  <c r="I6" i="14"/>
  <c r="K17" i="14"/>
  <c r="I17" i="14"/>
  <c r="K27" i="14"/>
  <c r="AD3" i="20"/>
  <c r="J9" i="20"/>
  <c r="K27" i="22"/>
  <c r="I27" i="22"/>
  <c r="K16" i="25"/>
  <c r="K5" i="7"/>
  <c r="I5" i="7"/>
  <c r="K15" i="11"/>
  <c r="I15" i="11"/>
  <c r="K18" i="11"/>
  <c r="I18" i="11"/>
  <c r="K8" i="13"/>
  <c r="I8" i="13"/>
  <c r="K11" i="13"/>
  <c r="I11" i="13"/>
  <c r="K16" i="13"/>
  <c r="I16" i="13"/>
  <c r="K19" i="13"/>
  <c r="I19" i="13"/>
  <c r="K24" i="13"/>
  <c r="I24" i="13"/>
  <c r="K27" i="13"/>
  <c r="I27" i="13"/>
  <c r="K9" i="15"/>
  <c r="I9" i="15"/>
  <c r="K12" i="15"/>
  <c r="I12" i="15"/>
  <c r="AD3" i="17"/>
  <c r="K9" i="21"/>
  <c r="I9" i="21"/>
  <c r="K23" i="21"/>
  <c r="I23" i="21"/>
  <c r="K27" i="21"/>
  <c r="I27" i="21"/>
  <c r="J4" i="23"/>
  <c r="AD3" i="23"/>
  <c r="K9" i="23"/>
  <c r="I9" i="23"/>
  <c r="K14" i="23"/>
  <c r="I14" i="23"/>
  <c r="AD3" i="26"/>
  <c r="I14" i="26"/>
  <c r="K14" i="26"/>
  <c r="I13" i="28"/>
  <c r="K13" i="28"/>
  <c r="K22" i="31"/>
  <c r="I22" i="31"/>
  <c r="K17" i="32"/>
  <c r="I17" i="32"/>
  <c r="AD3" i="33"/>
  <c r="K8" i="35"/>
  <c r="I8" i="35"/>
  <c r="K14" i="36"/>
  <c r="I14" i="36"/>
  <c r="I18" i="36"/>
  <c r="K18" i="36"/>
  <c r="I6" i="37"/>
  <c r="K6" i="37"/>
  <c r="K5" i="38"/>
  <c r="I5" i="38"/>
  <c r="K14" i="38"/>
  <c r="I14" i="38"/>
  <c r="K19" i="17"/>
  <c r="I19" i="17"/>
  <c r="K17" i="19"/>
  <c r="I17" i="19"/>
  <c r="K30" i="19"/>
  <c r="I30" i="19"/>
  <c r="K7" i="21"/>
  <c r="I7" i="21"/>
  <c r="K10" i="25"/>
  <c r="I10" i="25"/>
  <c r="K21" i="7"/>
  <c r="I21" i="7"/>
  <c r="K10" i="12"/>
  <c r="I10" i="12"/>
  <c r="K18" i="12"/>
  <c r="I18" i="12"/>
  <c r="K21" i="12"/>
  <c r="I21" i="12"/>
  <c r="K26" i="12"/>
  <c r="I26" i="12"/>
  <c r="K11" i="14"/>
  <c r="K19" i="14"/>
  <c r="K30" i="14"/>
  <c r="I30" i="14"/>
  <c r="K31" i="16"/>
  <c r="K6" i="21"/>
  <c r="I30" i="22"/>
  <c r="K30" i="22"/>
  <c r="K17" i="33"/>
  <c r="K7" i="7"/>
  <c r="I24" i="7"/>
  <c r="K29" i="7"/>
  <c r="I29" i="7"/>
  <c r="K4" i="10"/>
  <c r="I4" i="10"/>
  <c r="K7" i="10"/>
  <c r="I7" i="10"/>
  <c r="K9" i="10"/>
  <c r="K14" i="10"/>
  <c r="K23" i="11"/>
  <c r="I23" i="11"/>
  <c r="K26" i="11"/>
  <c r="I26" i="11"/>
  <c r="K28" i="11"/>
  <c r="K17" i="15"/>
  <c r="I17" i="15"/>
  <c r="K20" i="15"/>
  <c r="I20" i="15"/>
  <c r="K22" i="15"/>
  <c r="J3" i="16"/>
  <c r="AD3" i="16"/>
  <c r="I19" i="16"/>
  <c r="I27" i="16"/>
  <c r="J4" i="17"/>
  <c r="K22" i="18"/>
  <c r="K18" i="19"/>
  <c r="K22" i="21"/>
  <c r="K12" i="22"/>
  <c r="I12" i="22"/>
  <c r="K13" i="23"/>
  <c r="K19" i="23"/>
  <c r="I19" i="23"/>
  <c r="K15" i="24"/>
  <c r="I15" i="24"/>
  <c r="I18" i="24"/>
  <c r="K18" i="24"/>
  <c r="I19" i="24"/>
  <c r="K19" i="24"/>
  <c r="K4" i="26"/>
  <c r="I4" i="26"/>
  <c r="K12" i="27"/>
  <c r="I12" i="27"/>
  <c r="I31" i="27"/>
  <c r="K31" i="27"/>
  <c r="K18" i="29"/>
  <c r="I18" i="29"/>
  <c r="I19" i="29"/>
  <c r="K19" i="29"/>
  <c r="K8" i="32"/>
  <c r="I8" i="32"/>
  <c r="K16" i="32"/>
  <c r="I16" i="32"/>
  <c r="I23" i="32"/>
  <c r="J5" i="33"/>
  <c r="J3" i="33" s="1"/>
  <c r="I19" i="34"/>
  <c r="K19" i="34"/>
  <c r="K18" i="35"/>
  <c r="I18" i="35"/>
  <c r="K26" i="35"/>
  <c r="I26" i="35"/>
  <c r="K30" i="35"/>
  <c r="I30" i="35"/>
  <c r="K20" i="36"/>
  <c r="I20" i="36"/>
  <c r="K16" i="37"/>
  <c r="I16" i="37"/>
  <c r="K11" i="26"/>
  <c r="I11" i="26"/>
  <c r="K12" i="34"/>
  <c r="I12" i="34"/>
  <c r="K22" i="34"/>
  <c r="K31" i="43"/>
  <c r="I31" i="43"/>
  <c r="K25" i="9"/>
  <c r="I25" i="9"/>
  <c r="K23" i="12"/>
  <c r="H3" i="14"/>
  <c r="K9" i="14"/>
  <c r="I9" i="14"/>
  <c r="K14" i="14"/>
  <c r="I14" i="14"/>
  <c r="K22" i="14"/>
  <c r="I22" i="14"/>
  <c r="K10" i="16"/>
  <c r="I30" i="18"/>
  <c r="K30" i="18"/>
  <c r="I16" i="21"/>
  <c r="J4" i="25"/>
  <c r="AD3" i="25"/>
  <c r="K21" i="33"/>
  <c r="Q13" i="8"/>
  <c r="I14" i="8"/>
  <c r="K19" i="8"/>
  <c r="I19" i="8"/>
  <c r="K12" i="10"/>
  <c r="I12" i="10"/>
  <c r="K15" i="10"/>
  <c r="I15" i="10"/>
  <c r="K17" i="10"/>
  <c r="Q20" i="11"/>
  <c r="Q5" i="13"/>
  <c r="I6" i="13"/>
  <c r="Q13" i="13"/>
  <c r="I14" i="13"/>
  <c r="Q21" i="13"/>
  <c r="I22" i="13"/>
  <c r="Q29" i="13"/>
  <c r="I30" i="13"/>
  <c r="Q14" i="15"/>
  <c r="K19" i="18"/>
  <c r="I19" i="18"/>
  <c r="K26" i="18"/>
  <c r="I26" i="18"/>
  <c r="K26" i="19"/>
  <c r="I26" i="19"/>
  <c r="K19" i="20"/>
  <c r="I19" i="20"/>
  <c r="K19" i="21"/>
  <c r="I19" i="21"/>
  <c r="Q27" i="21"/>
  <c r="K11" i="22"/>
  <c r="K18" i="22"/>
  <c r="I31" i="22"/>
  <c r="K31" i="22"/>
  <c r="K6" i="23"/>
  <c r="I6" i="23"/>
  <c r="I18" i="23"/>
  <c r="K9" i="24"/>
  <c r="I9" i="24"/>
  <c r="K12" i="24"/>
  <c r="I12" i="24"/>
  <c r="I16" i="24"/>
  <c r="K14" i="25"/>
  <c r="I14" i="25"/>
  <c r="J3" i="26"/>
  <c r="I19" i="27"/>
  <c r="K30" i="31"/>
  <c r="I30" i="31"/>
  <c r="I7" i="32"/>
  <c r="K7" i="32"/>
  <c r="K9" i="36"/>
  <c r="I9" i="36"/>
  <c r="Q15" i="37"/>
  <c r="K21" i="39"/>
  <c r="I21" i="39"/>
  <c r="AD3" i="21"/>
  <c r="J4" i="21"/>
  <c r="K17" i="21"/>
  <c r="I17" i="21"/>
  <c r="K13" i="22"/>
  <c r="I13" i="22"/>
  <c r="X3" i="23"/>
  <c r="I27" i="24"/>
  <c r="K27" i="24"/>
  <c r="I25" i="25"/>
  <c r="K25" i="25"/>
  <c r="Q12" i="26"/>
  <c r="K19" i="26"/>
  <c r="I19" i="26"/>
  <c r="AD3" i="27"/>
  <c r="J4" i="27"/>
  <c r="K27" i="27"/>
  <c r="I27" i="27"/>
  <c r="H3" i="28"/>
  <c r="AD3" i="28"/>
  <c r="J4" i="28"/>
  <c r="K12" i="28"/>
  <c r="I12" i="28"/>
  <c r="AD3" i="29"/>
  <c r="I31" i="29"/>
  <c r="K5" i="30"/>
  <c r="I5" i="30"/>
  <c r="Q9" i="30"/>
  <c r="K28" i="30"/>
  <c r="I28" i="30"/>
  <c r="AD3" i="31"/>
  <c r="J5" i="31"/>
  <c r="K4" i="32"/>
  <c r="I4" i="32"/>
  <c r="I19" i="32"/>
  <c r="K19" i="32"/>
  <c r="I26" i="32"/>
  <c r="K26" i="32"/>
  <c r="K10" i="33"/>
  <c r="I10" i="33"/>
  <c r="I15" i="18"/>
  <c r="I19" i="19"/>
  <c r="Q21" i="20"/>
  <c r="I20" i="21"/>
  <c r="K7" i="22"/>
  <c r="I7" i="22"/>
  <c r="I12" i="23"/>
  <c r="K12" i="23"/>
  <c r="K22" i="23"/>
  <c r="I22" i="23"/>
  <c r="K15" i="25"/>
  <c r="I15" i="25"/>
  <c r="K16" i="26"/>
  <c r="I16" i="26"/>
  <c r="K28" i="28"/>
  <c r="I28" i="28"/>
  <c r="Q26" i="31"/>
  <c r="K27" i="34"/>
  <c r="I27" i="34"/>
  <c r="K28" i="34"/>
  <c r="I28" i="34"/>
  <c r="I31" i="34"/>
  <c r="K31" i="34"/>
  <c r="K20" i="37"/>
  <c r="I20" i="37"/>
  <c r="K31" i="37"/>
  <c r="I31" i="37"/>
  <c r="K29" i="39"/>
  <c r="I29" i="39"/>
  <c r="Q27" i="18"/>
  <c r="K24" i="19"/>
  <c r="I24" i="19"/>
  <c r="Q19" i="21"/>
  <c r="I10" i="22"/>
  <c r="K24" i="24"/>
  <c r="I24" i="24"/>
  <c r="I6" i="25"/>
  <c r="I11" i="25"/>
  <c r="K15" i="26"/>
  <c r="K11" i="27"/>
  <c r="I11" i="27"/>
  <c r="K15" i="27"/>
  <c r="K17" i="27"/>
  <c r="I17" i="27"/>
  <c r="I25" i="27"/>
  <c r="K16" i="28"/>
  <c r="K14" i="29"/>
  <c r="K15" i="29"/>
  <c r="I15" i="29"/>
  <c r="K25" i="29"/>
  <c r="I25" i="29"/>
  <c r="K7" i="30"/>
  <c r="I7" i="30"/>
  <c r="K14" i="32"/>
  <c r="I14" i="32"/>
  <c r="K28" i="32"/>
  <c r="I28" i="32"/>
  <c r="I25" i="33"/>
  <c r="K25" i="33"/>
  <c r="K26" i="33"/>
  <c r="I26" i="33"/>
  <c r="K28" i="36"/>
  <c r="I28" i="36"/>
  <c r="K25" i="39"/>
  <c r="I25" i="39"/>
  <c r="K17" i="42"/>
  <c r="I17" i="42"/>
  <c r="K25" i="48"/>
  <c r="I25" i="48"/>
  <c r="K11" i="20"/>
  <c r="I11" i="20"/>
  <c r="K13" i="20"/>
  <c r="I13" i="20"/>
  <c r="K27" i="20"/>
  <c r="I27" i="20"/>
  <c r="K29" i="20"/>
  <c r="I29" i="20"/>
  <c r="AD3" i="22"/>
  <c r="J4" i="22"/>
  <c r="Q9" i="22"/>
  <c r="I15" i="22"/>
  <c r="K15" i="22"/>
  <c r="Q22" i="23"/>
  <c r="I28" i="23"/>
  <c r="K28" i="23"/>
  <c r="K28" i="24"/>
  <c r="I28" i="24"/>
  <c r="K18" i="25"/>
  <c r="I18" i="25"/>
  <c r="K26" i="25"/>
  <c r="I26" i="25"/>
  <c r="K30" i="25"/>
  <c r="I30" i="25"/>
  <c r="I7" i="27"/>
  <c r="K7" i="27"/>
  <c r="K13" i="27"/>
  <c r="I13" i="27"/>
  <c r="K29" i="27"/>
  <c r="I29" i="27"/>
  <c r="I29" i="28"/>
  <c r="K29" i="28"/>
  <c r="K8" i="30"/>
  <c r="I8" i="30"/>
  <c r="K10" i="31"/>
  <c r="I10" i="31"/>
  <c r="Q13" i="31"/>
  <c r="K20" i="34"/>
  <c r="I20" i="34"/>
  <c r="I4" i="35"/>
  <c r="K4" i="35"/>
  <c r="K27" i="35"/>
  <c r="I27" i="35"/>
  <c r="I19" i="38"/>
  <c r="K25" i="40"/>
  <c r="I25" i="40"/>
  <c r="AD3" i="24"/>
  <c r="K7" i="29"/>
  <c r="I7" i="29"/>
  <c r="I11" i="32"/>
  <c r="K11" i="32"/>
  <c r="K15" i="32"/>
  <c r="I15" i="32"/>
  <c r="H3" i="33"/>
  <c r="K24" i="35"/>
  <c r="I24" i="35"/>
  <c r="AD3" i="37"/>
  <c r="J4" i="37"/>
  <c r="I14" i="37"/>
  <c r="K14" i="37"/>
  <c r="K22" i="38"/>
  <c r="I22" i="38"/>
  <c r="I18" i="40"/>
  <c r="K18" i="40"/>
  <c r="I8" i="43"/>
  <c r="K8" i="43"/>
  <c r="I29" i="22"/>
  <c r="Q18" i="23"/>
  <c r="I27" i="23"/>
  <c r="Q8" i="24"/>
  <c r="I17" i="24"/>
  <c r="Q8" i="26"/>
  <c r="K11" i="28"/>
  <c r="I11" i="28"/>
  <c r="Q13" i="28"/>
  <c r="I29" i="29"/>
  <c r="K11" i="30"/>
  <c r="K27" i="31"/>
  <c r="I27" i="31"/>
  <c r="K29" i="32"/>
  <c r="I29" i="32"/>
  <c r="Q9" i="33"/>
  <c r="I30" i="34"/>
  <c r="K30" i="34"/>
  <c r="I20" i="35"/>
  <c r="K20" i="35"/>
  <c r="K12" i="36"/>
  <c r="I12" i="36"/>
  <c r="K13" i="37"/>
  <c r="I13" i="37"/>
  <c r="K9" i="39"/>
  <c r="I9" i="39"/>
  <c r="Q28" i="22"/>
  <c r="Q26" i="23"/>
  <c r="J4" i="24"/>
  <c r="Q16" i="24"/>
  <c r="Q22" i="25"/>
  <c r="Q28" i="26"/>
  <c r="Q6" i="28"/>
  <c r="I7" i="28"/>
  <c r="K10" i="28"/>
  <c r="I8" i="29"/>
  <c r="K22" i="29"/>
  <c r="Q18" i="30"/>
  <c r="Q19" i="32"/>
  <c r="I20" i="32"/>
  <c r="K24" i="32"/>
  <c r="I24" i="32"/>
  <c r="K4" i="34"/>
  <c r="I4" i="34"/>
  <c r="Q6" i="35"/>
  <c r="K11" i="36"/>
  <c r="Q13" i="38"/>
  <c r="I8" i="41"/>
  <c r="K8" i="41"/>
  <c r="K28" i="44"/>
  <c r="I28" i="44"/>
  <c r="Q14" i="23"/>
  <c r="Q4" i="24"/>
  <c r="Q10" i="25"/>
  <c r="Q30" i="25"/>
  <c r="Q4" i="26"/>
  <c r="H3" i="29"/>
  <c r="K17" i="29"/>
  <c r="I17" i="29"/>
  <c r="Q19" i="29"/>
  <c r="Q25" i="30"/>
  <c r="X3" i="31"/>
  <c r="K9" i="32"/>
  <c r="I9" i="32"/>
  <c r="K22" i="32"/>
  <c r="I22" i="32"/>
  <c r="Q18" i="33"/>
  <c r="K20" i="33"/>
  <c r="I20" i="33"/>
  <c r="Q4" i="37"/>
  <c r="Q25" i="38"/>
  <c r="Q31" i="38"/>
  <c r="I31" i="38"/>
  <c r="K31" i="38"/>
  <c r="K26" i="40"/>
  <c r="I26" i="40"/>
  <c r="I13" i="42"/>
  <c r="K13" i="42"/>
  <c r="I17" i="28"/>
  <c r="Q21" i="28"/>
  <c r="I23" i="29"/>
  <c r="Q27" i="29"/>
  <c r="I13" i="30"/>
  <c r="Q17" i="30"/>
  <c r="I23" i="30"/>
  <c r="K23" i="30"/>
  <c r="K26" i="31"/>
  <c r="I26" i="31"/>
  <c r="K6" i="32"/>
  <c r="I6" i="32"/>
  <c r="I18" i="32"/>
  <c r="K18" i="32"/>
  <c r="K18" i="33"/>
  <c r="I18" i="33"/>
  <c r="K21" i="34"/>
  <c r="I21" i="34"/>
  <c r="K16" i="35"/>
  <c r="I16" i="35"/>
  <c r="I25" i="35"/>
  <c r="I10" i="36"/>
  <c r="K10" i="36"/>
  <c r="Q24" i="36"/>
  <c r="X3" i="38"/>
  <c r="Q8" i="39"/>
  <c r="I14" i="41"/>
  <c r="K14" i="41"/>
  <c r="I25" i="41"/>
  <c r="K25" i="41"/>
  <c r="Q29" i="41"/>
  <c r="K11" i="42"/>
  <c r="I11" i="42"/>
  <c r="K28" i="42"/>
  <c r="I28" i="42"/>
  <c r="I29" i="42"/>
  <c r="K29" i="42"/>
  <c r="K27" i="54"/>
  <c r="I27" i="54"/>
  <c r="K29" i="55"/>
  <c r="I29" i="55"/>
  <c r="K5" i="27"/>
  <c r="I5" i="27"/>
  <c r="Q15" i="27"/>
  <c r="Q17" i="27"/>
  <c r="Q31" i="27"/>
  <c r="K9" i="29"/>
  <c r="I9" i="29"/>
  <c r="Q10" i="31"/>
  <c r="I21" i="31"/>
  <c r="K21" i="31"/>
  <c r="Q12" i="32"/>
  <c r="I24" i="33"/>
  <c r="K24" i="33"/>
  <c r="Q16" i="34"/>
  <c r="K17" i="35"/>
  <c r="I17" i="35"/>
  <c r="Q4" i="36"/>
  <c r="K6" i="36"/>
  <c r="I6" i="36"/>
  <c r="K7" i="37"/>
  <c r="I7" i="37"/>
  <c r="K23" i="37"/>
  <c r="I23" i="37"/>
  <c r="Q10" i="40"/>
  <c r="K17" i="40"/>
  <c r="I17" i="40"/>
  <c r="K7" i="42"/>
  <c r="I7" i="42"/>
  <c r="I29" i="43"/>
  <c r="K29" i="43"/>
  <c r="K27" i="49"/>
  <c r="I27" i="49"/>
  <c r="Q5" i="28"/>
  <c r="Q11" i="29"/>
  <c r="I4" i="31"/>
  <c r="K4" i="31"/>
  <c r="Q6" i="31"/>
  <c r="I13" i="31"/>
  <c r="K13" i="31"/>
  <c r="K14" i="33"/>
  <c r="I14" i="33"/>
  <c r="Q4" i="34"/>
  <c r="K26" i="34"/>
  <c r="I26" i="34"/>
  <c r="K11" i="35"/>
  <c r="I11" i="35"/>
  <c r="K16" i="36"/>
  <c r="I16" i="36"/>
  <c r="K24" i="36"/>
  <c r="I24" i="36"/>
  <c r="Q18" i="38"/>
  <c r="K31" i="39"/>
  <c r="I31" i="39"/>
  <c r="K6" i="40"/>
  <c r="I6" i="40"/>
  <c r="I8" i="40"/>
  <c r="K8" i="40"/>
  <c r="I9" i="40"/>
  <c r="K9" i="40"/>
  <c r="K13" i="40"/>
  <c r="I13" i="40"/>
  <c r="AD3" i="39"/>
  <c r="K11" i="39"/>
  <c r="I11" i="39"/>
  <c r="I19" i="40"/>
  <c r="K19" i="40"/>
  <c r="I9" i="41"/>
  <c r="K9" i="41"/>
  <c r="K12" i="41"/>
  <c r="I12" i="41"/>
  <c r="K9" i="43"/>
  <c r="I9" i="43"/>
  <c r="I19" i="43"/>
  <c r="K19" i="43"/>
  <c r="K26" i="46"/>
  <c r="I26" i="46"/>
  <c r="K31" i="46"/>
  <c r="I31" i="46"/>
  <c r="K29" i="48"/>
  <c r="I29" i="48"/>
  <c r="AD3" i="55"/>
  <c r="J21" i="55"/>
  <c r="J4" i="29"/>
  <c r="Q24" i="30"/>
  <c r="I6" i="31"/>
  <c r="Q22" i="31"/>
  <c r="Q28" i="32"/>
  <c r="K12" i="33"/>
  <c r="I12" i="33"/>
  <c r="Q22" i="33"/>
  <c r="Q8" i="34"/>
  <c r="Q30" i="35"/>
  <c r="Q8" i="36"/>
  <c r="K30" i="36"/>
  <c r="I30" i="36"/>
  <c r="I11" i="37"/>
  <c r="I21" i="37"/>
  <c r="Q27" i="37"/>
  <c r="AD3" i="38"/>
  <c r="I11" i="38"/>
  <c r="K17" i="38"/>
  <c r="I17" i="38"/>
  <c r="K18" i="38"/>
  <c r="I18" i="38"/>
  <c r="K21" i="38"/>
  <c r="I21" i="38"/>
  <c r="K30" i="38"/>
  <c r="I30" i="38"/>
  <c r="J4" i="39"/>
  <c r="K8" i="39"/>
  <c r="I8" i="39"/>
  <c r="I19" i="39"/>
  <c r="K19" i="39"/>
  <c r="K20" i="39"/>
  <c r="I20" i="39"/>
  <c r="K26" i="39"/>
  <c r="I27" i="39"/>
  <c r="K27" i="39"/>
  <c r="K20" i="42"/>
  <c r="I20" i="42"/>
  <c r="I31" i="42"/>
  <c r="K31" i="42"/>
  <c r="K5" i="43"/>
  <c r="I5" i="43"/>
  <c r="I31" i="44"/>
  <c r="K31" i="44"/>
  <c r="K27" i="50"/>
  <c r="I27" i="50"/>
  <c r="K22" i="51"/>
  <c r="I22" i="51"/>
  <c r="K30" i="32"/>
  <c r="I30" i="32"/>
  <c r="K10" i="34"/>
  <c r="I10" i="34"/>
  <c r="AD3" i="36"/>
  <c r="I12" i="38"/>
  <c r="K12" i="38"/>
  <c r="K13" i="38"/>
  <c r="I13" i="38"/>
  <c r="K29" i="38"/>
  <c r="I29" i="38"/>
  <c r="K15" i="40"/>
  <c r="I15" i="40"/>
  <c r="I16" i="40"/>
  <c r="K16" i="40"/>
  <c r="K15" i="43"/>
  <c r="I15" i="43"/>
  <c r="K22" i="46"/>
  <c r="I22" i="46"/>
  <c r="I26" i="48"/>
  <c r="K26" i="48"/>
  <c r="I11" i="31"/>
  <c r="AD3" i="32"/>
  <c r="Q20" i="32"/>
  <c r="K4" i="33"/>
  <c r="I4" i="33"/>
  <c r="K6" i="33"/>
  <c r="I6" i="33"/>
  <c r="Q14" i="33"/>
  <c r="I13" i="34"/>
  <c r="Q22" i="35"/>
  <c r="K22" i="36"/>
  <c r="I22" i="36"/>
  <c r="K5" i="37"/>
  <c r="I5" i="37"/>
  <c r="K15" i="37"/>
  <c r="I15" i="37"/>
  <c r="I22" i="37"/>
  <c r="K22" i="37"/>
  <c r="J4" i="38"/>
  <c r="K5" i="39"/>
  <c r="K5" i="40"/>
  <c r="I5" i="40"/>
  <c r="J5" i="41"/>
  <c r="AD3" i="41"/>
  <c r="I6" i="41"/>
  <c r="K6" i="41"/>
  <c r="K15" i="41"/>
  <c r="I15" i="41"/>
  <c r="I11" i="43"/>
  <c r="K11" i="43"/>
  <c r="K26" i="44"/>
  <c r="I29" i="45"/>
  <c r="K29" i="45"/>
  <c r="K13" i="41"/>
  <c r="I13" i="41"/>
  <c r="K24" i="44"/>
  <c r="I24" i="44"/>
  <c r="K28" i="45"/>
  <c r="I28" i="45"/>
  <c r="K28" i="47"/>
  <c r="I28" i="47"/>
  <c r="K31" i="54"/>
  <c r="I31" i="54"/>
  <c r="K30" i="55"/>
  <c r="I30" i="55"/>
  <c r="X3" i="37"/>
  <c r="Q9" i="37"/>
  <c r="Q11" i="37"/>
  <c r="K17" i="37"/>
  <c r="K7" i="38"/>
  <c r="Q13" i="39"/>
  <c r="I17" i="39"/>
  <c r="K9" i="42"/>
  <c r="I9" i="42"/>
  <c r="K24" i="42"/>
  <c r="K25" i="42"/>
  <c r="I25" i="42"/>
  <c r="K7" i="43"/>
  <c r="I7" i="43"/>
  <c r="Q23" i="54"/>
  <c r="K28" i="41"/>
  <c r="I28" i="41"/>
  <c r="I21" i="42"/>
  <c r="K21" i="42"/>
  <c r="K23" i="43"/>
  <c r="I23" i="43"/>
  <c r="K24" i="51"/>
  <c r="I24" i="51"/>
  <c r="I28" i="51"/>
  <c r="K28" i="51"/>
  <c r="K29" i="51"/>
  <c r="I29" i="51"/>
  <c r="K23" i="52"/>
  <c r="I23" i="52"/>
  <c r="I27" i="52"/>
  <c r="K27" i="52"/>
  <c r="K28" i="52"/>
  <c r="I28" i="52"/>
  <c r="K30" i="53"/>
  <c r="I30" i="53"/>
  <c r="I25" i="54"/>
  <c r="K25" i="54"/>
  <c r="Q15" i="38"/>
  <c r="Q17" i="38"/>
  <c r="Q24" i="39"/>
  <c r="K14" i="40"/>
  <c r="I14" i="40"/>
  <c r="K23" i="40"/>
  <c r="I23" i="40"/>
  <c r="I27" i="40"/>
  <c r="K27" i="40"/>
  <c r="K30" i="40"/>
  <c r="I30" i="40"/>
  <c r="K4" i="41"/>
  <c r="I4" i="41"/>
  <c r="AD3" i="43"/>
  <c r="J4" i="43"/>
  <c r="I30" i="44"/>
  <c r="K22" i="53"/>
  <c r="I22" i="53"/>
  <c r="J23" i="53"/>
  <c r="J3" i="53" s="1"/>
  <c r="AD3" i="53"/>
  <c r="I28" i="54"/>
  <c r="K28" i="54"/>
  <c r="I24" i="55"/>
  <c r="K24" i="55"/>
  <c r="Q11" i="40"/>
  <c r="K7" i="41"/>
  <c r="I7" i="41"/>
  <c r="J3" i="42"/>
  <c r="K4" i="42"/>
  <c r="Q24" i="42"/>
  <c r="K30" i="42"/>
  <c r="I30" i="42"/>
  <c r="Q22" i="43"/>
  <c r="J21" i="44"/>
  <c r="AD3" i="44"/>
  <c r="K25" i="44"/>
  <c r="I25" i="44"/>
  <c r="K21" i="48"/>
  <c r="I21" i="48"/>
  <c r="J3" i="48"/>
  <c r="K31" i="49"/>
  <c r="I31" i="49"/>
  <c r="AD3" i="50"/>
  <c r="J21" i="50"/>
  <c r="I18" i="42"/>
  <c r="K30" i="45"/>
  <c r="I30" i="45"/>
  <c r="AD3" i="47"/>
  <c r="J21" i="47"/>
  <c r="I31" i="48"/>
  <c r="K31" i="48"/>
  <c r="I22" i="49"/>
  <c r="K22" i="49"/>
  <c r="K24" i="49"/>
  <c r="I24" i="49"/>
  <c r="K28" i="50"/>
  <c r="I28" i="50"/>
  <c r="J3" i="52"/>
  <c r="K21" i="52"/>
  <c r="I21" i="52"/>
  <c r="K30" i="54"/>
  <c r="I30" i="54"/>
  <c r="K25" i="55"/>
  <c r="I25" i="55"/>
  <c r="H3" i="40"/>
  <c r="K20" i="41"/>
  <c r="I20" i="41"/>
  <c r="K29" i="41"/>
  <c r="Q21" i="42"/>
  <c r="K27" i="42"/>
  <c r="I27" i="42"/>
  <c r="Q19" i="43"/>
  <c r="K25" i="43"/>
  <c r="I25" i="43"/>
  <c r="K23" i="46"/>
  <c r="I23" i="46"/>
  <c r="K23" i="50"/>
  <c r="I23" i="50"/>
  <c r="I24" i="50"/>
  <c r="K24" i="50"/>
  <c r="I26" i="41"/>
  <c r="Q29" i="42"/>
  <c r="Q27" i="43"/>
  <c r="I22" i="44"/>
  <c r="J22" i="48"/>
  <c r="AD3" i="48"/>
  <c r="K28" i="49"/>
  <c r="I28" i="49"/>
  <c r="Q27" i="50"/>
  <c r="I29" i="50"/>
  <c r="K29" i="50"/>
  <c r="I30" i="51"/>
  <c r="K31" i="52"/>
  <c r="I31" i="52"/>
  <c r="AD3" i="42"/>
  <c r="K27" i="45"/>
  <c r="I27" i="45"/>
  <c r="K29" i="46"/>
  <c r="I29" i="46"/>
  <c r="K30" i="47"/>
  <c r="I30" i="47"/>
  <c r="I23" i="48"/>
  <c r="K23" i="48"/>
  <c r="K29" i="49"/>
  <c r="I29" i="49"/>
  <c r="K25" i="50"/>
  <c r="I25" i="50"/>
  <c r="K26" i="51"/>
  <c r="I26" i="51"/>
  <c r="K22" i="55"/>
  <c r="I22" i="55"/>
  <c r="Q13" i="42"/>
  <c r="I14" i="42"/>
  <c r="K19" i="42"/>
  <c r="I19" i="42"/>
  <c r="X3" i="43"/>
  <c r="Q11" i="43"/>
  <c r="I12" i="43"/>
  <c r="K17" i="43"/>
  <c r="I17" i="43"/>
  <c r="K22" i="45"/>
  <c r="Q23" i="46"/>
  <c r="I26" i="47"/>
  <c r="H3" i="49"/>
  <c r="K25" i="49"/>
  <c r="I29" i="52"/>
  <c r="I28" i="53"/>
  <c r="K31" i="53"/>
  <c r="AD3" i="54"/>
  <c r="K22" i="54"/>
  <c r="I22" i="54"/>
  <c r="I26" i="55"/>
  <c r="AD3" i="45"/>
  <c r="AD3" i="46"/>
  <c r="Q22" i="47"/>
  <c r="AD3" i="49"/>
  <c r="J21" i="49"/>
  <c r="K22" i="50"/>
  <c r="I22" i="50"/>
  <c r="X3" i="51"/>
  <c r="AD3" i="52"/>
  <c r="K25" i="52"/>
  <c r="I25" i="52"/>
  <c r="Q28" i="52"/>
  <c r="Q24" i="53"/>
  <c r="K31" i="55"/>
  <c r="I31" i="55"/>
  <c r="K24" i="45"/>
  <c r="I24" i="45"/>
  <c r="K25" i="47"/>
  <c r="I25" i="47"/>
  <c r="K26" i="49"/>
  <c r="I26" i="49"/>
  <c r="AD3" i="51"/>
  <c r="J21" i="51"/>
  <c r="K27" i="53"/>
  <c r="I27" i="53"/>
  <c r="K29" i="54"/>
  <c r="I29" i="54"/>
  <c r="I27" i="46"/>
  <c r="K22" i="47"/>
  <c r="I22" i="47"/>
  <c r="K27" i="48"/>
  <c r="I27" i="48"/>
  <c r="Q29" i="48"/>
  <c r="I30" i="48"/>
  <c r="X3" i="49"/>
  <c r="K31" i="51"/>
  <c r="K30" i="52"/>
  <c r="K24" i="53"/>
  <c r="I24" i="53"/>
  <c r="K24" i="48"/>
  <c r="I24" i="48"/>
  <c r="K23" i="49"/>
  <c r="I23" i="49"/>
  <c r="K30" i="50"/>
  <c r="I30" i="50"/>
  <c r="K23" i="54"/>
  <c r="I23" i="54"/>
  <c r="K26" i="54"/>
  <c r="I26" i="54"/>
  <c r="K27" i="55"/>
  <c r="K28" i="55"/>
  <c r="I28" i="55"/>
  <c r="Q30" i="55"/>
  <c r="J21" i="46"/>
  <c r="J21" i="54"/>
  <c r="K32" i="30" l="1"/>
  <c r="I32" i="30"/>
  <c r="K32" i="32"/>
  <c r="I32" i="32"/>
  <c r="J3" i="32"/>
  <c r="K3" i="32" s="1"/>
  <c r="K32" i="22"/>
  <c r="I32" i="22"/>
  <c r="I32" i="17"/>
  <c r="K32" i="17"/>
  <c r="I32" i="37"/>
  <c r="K32" i="37"/>
  <c r="I32" i="21"/>
  <c r="K32" i="21"/>
  <c r="K32" i="2"/>
  <c r="I32" i="2"/>
  <c r="I32" i="49"/>
  <c r="K32" i="49"/>
  <c r="I32" i="13"/>
  <c r="K32" i="13"/>
  <c r="K32" i="6"/>
  <c r="I32" i="6"/>
  <c r="I32" i="42"/>
  <c r="K32" i="42"/>
  <c r="K32" i="4"/>
  <c r="I32" i="4"/>
  <c r="I32" i="9"/>
  <c r="K32" i="9"/>
  <c r="K32" i="38"/>
  <c r="I32" i="38"/>
  <c r="K32" i="40"/>
  <c r="I32" i="40"/>
  <c r="K32" i="36"/>
  <c r="I32" i="36"/>
  <c r="I32" i="45"/>
  <c r="K32" i="45"/>
  <c r="K32" i="10"/>
  <c r="I32" i="10"/>
  <c r="I32" i="46"/>
  <c r="K32" i="46"/>
  <c r="K32" i="44"/>
  <c r="I32" i="44"/>
  <c r="I32" i="54"/>
  <c r="K32" i="54"/>
  <c r="J3" i="45"/>
  <c r="I3" i="45" s="1"/>
  <c r="J3" i="36"/>
  <c r="K3" i="36" s="1"/>
  <c r="K32" i="24"/>
  <c r="I32" i="24"/>
  <c r="K32" i="14"/>
  <c r="I32" i="14"/>
  <c r="I32" i="41"/>
  <c r="K32" i="41"/>
  <c r="I32" i="53"/>
  <c r="K32" i="53"/>
  <c r="K32" i="26"/>
  <c r="I32" i="26"/>
  <c r="K32" i="48"/>
  <c r="I32" i="48"/>
  <c r="I32" i="25"/>
  <c r="K32" i="25"/>
  <c r="I32" i="29"/>
  <c r="K32" i="29"/>
  <c r="K32" i="28"/>
  <c r="I32" i="28"/>
  <c r="K32" i="18"/>
  <c r="I32" i="18"/>
  <c r="I32" i="50"/>
  <c r="K32" i="50"/>
  <c r="I32" i="5"/>
  <c r="K32" i="5"/>
  <c r="K32" i="16"/>
  <c r="I32" i="16"/>
  <c r="I32" i="33"/>
  <c r="K32" i="33"/>
  <c r="K32" i="52"/>
  <c r="I32" i="52"/>
  <c r="K32" i="12"/>
  <c r="I32" i="12"/>
  <c r="K32" i="34"/>
  <c r="I32" i="34"/>
  <c r="K3" i="33"/>
  <c r="I3" i="33"/>
  <c r="K3" i="52"/>
  <c r="I3" i="52"/>
  <c r="I21" i="44"/>
  <c r="J3" i="44"/>
  <c r="K21" i="44"/>
  <c r="J3" i="28"/>
  <c r="I4" i="28"/>
  <c r="K4" i="28"/>
  <c r="K3" i="19"/>
  <c r="I3" i="19"/>
  <c r="J3" i="1"/>
  <c r="I4" i="1"/>
  <c r="K4" i="1"/>
  <c r="J3" i="47"/>
  <c r="K21" i="47"/>
  <c r="I21" i="47"/>
  <c r="J3" i="29"/>
  <c r="K4" i="29"/>
  <c r="I4" i="29"/>
  <c r="I4" i="38"/>
  <c r="J3" i="38"/>
  <c r="K4" i="38"/>
  <c r="I6" i="4"/>
  <c r="K6" i="4"/>
  <c r="J3" i="2"/>
  <c r="K4" i="2"/>
  <c r="I4" i="2"/>
  <c r="K22" i="48"/>
  <c r="I22" i="48"/>
  <c r="J3" i="22"/>
  <c r="I4" i="22"/>
  <c r="K4" i="22"/>
  <c r="I5" i="31"/>
  <c r="J3" i="31"/>
  <c r="K5" i="31"/>
  <c r="I4" i="27"/>
  <c r="K4" i="27"/>
  <c r="J3" i="27"/>
  <c r="I4" i="30"/>
  <c r="J3" i="30"/>
  <c r="K4" i="30"/>
  <c r="K4" i="18"/>
  <c r="I4" i="18"/>
  <c r="J3" i="18"/>
  <c r="K21" i="40"/>
  <c r="I21" i="40"/>
  <c r="K3" i="53"/>
  <c r="I3" i="53"/>
  <c r="J3" i="7"/>
  <c r="K4" i="7"/>
  <c r="I4" i="7"/>
  <c r="I9" i="11"/>
  <c r="K9" i="11"/>
  <c r="J3" i="11"/>
  <c r="J3" i="55"/>
  <c r="K21" i="55"/>
  <c r="I21" i="55"/>
  <c r="K3" i="16"/>
  <c r="I3" i="16"/>
  <c r="J3" i="6"/>
  <c r="K4" i="6"/>
  <c r="I4" i="6"/>
  <c r="I3" i="15"/>
  <c r="K3" i="15"/>
  <c r="K4" i="37"/>
  <c r="I4" i="37"/>
  <c r="J3" i="37"/>
  <c r="I3" i="34"/>
  <c r="K3" i="34"/>
  <c r="I9" i="35"/>
  <c r="K9" i="35"/>
  <c r="I4" i="5"/>
  <c r="J3" i="5"/>
  <c r="K4" i="5"/>
  <c r="J3" i="51"/>
  <c r="K21" i="51"/>
  <c r="I21" i="51"/>
  <c r="K3" i="42"/>
  <c r="I3" i="42"/>
  <c r="K5" i="41"/>
  <c r="J3" i="41"/>
  <c r="I5" i="41"/>
  <c r="J3" i="35"/>
  <c r="I4" i="25"/>
  <c r="J3" i="25"/>
  <c r="K4" i="25"/>
  <c r="J3" i="17"/>
  <c r="K4" i="17"/>
  <c r="I4" i="17"/>
  <c r="J3" i="9"/>
  <c r="K4" i="9"/>
  <c r="I4" i="9"/>
  <c r="I3" i="10"/>
  <c r="K3" i="10"/>
  <c r="J3" i="49"/>
  <c r="K21" i="49"/>
  <c r="I21" i="49"/>
  <c r="I5" i="33"/>
  <c r="K5" i="33"/>
  <c r="J3" i="20"/>
  <c r="K9" i="20"/>
  <c r="I9" i="20"/>
  <c r="K3" i="40"/>
  <c r="I3" i="40"/>
  <c r="J3" i="13"/>
  <c r="K4" i="13"/>
  <c r="I4" i="13"/>
  <c r="I3" i="48"/>
  <c r="K3" i="48"/>
  <c r="J3" i="21"/>
  <c r="K4" i="21"/>
  <c r="I4" i="21"/>
  <c r="J3" i="43"/>
  <c r="K4" i="43"/>
  <c r="I4" i="43"/>
  <c r="J3" i="54"/>
  <c r="K21" i="54"/>
  <c r="I21" i="54"/>
  <c r="I21" i="50"/>
  <c r="J3" i="50"/>
  <c r="K21" i="50"/>
  <c r="J3" i="46"/>
  <c r="K21" i="46"/>
  <c r="I21" i="46"/>
  <c r="K23" i="53"/>
  <c r="I23" i="53"/>
  <c r="J3" i="39"/>
  <c r="K4" i="39"/>
  <c r="I4" i="39"/>
  <c r="J3" i="24"/>
  <c r="K4" i="24"/>
  <c r="I4" i="24"/>
  <c r="I3" i="26"/>
  <c r="K3" i="26"/>
  <c r="I4" i="23"/>
  <c r="J3" i="23"/>
  <c r="K4" i="23"/>
  <c r="J3" i="14"/>
  <c r="K4" i="14"/>
  <c r="I4" i="14"/>
  <c r="J3" i="3"/>
  <c r="K4" i="3"/>
  <c r="I4" i="3"/>
  <c r="I9" i="12"/>
  <c r="J3" i="12"/>
  <c r="K9" i="12"/>
  <c r="J3" i="8"/>
  <c r="K4" i="8"/>
  <c r="I4" i="8"/>
  <c r="J3" i="4"/>
  <c r="I3" i="36" l="1"/>
  <c r="I3" i="32"/>
  <c r="K3" i="45"/>
  <c r="K3" i="9"/>
  <c r="I3" i="9"/>
  <c r="I3" i="43"/>
  <c r="K3" i="43"/>
  <c r="I3" i="38"/>
  <c r="K3" i="38"/>
  <c r="K3" i="44"/>
  <c r="I3" i="44"/>
  <c r="K3" i="49"/>
  <c r="I3" i="49"/>
  <c r="K3" i="1"/>
  <c r="I3" i="1"/>
  <c r="K3" i="47"/>
  <c r="I3" i="47"/>
  <c r="K3" i="5"/>
  <c r="I3" i="5"/>
  <c r="I3" i="31"/>
  <c r="K3" i="31"/>
  <c r="K3" i="2"/>
  <c r="I3" i="2"/>
  <c r="I3" i="21"/>
  <c r="K3" i="21"/>
  <c r="K3" i="23"/>
  <c r="I3" i="23"/>
  <c r="I3" i="18"/>
  <c r="K3" i="18"/>
  <c r="I3" i="39"/>
  <c r="K3" i="39"/>
  <c r="I3" i="41"/>
  <c r="K3" i="41"/>
  <c r="K3" i="17"/>
  <c r="I3" i="17"/>
  <c r="K3" i="7"/>
  <c r="I3" i="7"/>
  <c r="K3" i="54"/>
  <c r="I3" i="54"/>
  <c r="K3" i="11"/>
  <c r="I3" i="11"/>
  <c r="I3" i="30"/>
  <c r="K3" i="30"/>
  <c r="K3" i="8"/>
  <c r="I3" i="8"/>
  <c r="K3" i="14"/>
  <c r="I3" i="14"/>
  <c r="I3" i="24"/>
  <c r="K3" i="24"/>
  <c r="K3" i="46"/>
  <c r="I3" i="46"/>
  <c r="K3" i="20"/>
  <c r="I3" i="20"/>
  <c r="K3" i="6"/>
  <c r="I3" i="6"/>
  <c r="K3" i="27"/>
  <c r="I3" i="27"/>
  <c r="K3" i="22"/>
  <c r="I3" i="22"/>
  <c r="K3" i="50"/>
  <c r="I3" i="50"/>
  <c r="K3" i="28"/>
  <c r="I3" i="28"/>
  <c r="K3" i="13"/>
  <c r="I3" i="13"/>
  <c r="I3" i="4"/>
  <c r="K3" i="4"/>
  <c r="K3" i="3"/>
  <c r="I3" i="3"/>
  <c r="K3" i="55"/>
  <c r="I3" i="55"/>
  <c r="K3" i="25"/>
  <c r="I3" i="25"/>
  <c r="I3" i="29"/>
  <c r="K3" i="29"/>
  <c r="K3" i="12"/>
  <c r="I3" i="12"/>
  <c r="K3" i="35"/>
  <c r="I3" i="35"/>
  <c r="I3" i="51"/>
  <c r="K3" i="51"/>
  <c r="K3" i="37"/>
  <c r="I3"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rgb="FF000000"/>
            <rFont val="Calibri"/>
            <family val="2"/>
          </rPr>
          <t>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
----
Lets price up to get profit positive and see what velocity is like while we are net positive.
	-Bryan Mercer
----
price is high compared to competition
	-Bryan Mercer
----
resupply won't arrive until Mid Jan - See if we can get more margin.
	-Bryan Mercer
----
I think sales will increase in Nov/Dec - I would increase and try to get profitable
	-Bryan Mercer
----
90 to 120d lead time for reorders...
	-Bryan Mercer
----
Lets price up to get profit positive and see what velocity is like while we are net positive.
	-Bryan Mercer
----
price is high compared to competition
	-Bryan Mercer
----
resupply won't arrive until Mid Jan - See if we can get more margin.
	-Bryan Mercer
----
I think sales will increase in Nov/Dec - I would increase and try to get profitable
	-Bryan Mercer
----
90 to 120d lead time for reorders...
	-Bryan Mercer
----
Lets price up to get profit positive and see what velocity is like while we are net positive.
	-Bryan Mercer
----
price is high compared to competition
	-Bryan Mercer
----
resupply won't arrive until Mid Jan - See if we can get more margin.
	-Bryan Mercer
----
I think sales will increase in Nov/Dec - I would increase and try to get profitable
	-Bryan Mercer
----
90 to 120d lead time for reorders...
	-Bryan Mercer
----
Lets price up to get profit positive and see what velocity is like while we are net positive.
	-Bryan Mercer
----
price is high compared to competition
	-Bryan Mercer
----
resupply won't arrive until Mid Jan - See if we can get more margin.
	-Bryan Mercer
----
I think sales will increase in Nov/Dec - I would increase and try to get profitable
	-Bryan Mercer
----
90 to 120d lead time for reorders...
	-Bryan Mercer
----
not sure when we have more inventory coming in
	-Pam Galeone
----
not sure when we have more inventory coming in
	-Pam Galeone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
----
Where are competitors priced?  Some are priced lower - should you open up PPeak range - could make more net profit $$.
	-Pam Galeone
Already sold 4 in one day. I would hold off on opening up the price range because we do have a target velocity of 4 on PPEAK. Will keep an eye on it.
	-Yi Ma
----
not sure when we have more inventory coming in
	-Pam Galeone</t>
        </r>
      </text>
    </comment>
    <comment ref="C3" authorId="0" shapeId="0" xr:uid="{00000000-0006-0000-0000-000002000000}">
      <text>
        <r>
          <rPr>
            <sz val="11"/>
            <color rgb="FF000000"/>
            <rFont val="Calibri"/>
            <family val="2"/>
          </rPr>
          <t xml:space="preserve">Break Even Price
</t>
        </r>
        <r>
          <rPr>
            <sz val="11"/>
            <color rgb="FF000000"/>
            <rFont val="Calibri"/>
            <family val="2"/>
          </rPr>
          <t xml:space="preserve">	-Cassidy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100-000001000000}">
      <text>
        <r>
          <rPr>
            <sz val="11"/>
            <color rgb="FF000000"/>
            <rFont val="Calibri"/>
            <family val="2"/>
          </rPr>
          <t>Break Even Price
	-Cassidy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1"/>
            <color rgb="FF000000"/>
            <rFont val="Calibri"/>
            <family val="2"/>
          </rPr>
          <t>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
----
I think sales will increase in Nov/Dec - I would increase and try to get profitable
	-Bryan Mercer
----
90 to 120d lead time for reorders...
	-Bryan Mercer</t>
        </r>
      </text>
    </comment>
    <comment ref="C3" authorId="0" shapeId="0" xr:uid="{00000000-0006-0000-0200-000002000000}">
      <text>
        <r>
          <rPr>
            <sz val="11"/>
            <color rgb="FF000000"/>
            <rFont val="Calibri"/>
            <family val="2"/>
          </rPr>
          <t>Break Even Price
	-Cassidy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300-000001000000}">
      <text>
        <r>
          <rPr>
            <sz val="11"/>
            <color rgb="FF000000"/>
            <rFont val="Calibri"/>
            <family val="2"/>
          </rPr>
          <t>Break Even Price
	-Cassidy</t>
        </r>
      </text>
    </comment>
    <comment ref="B7" authorId="0" shapeId="0" xr:uid="{00000000-0006-0000-0300-000002000000}">
      <text>
        <r>
          <rPr>
            <sz val="11"/>
            <color rgb="FF000000"/>
            <rFont val="Calibri"/>
            <family val="2"/>
          </rPr>
          <t>not sure when we have more inventory coming in
	-Pam Galeone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400-000001000000}">
      <text>
        <r>
          <rPr>
            <sz val="11"/>
            <color rgb="FF000000"/>
            <rFont val="Calibri"/>
            <family val="2"/>
          </rPr>
          <t>Break Even Price
	-Cassidy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500-000001000000}">
      <text>
        <r>
          <rPr>
            <sz val="11"/>
            <color rgb="FF000000"/>
            <rFont val="Calibri"/>
            <family val="2"/>
          </rPr>
          <t>Break Even Price
	-Cassidy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600-000001000000}">
      <text>
        <r>
          <rPr>
            <sz val="11"/>
            <color rgb="FF000000"/>
            <rFont val="Calibri"/>
            <family val="2"/>
          </rPr>
          <t>Break Even Price
	-Cassidy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700-000001000000}">
      <text>
        <r>
          <rPr>
            <sz val="11"/>
            <color rgb="FF000000"/>
            <rFont val="Calibri"/>
            <family val="2"/>
          </rPr>
          <t>Break Even Price
	-Cassidy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800-000001000000}">
      <text>
        <r>
          <rPr>
            <sz val="11"/>
            <color rgb="FF000000"/>
            <rFont val="Calibri"/>
            <family val="2"/>
          </rPr>
          <t>Cassidy:
Break Even Price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900-000001000000}">
      <text>
        <r>
          <rPr>
            <sz val="11"/>
            <color rgb="FF000000"/>
            <rFont val="Calibri"/>
            <family val="2"/>
          </rPr>
          <t>Cassidy:
Break Even Price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A00-000001000000}">
      <text>
        <r>
          <rPr>
            <sz val="11"/>
            <color rgb="FF000000"/>
            <rFont val="Calibri"/>
            <family val="2"/>
          </rPr>
          <t>Cassidy:
Break Even Price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B00-000001000000}">
      <text>
        <r>
          <rPr>
            <sz val="11"/>
            <color rgb="FF000000"/>
            <rFont val="Calibri"/>
            <family val="2"/>
          </rPr>
          <t>Cassidy:
Break Even Price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C00-000001000000}">
      <text>
        <r>
          <rPr>
            <sz val="11"/>
            <color rgb="FF000000"/>
            <rFont val="Calibri"/>
            <family val="2"/>
          </rPr>
          <t>Cassidy:
Break Even Price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D00-000001000000}">
      <text>
        <r>
          <rPr>
            <sz val="11"/>
            <color rgb="FF000000"/>
            <rFont val="Calibri"/>
            <family val="2"/>
          </rPr>
          <t>Cassidy:
Break Even Price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E00-000001000000}">
      <text>
        <r>
          <rPr>
            <sz val="11"/>
            <color rgb="FF000000"/>
            <rFont val="Calibri"/>
            <family val="2"/>
          </rPr>
          <t>Cassidy:
Break Even Price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F00-000001000000}">
      <text>
        <r>
          <rPr>
            <sz val="11"/>
            <color rgb="FF000000"/>
            <rFont val="Calibri"/>
            <family val="2"/>
          </rPr>
          <t>Cassidy:
Break Even Price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000-000001000000}">
      <text>
        <r>
          <rPr>
            <sz val="11"/>
            <color rgb="FF000000"/>
            <rFont val="Calibri"/>
            <family val="2"/>
          </rPr>
          <t>Cassidy:
Break Even Price</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100-000001000000}">
      <text>
        <r>
          <rPr>
            <sz val="11"/>
            <color rgb="FF000000"/>
            <rFont val="Calibri"/>
            <family val="2"/>
          </rPr>
          <t>Cassidy:
Break Even Price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200-000001000000}">
      <text>
        <r>
          <rPr>
            <sz val="11"/>
            <color rgb="FF000000"/>
            <rFont val="Calibri"/>
            <family val="2"/>
          </rPr>
          <t>Cassidy:
Break Even Price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300-000001000000}">
      <text>
        <r>
          <rPr>
            <sz val="11"/>
            <color rgb="FF000000"/>
            <rFont val="Calibri"/>
            <family val="2"/>
          </rPr>
          <t>Cassidy:
Break Even Price</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400-000001000000}">
      <text>
        <r>
          <rPr>
            <sz val="11"/>
            <color rgb="FF000000"/>
            <rFont val="Calibri"/>
            <family val="2"/>
          </rPr>
          <t>Cassidy:
Break Even Price</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500-000001000000}">
      <text>
        <r>
          <rPr>
            <sz val="11"/>
            <color rgb="FF000000"/>
            <rFont val="Calibri"/>
            <family val="2"/>
          </rPr>
          <t>Cassidy:
Break Even Price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600-000001000000}">
      <text>
        <r>
          <rPr>
            <sz val="11"/>
            <color rgb="FF000000"/>
            <rFont val="Calibri"/>
            <family val="2"/>
          </rPr>
          <t>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the FBA fee also impacted margin for this  cord - not just advertising
	-Pam Galeone
----
lost buy box
	-Pam Galeone
----
lost buy box
	-Pam Galeone
----
only small quantities in bound and on order.
	-Bryan Mercer
----
NOTE:  The earliest ANY surge suppressors will arrive (of the 4 SKUs we have) will be the end of January. (the In Transit amt is wrong here)
	-Bryan Mercer
----
the FBA fee also impacted margin for this  cord - not just advertising
	-Pam Galeone
----
lost buy box
	-Pam Galeone
----
lost buy box
	-Pam Galeone</t>
        </r>
      </text>
    </comment>
    <comment ref="C3" authorId="0" shapeId="0" xr:uid="{00000000-0006-0000-1600-000002000000}">
      <text>
        <r>
          <rPr>
            <sz val="11"/>
            <color rgb="FF000000"/>
            <rFont val="Calibri"/>
            <family val="2"/>
          </rPr>
          <t>Break Even Price
	-Cassidy</t>
        </r>
      </text>
    </comment>
    <comment ref="B10" authorId="0" shapeId="0" xr:uid="{00000000-0006-0000-1600-000003000000}">
      <text>
        <r>
          <rPr>
            <sz val="11"/>
            <color rgb="FF000000"/>
            <rFont val="Calibri"/>
            <family val="2"/>
          </rPr>
          <t>Where are competitors priced?  Some are priced lower - should you open up PPeak range - could make more net profit $$.
	-Pam Galeone
Already sold 4 in one day. I would hold off on opening up the price range because we do have a target velocity of 4 on PPEAK. Will keep an eye on it.
	-Yi Ma</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700-000001000000}">
      <text>
        <r>
          <rPr>
            <sz val="11"/>
            <color rgb="FF000000"/>
            <rFont val="Calibri"/>
            <family val="2"/>
          </rPr>
          <t>Break Even Price
	-Cassidy</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800-000001000000}">
      <text>
        <r>
          <rPr>
            <sz val="11"/>
            <color rgb="FF000000"/>
            <rFont val="Calibri"/>
            <family val="2"/>
          </rPr>
          <t>Break Even Price
	-Cassidy</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900-000001000000}">
      <text>
        <r>
          <rPr>
            <sz val="11"/>
            <color rgb="FF000000"/>
            <rFont val="Calibri"/>
            <family val="2"/>
          </rPr>
          <t>Break Even Price
	-Cassidy</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A00-000001000000}">
      <text>
        <r>
          <rPr>
            <sz val="11"/>
            <color rgb="FF000000"/>
            <rFont val="Calibri"/>
            <family val="2"/>
          </rPr>
          <t>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t>
        </r>
      </text>
    </comment>
    <comment ref="C3" authorId="0" shapeId="0" xr:uid="{00000000-0006-0000-1A00-000002000000}">
      <text>
        <r>
          <rPr>
            <sz val="11"/>
            <color rgb="FF000000"/>
            <rFont val="Calibri"/>
            <family val="2"/>
          </rPr>
          <t>Break Even Price
	-Cassidy</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B00-000001000000}">
      <text>
        <r>
          <rPr>
            <sz val="11"/>
            <color rgb="FF000000"/>
            <rFont val="Calibri"/>
            <family val="2"/>
          </rPr>
          <t>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Austin.  Amy is selling these for 18.99 on ebay.  Looks like we need to cut price back to something competitive, and also perhaps discuss with amy if we should really be selling these at this price on ebay.  (do we make a profit?)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
----
Item has been suppressed due to main image.
	-Bryan Mercer
----
Item has been suppressed due to main image
	-Bryan Mercer
----
Austin.  Amy is selling these for 18.99 on ebay.  Looks like we need to cut price back to something competitive, and also perhaps discuss with amy if we should really be selling these at this price on ebay.  (do we make a profit?)
	-Bryan Mercer</t>
        </r>
      </text>
    </comment>
    <comment ref="C3" authorId="0" shapeId="0" xr:uid="{00000000-0006-0000-1B00-000002000000}">
      <text>
        <r>
          <rPr>
            <sz val="11"/>
            <color rgb="FF000000"/>
            <rFont val="Calibri"/>
            <family val="2"/>
          </rPr>
          <t>Break Even Price
	-Cassidy</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1"/>
            <color rgb="FF000000"/>
            <rFont val="Calibri"/>
            <family val="2"/>
          </rPr>
          <t>Break Even Price
	-Cassidy</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1000000}">
      <text>
        <r>
          <rPr>
            <sz val="11"/>
            <color rgb="FF000000"/>
            <rFont val="Calibri"/>
            <family val="2"/>
          </rPr>
          <t>Break Even Price
	-Cassidy</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E00-000001000000}">
      <text>
        <r>
          <rPr>
            <sz val="11"/>
            <color rgb="FF000000"/>
            <rFont val="Calibri"/>
            <family val="2"/>
          </rPr>
          <t>Break Even Price
	-Cassidy</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F00-000001000000}">
      <text>
        <r>
          <rPr>
            <sz val="11"/>
            <color rgb="FF000000"/>
            <rFont val="Calibri"/>
            <family val="2"/>
          </rPr>
          <t>Break Even Price
	-Cassidy</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000-000001000000}">
      <text>
        <r>
          <rPr>
            <sz val="11"/>
            <color rgb="FF000000"/>
            <rFont val="Calibri"/>
            <family val="2"/>
          </rPr>
          <t>Break Even Price
	-Cassidy</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100-000001000000}">
      <text>
        <r>
          <rPr>
            <sz val="11"/>
            <color rgb="FF000000"/>
            <rFont val="Calibri"/>
            <family val="2"/>
          </rPr>
          <t>Break Even Price
	-Cassidy</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200-000001000000}">
      <text>
        <r>
          <rPr>
            <sz val="11"/>
            <color rgb="FF000000"/>
            <rFont val="Calibri"/>
            <family val="2"/>
          </rPr>
          <t>Break Even Price
	-Cassidy</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300-000001000000}">
      <text>
        <r>
          <rPr>
            <sz val="11"/>
            <color rgb="FF000000"/>
            <rFont val="Calibri"/>
            <family val="2"/>
          </rPr>
          <t>Break Even Price
	-Cassidy</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400-000001000000}">
      <text>
        <r>
          <rPr>
            <sz val="11"/>
            <color rgb="FF000000"/>
            <rFont val="Calibri"/>
            <family val="2"/>
          </rPr>
          <t>Break Even Price
	-Cassidy</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500-000001000000}">
      <text>
        <r>
          <rPr>
            <sz val="11"/>
            <color rgb="FF000000"/>
            <rFont val="Calibri"/>
            <family val="2"/>
          </rPr>
          <t>Break Even Price
	-Cassidy</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600-000001000000}">
      <text>
        <r>
          <rPr>
            <sz val="11"/>
            <color rgb="FF000000"/>
            <rFont val="Calibri"/>
            <family val="2"/>
          </rPr>
          <t>Break Even Price
	-Cassidy</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700-000001000000}">
      <text>
        <r>
          <rPr>
            <sz val="11"/>
            <color rgb="FF000000"/>
            <rFont val="Calibri"/>
            <family val="2"/>
          </rPr>
          <t>Break Even Price
	-Cassidy</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800-000001000000}">
      <text>
        <r>
          <rPr>
            <sz val="11"/>
            <color rgb="FF000000"/>
            <rFont val="Calibri"/>
            <family val="2"/>
          </rPr>
          <t>Break Even Price
	-Cassidy</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900-000001000000}">
      <text>
        <r>
          <rPr>
            <sz val="11"/>
            <color rgb="FF000000"/>
            <rFont val="Calibri"/>
            <family val="2"/>
          </rPr>
          <t>Break Even Price
	-Cassidy</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2A00-000001000000}">
      <text>
        <r>
          <rPr>
            <sz val="11"/>
            <color rgb="FF000000"/>
            <rFont val="Calibri"/>
            <family val="2"/>
          </rPr>
          <t>Break Even Price
	-Cassidy</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2B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2B00-000002000000}">
      <text>
        <r>
          <rPr>
            <sz val="11"/>
            <color rgb="FF000000"/>
            <rFont val="Calibri"/>
            <family val="2"/>
          </rPr>
          <t>Cassidy:
Break Even Price</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2C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2C00-000002000000}">
      <text>
        <r>
          <rPr>
            <sz val="11"/>
            <color rgb="FF000000"/>
            <rFont val="Calibri"/>
            <family val="2"/>
          </rPr>
          <t>Cassidy:
Break Even Price</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2D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2D00-000002000000}">
      <text>
        <r>
          <rPr>
            <sz val="11"/>
            <color rgb="FF000000"/>
            <rFont val="Calibri"/>
            <family val="2"/>
          </rPr>
          <t>Cassidy:
Break Even Price</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2E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2E00-000002000000}">
      <text>
        <r>
          <rPr>
            <sz val="11"/>
            <color rgb="FF000000"/>
            <rFont val="Calibri"/>
            <family val="2"/>
          </rPr>
          <t>Cassidy:
Break Even Price</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2F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2F00-000002000000}">
      <text>
        <r>
          <rPr>
            <sz val="11"/>
            <color rgb="FF000000"/>
            <rFont val="Calibri"/>
            <family val="2"/>
          </rPr>
          <t>Cassidy:
Break Even Price</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30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3000-000002000000}">
      <text>
        <r>
          <rPr>
            <sz val="11"/>
            <color rgb="FF000000"/>
            <rFont val="Calibri"/>
            <family val="2"/>
          </rPr>
          <t>Cassidy:
Break Even Price</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31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3100-000002000000}">
      <text>
        <r>
          <rPr>
            <sz val="11"/>
            <color rgb="FF000000"/>
            <rFont val="Calibri"/>
            <family val="2"/>
          </rPr>
          <t>Cassidy:
Break Even Price</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32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3200-000002000000}">
      <text>
        <r>
          <rPr>
            <sz val="11"/>
            <color rgb="FF000000"/>
            <rFont val="Calibri"/>
            <family val="2"/>
          </rPr>
          <t>Cassidy:
Break Even Price</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33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3300-000002000000}">
      <text>
        <r>
          <rPr>
            <sz val="11"/>
            <color rgb="FF000000"/>
            <rFont val="Calibri"/>
            <family val="2"/>
          </rPr>
          <t>Cassidy:
Break Even Price</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34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3400-000002000000}">
      <text>
        <r>
          <rPr>
            <sz val="11"/>
            <color rgb="FF000000"/>
            <rFont val="Calibri"/>
            <family val="2"/>
          </rPr>
          <t>Cassidy:
Break Even Price</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35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3500-000002000000}">
      <text>
        <r>
          <rPr>
            <sz val="11"/>
            <color rgb="FF000000"/>
            <rFont val="Calibri"/>
            <family val="2"/>
          </rPr>
          <t>Cassidy:
Break Even Price</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3600-000001000000}">
      <text>
        <r>
          <rPr>
            <sz val="11"/>
            <color rgb="FF000000"/>
            <rFont val="Calibri"/>
            <family val="2"/>
          </rPr>
          <t>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
----
can we get better margin?
	-Bryan Mercer
----
priced too low?
	-Bryan Mercer
----
priced too low
	-Bryan Mercer
----
not sure about more inventory. can we get more margin
	-Bryan Mercer
----
high ppc spend.
	-Bryan Mercer
----
margin low
	-Bryan Mercer
----
margin low
	-Bryan Mercer
----
again - QOH decreasing, profit peak lowering prices - lower margin
	-Bryan Mercer
----
profit peak drove price down as we were running out of inventory??  should have gone the other direction.
	-Bryan Mercer
----
should be able to get high margin when people begin buying for christmas
	-Bryan Mercer
----
I wouldn't push too hard on the green cords until early Nov - christmas sales.  Don't deplete too soon.
	-Bryan Mercer</t>
        </r>
      </text>
    </comment>
    <comment ref="C3" authorId="0" shapeId="0" xr:uid="{00000000-0006-0000-3600-000002000000}">
      <text>
        <r>
          <rPr>
            <sz val="11"/>
            <color rgb="FF000000"/>
            <rFont val="Calibri"/>
            <family val="2"/>
          </rPr>
          <t>Cassidy:
Break Even Price</t>
        </r>
      </text>
    </comment>
  </commentList>
</comments>
</file>

<file path=xl/sharedStrings.xml><?xml version="1.0" encoding="utf-8"?>
<sst xmlns="http://schemas.openxmlformats.org/spreadsheetml/2006/main" count="7525" uniqueCount="968">
  <si>
    <t>Price</t>
  </si>
  <si>
    <t>AMZ
Sales</t>
  </si>
  <si>
    <t>Non-AMZ 
Sales</t>
  </si>
  <si>
    <t>Revenue</t>
  </si>
  <si>
    <t>PPC Spend</t>
  </si>
  <si>
    <t>% 
Ad Spend</t>
  </si>
  <si>
    <t>Margin
(Incl. Storage)</t>
  </si>
  <si>
    <t>Net Profit 
(Incl. Storage)</t>
  </si>
  <si>
    <t>Profit / 
Piece</t>
  </si>
  <si>
    <t>Sessions</t>
  </si>
  <si>
    <t>Conversion
Rate</t>
  </si>
  <si>
    <t>QTY</t>
  </si>
  <si>
    <t>AMZ
7D Velocity</t>
  </si>
  <si>
    <t>Non-AMZ
7D Velocity</t>
  </si>
  <si>
    <t>DOH</t>
  </si>
  <si>
    <t>Sell
Through</t>
  </si>
  <si>
    <t>In 
Transit</t>
  </si>
  <si>
    <t>Arrival Date</t>
  </si>
  <si>
    <t xml:space="preserve">PPC
Sales </t>
  </si>
  <si>
    <t>% PPC Sales</t>
  </si>
  <si>
    <t>Cost per PPC Sale</t>
  </si>
  <si>
    <t>PPC Sales 
(Other SKUs)</t>
  </si>
  <si>
    <t>Size Tier</t>
  </si>
  <si>
    <t>Storage Per 
Cubic Ft.</t>
  </si>
  <si>
    <t xml:space="preserve">Volume </t>
  </si>
  <si>
    <t>Storage
Cost</t>
  </si>
  <si>
    <t>FBA 
Fee</t>
  </si>
  <si>
    <t>Blended 
Landed Cost</t>
  </si>
  <si>
    <t>Coupons</t>
  </si>
  <si>
    <t>PL-IFC-103DRYADP-BK1.5</t>
  </si>
  <si>
    <t>Totals</t>
  </si>
  <si>
    <t>12/28 to 1/3</t>
  </si>
  <si>
    <t>Lowered min to $29.95</t>
  </si>
  <si>
    <t/>
  </si>
  <si>
    <t>UsLargeStandardSize</t>
  </si>
  <si>
    <t>1/4 to 1/10</t>
  </si>
  <si>
    <t>Removed target. Raised min to $37.95</t>
  </si>
  <si>
    <t>1/11 to 1/17</t>
  </si>
  <si>
    <t>Raised min to $41.74</t>
  </si>
  <si>
    <t xml:space="preserve">:  -  :  -  :  -  :  -  :  -  :  -  :  -  :  -  :  -  :  - :  -  :  -  :  -  :  -  :  -  :  -  :  -  :  -  :  - </t>
  </si>
  <si>
    <t>1/18 to 1/24</t>
  </si>
  <si>
    <t>Raised min to $45.99</t>
  </si>
  <si>
    <t>1/25 to 1/31</t>
  </si>
  <si>
    <t>Raised min to $50.58</t>
  </si>
  <si>
    <t>2/1 to 2/7</t>
  </si>
  <si>
    <t>1 remaining</t>
  </si>
  <si>
    <t>2/8 to 2/14</t>
  </si>
  <si>
    <t>Maintain</t>
  </si>
  <si>
    <t>2/15 to 2/21</t>
  </si>
  <si>
    <t>2/22 to 2/28</t>
  </si>
  <si>
    <t>3/1 to 3/7</t>
  </si>
  <si>
    <t>3/8 to 3/14</t>
  </si>
  <si>
    <t>Out (closed)</t>
  </si>
  <si>
    <t>3/15 to 3/21</t>
  </si>
  <si>
    <t>3/22 to 3/28</t>
  </si>
  <si>
    <t>3/29 to 4/4</t>
  </si>
  <si>
    <t>4/5 to 4/11</t>
  </si>
  <si>
    <t>4/12 to 4/18</t>
  </si>
  <si>
    <t>4/19 to 4/25</t>
  </si>
  <si>
    <t>4/26 to 5/2</t>
  </si>
  <si>
    <t>5/3 to 5/9</t>
  </si>
  <si>
    <t>AGL 234: 300 - 06/25/21</t>
  </si>
  <si>
    <t>5/10 to 5/16</t>
  </si>
  <si>
    <t>AGL 234: 300 - TBD</t>
  </si>
  <si>
    <t>5/17 to 5/23</t>
  </si>
  <si>
    <t>5/24 to 5/30</t>
  </si>
  <si>
    <t>AGL234: 300 - TBD</t>
  </si>
  <si>
    <t>5/31 to 6/6</t>
  </si>
  <si>
    <t>AGL234: 300 - 07/05/21</t>
  </si>
  <si>
    <t>6/7 to 6/13</t>
  </si>
  <si>
    <t>AGL234: 300 - 07/19/21</t>
  </si>
  <si>
    <t>6/14 to 6/20</t>
  </si>
  <si>
    <t>6/21 to 6/27</t>
  </si>
  <si>
    <t>AGL234: 300 - 07/23/21</t>
  </si>
  <si>
    <t>6/28 to 7/4</t>
  </si>
  <si>
    <t>7/5 to 7/11</t>
  </si>
  <si>
    <t>PL-IFC-104DRYADP-BK1.5</t>
  </si>
  <si>
    <t>Lowered min to $19.95</t>
  </si>
  <si>
    <t>Raised min to $20.95</t>
  </si>
  <si>
    <t>Raised PP to $25.01 to $39.99. Removed target of 1</t>
  </si>
  <si>
    <t>Raised min to $27.51</t>
  </si>
  <si>
    <t>Raised min to $29.95</t>
  </si>
  <si>
    <t>Continue with Profit Peak</t>
  </si>
  <si>
    <t>Lowered min by $1 to $28.95</t>
  </si>
  <si>
    <t>Lowered PPEAK min by $2 to $26.95; added target velocity of 2</t>
  </si>
  <si>
    <t>Lowered PPEAK min by another $2 to $24.95</t>
  </si>
  <si>
    <t>Lowered PPEAK min to $21.99</t>
  </si>
  <si>
    <t>Lowered PPEAK min by another $1 to 20.99</t>
  </si>
  <si>
    <t>Not as popular as 4 to 3</t>
  </si>
  <si>
    <t>AGL 234: 150 - 06/25/21</t>
  </si>
  <si>
    <t>Lowered PPEAK min by $1 to $19.99 to improve sell through</t>
  </si>
  <si>
    <t>AGL 234: 150 - TBD</t>
  </si>
  <si>
    <t>Priced at $17.99 in SC</t>
  </si>
  <si>
    <t>Selling at $17.99</t>
  </si>
  <si>
    <t>AGL234: 150 - TBD</t>
  </si>
  <si>
    <t>Increased sales; maintain</t>
  </si>
  <si>
    <t>AGL234: 150 - 07/05/21</t>
  </si>
  <si>
    <t>Increase price by $1 to $18.99</t>
  </si>
  <si>
    <t>AGL234: 150 - 07/19/21</t>
  </si>
  <si>
    <t>Mild inventory strech</t>
  </si>
  <si>
    <t>AGL234: 150 - 07/23/21</t>
  </si>
  <si>
    <t>Decreased price by $1 to $17.99</t>
  </si>
  <si>
    <t>Maintain because restock soon</t>
  </si>
  <si>
    <t>PL-IFC-103DRY-GY04</t>
  </si>
  <si>
    <t>Removed target of 1</t>
  </si>
  <si>
    <t>Added target of 1</t>
  </si>
  <si>
    <t>Raised min to $14.56</t>
  </si>
  <si>
    <t>Raised min to $15.99</t>
  </si>
  <si>
    <t>Lowered PPEAK min by $1 to $14.99</t>
  </si>
  <si>
    <t>Maintain; 100 arriving in May and 200 in June</t>
  </si>
  <si>
    <t xml:space="preserve"> | #394: 100 - 06/01/21</t>
  </si>
  <si>
    <t xml:space="preserve"> | #394: 100 - 06/10/21</t>
  </si>
  <si>
    <t xml:space="preserve"> | #394: 100 - 06/04/21</t>
  </si>
  <si>
    <t xml:space="preserve"> | #394: 100 - 06/09/21</t>
  </si>
  <si>
    <t xml:space="preserve"> | #394: 100 - 06/12/21</t>
  </si>
  <si>
    <t>Restocked; PPEAK reconnected; $13.99 to $19.99</t>
  </si>
  <si>
    <t>Maintain before further price drop</t>
  </si>
  <si>
    <t>Decreased PPEAK min by $2 to $11.99</t>
  </si>
  <si>
    <t>PL-IFC-103DRY-GY06</t>
  </si>
  <si>
    <t>Lowered min to $13.99. Added target of 1</t>
  </si>
  <si>
    <t>Lowered min to $12.99</t>
  </si>
  <si>
    <t>Raised min to $15.03, max to $29.99, removed target. Scheduled at $19.99 for a couple days</t>
  </si>
  <si>
    <t>Raised min to $19.7</t>
  </si>
  <si>
    <t>Raised min to $21.67</t>
  </si>
  <si>
    <t>Rased PPEAK min by $3 to $24.67</t>
  </si>
  <si>
    <t>Restocked; reconnected PPEAK; $23.99 to $29.99</t>
  </si>
  <si>
    <t>Maintiain before further price drop</t>
  </si>
  <si>
    <t>Sales picked up; maintain</t>
  </si>
  <si>
    <t>PL-IFC-103DRY-GY10</t>
  </si>
  <si>
    <t>closed</t>
  </si>
  <si>
    <t xml:space="preserve">
#306;SW: 700 - 01/17/21
#309: 220 - 01/27/21</t>
  </si>
  <si>
    <t>sold out</t>
  </si>
  <si>
    <t xml:space="preserve"> #306;SW: 700 - 01/17/21 #309: 220 - 01/30/21</t>
  </si>
  <si>
    <t xml:space="preserve">:  -  #309;SW: 220 - 01/30/21 :  -  :  -  :  -  :  -  :  -  :  -  :  -  :  - :  -  :  -  :  -  :  -  :  -  :  -  :  -  :  -  :  - </t>
  </si>
  <si>
    <t>Lowered min to $11.99. Added target of 11. Scheduled at $22.99 for a couple days</t>
  </si>
  <si>
    <t xml:space="preserve">:  -  #309;SW: 220 - 01/28/21 :  -  :  -  :  -  :  -  :  -  #336: 80 - 02/24/21 :  -  :  - :  -  :  -  :  -  :  -  :  -  :  -  :  -  :  -  :  - </t>
  </si>
  <si>
    <t>Raised min to $21.99</t>
  </si>
  <si>
    <t xml:space="preserve"> | #336: 80 - 02/27/21</t>
  </si>
  <si>
    <t>Raised PP to $26.47 to $39.99</t>
  </si>
  <si>
    <t xml:space="preserve"> | #336: 80 - 03/03/21</t>
  </si>
  <si>
    <t xml:space="preserve"> | #336: 80 - 02/28/21</t>
  </si>
  <si>
    <t xml:space="preserve"> | #336: 80 - 02/25/21</t>
  </si>
  <si>
    <t>Increased PPEAK min by $1 to $28.47 due to low DOH</t>
  </si>
  <si>
    <t>Increased PPEAK min by another $2 to $30.47 due to low DOH</t>
  </si>
  <si>
    <t>Maintain; 1000 arriving in May</t>
  </si>
  <si>
    <t>Increased PPEAK min by $1 to $31.47</t>
  </si>
  <si>
    <t>Increased PPEAK min by $2 to $33.47</t>
  </si>
  <si>
    <t xml:space="preserve"> | #394: 1000 - 06/01/21</t>
  </si>
  <si>
    <t>Increased PPEAK min to $35.99 due to low DOH</t>
  </si>
  <si>
    <t xml:space="preserve"> | #394: 1000 - 06/10/21</t>
  </si>
  <si>
    <t>Selling out</t>
  </si>
  <si>
    <t xml:space="preserve"> | #394: 1000 - 06/04/21</t>
  </si>
  <si>
    <t xml:space="preserve"> | #394: 1000 - 06/09/21</t>
  </si>
  <si>
    <t xml:space="preserve"> | #394: 1000 - 06/09/21 | #407: 200 - 06/25/21</t>
  </si>
  <si>
    <t xml:space="preserve"> | #394: 1000 - 06/12/21 | #407: 200 - 07/02/21</t>
  </si>
  <si>
    <t xml:space="preserve"> | #407: 200 - 07/02/21</t>
  </si>
  <si>
    <t>Restocked; decreased PPEAK min to $29.99 with 10 target velocity</t>
  </si>
  <si>
    <t xml:space="preserve"> | #407: 200 - 07/07/21</t>
  </si>
  <si>
    <t>Maintain to keep up the momentum; 200 coming</t>
  </si>
  <si>
    <t xml:space="preserve"> | #407: 200 - 07/09/21</t>
  </si>
  <si>
    <t>PL-IFC-104DRY-BK04</t>
  </si>
  <si>
    <t>Lowered min to $14.95</t>
  </si>
  <si>
    <t xml:space="preserve">
#306;SW: 240 - 01/17/21</t>
  </si>
  <si>
    <t>Increased target to 2</t>
  </si>
  <si>
    <t xml:space="preserve"> #306;SW: 240 - 01/17/21</t>
  </si>
  <si>
    <t>Lowered min to $13.95</t>
  </si>
  <si>
    <t>Increased target to 3</t>
  </si>
  <si>
    <t>Turned PPC on</t>
  </si>
  <si>
    <t>Turned PPC off. Lowered min to $11.95 and target to 1</t>
  </si>
  <si>
    <t>Increased PPEAK min by $2 to $13.95</t>
  </si>
  <si>
    <t>Maintain; 140 in US</t>
  </si>
  <si>
    <t>Out; some in transit</t>
  </si>
  <si>
    <t>Increased PPEAK min by $1 to $14.95</t>
  </si>
  <si>
    <t>Increased PPEAK min by another $1 to $15.95</t>
  </si>
  <si>
    <t>Added target velocity of 2</t>
  </si>
  <si>
    <t>Raised PPEAK min by $0.5 to $16.59</t>
  </si>
  <si>
    <t>Maintain; sales fluctuate a lot for this product</t>
  </si>
  <si>
    <t>PPEAK $15.99 to $20.99 to improve sell through</t>
  </si>
  <si>
    <t>Improved sales; maintain</t>
  </si>
  <si>
    <t>PL-IFC-104DRY-BK06</t>
  </si>
  <si>
    <t>Raised min to $24.14</t>
  </si>
  <si>
    <t xml:space="preserve">
#306;SW: 180 - 01/17/21
#309: 60 - 01/27/21</t>
  </si>
  <si>
    <t>Lowered min to $20.95</t>
  </si>
  <si>
    <t xml:space="preserve"> #306;SW: 180 - 01/17/21 #309: 60 - 01/30/21</t>
  </si>
  <si>
    <t>sold out. Lowered min to $17.95 for when new inventory hits</t>
  </si>
  <si>
    <t xml:space="preserve">:  -  #309;SW: 60 - 01/30/21 :  -  :  -  :  -  :  -  :  -  :  -  :  -  :  - :  -  :  -  :  -  :  -  :  -  :  -  :  -  :  -  :  - </t>
  </si>
  <si>
    <t>Increased target to 3. Lowered max to $19.99</t>
  </si>
  <si>
    <t xml:space="preserve">:  -  #309;SW: 60 - 01/28/21 :  -  :  -  :  -  :  -  :  -  :  -  :  -  :  - :  -  :  -  :  -  :  -  :  -  :  -  :  -  :  -  :  - </t>
  </si>
  <si>
    <t>Removed target</t>
  </si>
  <si>
    <t>Raised PP to $20.95 to $29.99 with target of 2</t>
  </si>
  <si>
    <t>Maintain; 78 arriving soon; 204 in May and 204 in June</t>
  </si>
  <si>
    <t>Lowered PPEAK min by $1 to $19.95</t>
  </si>
  <si>
    <t>Increased PPEAK min by $2 to $21.95</t>
  </si>
  <si>
    <t xml:space="preserve"> | 204: 204 - </t>
  </si>
  <si>
    <t>maintain</t>
  </si>
  <si>
    <t xml:space="preserve"> | #395: 204 - 06/08/21</t>
  </si>
  <si>
    <t xml:space="preserve"> | #395: 204 - 06/10/21</t>
  </si>
  <si>
    <t>Some restock; lowered PPEAK min by $1 to 20.99</t>
  </si>
  <si>
    <t xml:space="preserve"> | #395: 204 - 06/04/21</t>
  </si>
  <si>
    <t>Good sell through; maintain</t>
  </si>
  <si>
    <t xml:space="preserve"> | #395: 204 - 06/09/21</t>
  </si>
  <si>
    <t xml:space="preserve"> | #395: 204 - 06/12/21</t>
  </si>
  <si>
    <t>Restocked; decreased PPEAK min by $1 to $19.99</t>
  </si>
  <si>
    <t>Bulk order of 50</t>
  </si>
  <si>
    <t>PL-IFC-104DRY-BK10</t>
  </si>
  <si>
    <t>Lowered min to $32.99</t>
  </si>
  <si>
    <t xml:space="preserve">
#306;SW: 280 - 01/17/21
#309: 120 - 01/27/21</t>
  </si>
  <si>
    <t xml:space="preserve"> #306;SW: 280 - 01/17/21 #309: 120 - 01/30/21</t>
  </si>
  <si>
    <t xml:space="preserve">:  -  #309;SW: 120 - 01/30/21 :  -  :  -  :  -  :  -  :  -  :  -  :  -  :  - :  -  :  -  :  -  :  -  :  -  :  -  :  -  :  -  :  - </t>
  </si>
  <si>
    <t>Turned on PP from $21.95 to $29.99 with target of 4</t>
  </si>
  <si>
    <t xml:space="preserve">:  -  #309;SW: 120 - 01/28/21 :  -  :  -  :  -  :  -  :  -  :  -  :  -  :  - :  -  :  -  :  -  :  -  :  -  :  -  :  -  :  -  :  - </t>
  </si>
  <si>
    <t>Raised PP to $29.99 to $39.99</t>
  </si>
  <si>
    <t>Raised min to $37.38. Removed target</t>
  </si>
  <si>
    <t>Raised PPEAK min to $39.99</t>
  </si>
  <si>
    <t>Raised PPEAK min to $42.99</t>
  </si>
  <si>
    <t>Selling out; 300 in May and 300 in June</t>
  </si>
  <si>
    <t xml:space="preserve"> | #394: 300 - 06/01/21</t>
  </si>
  <si>
    <t xml:space="preserve"> | #395: 300 - 06/10/21 | #410: 300 - 07/02/21</t>
  </si>
  <si>
    <t xml:space="preserve"> | #395: 300 - 06/04/21 | #410: 300 - 07/02/21</t>
  </si>
  <si>
    <t xml:space="preserve"> | #395: 300 - 06/04/21 | #410: 110 - 07/02/21</t>
  </si>
  <si>
    <t xml:space="preserve"> | #395: 300 - 06/09/21 | #410: 110 - 07/02/21</t>
  </si>
  <si>
    <t xml:space="preserve"> | #395: 300 - 06/12/21 | #410: 110 - 07/02/21</t>
  </si>
  <si>
    <t xml:space="preserve"> | #410: 110 - 07/02/21</t>
  </si>
  <si>
    <t>Restocked; decreased PPEAK min to $36.99</t>
  </si>
  <si>
    <t xml:space="preserve"> | #410: 110 - 07/07/21</t>
  </si>
  <si>
    <t>Maintain before further price decrease</t>
  </si>
  <si>
    <t>Price decreased but maintain to wait for the sales to pick up</t>
  </si>
  <si>
    <t>Decreased PPEAK min by $2 to $34.99</t>
  </si>
  <si>
    <t>PL-IFC-RC123B-06</t>
  </si>
  <si>
    <t xml:space="preserve">
#306;SW: 100 - 01/17/21
#309: 75 - 01/27/21</t>
  </si>
  <si>
    <t xml:space="preserve"> #306;SW: 100 - 01/17/21 #309: 75 - 01/30/21</t>
  </si>
  <si>
    <t xml:space="preserve">:  -  #309;SW: 75 - 01/30/21 :  -  :  -  :  -  :  -  :  -  :  -  :  -  :  - :  -  :  -  :  -  :  -  :  -  :  -  :  -  :  -  :  - </t>
  </si>
  <si>
    <t xml:space="preserve">:  -  #309;SW: 75 - 01/28/21 :  -  :  -  :  -  :  -  :  -  #336: 125 - 02/24/21 :  -  :  - :  -  :  -  :  -  :  -  :  -  :  -  :  -  :  -  :  - </t>
  </si>
  <si>
    <t>min $12.59</t>
  </si>
  <si>
    <t xml:space="preserve"> | #336: 125 - 02/27/21</t>
  </si>
  <si>
    <t>target 1.5</t>
  </si>
  <si>
    <t xml:space="preserve"> | #336: 125 - 03/03/21</t>
  </si>
  <si>
    <t>Raised PPEAK min by $2 to $14.59</t>
  </si>
  <si>
    <t xml:space="preserve"> | #336: 125 - 02/28/21</t>
  </si>
  <si>
    <t xml:space="preserve"> | #336: 125 - 02/25/21</t>
  </si>
  <si>
    <t>Increased PPEAK  by another $2 to $16.59</t>
  </si>
  <si>
    <t>Increased PPEAK min by $1 to $17.59</t>
  </si>
  <si>
    <t xml:space="preserve"> | 200: 200 - </t>
  </si>
  <si>
    <t xml:space="preserve"> | #395: 200 - 06/08/21</t>
  </si>
  <si>
    <t>Raised PPEAK min by $2 to $19.99</t>
  </si>
  <si>
    <t xml:space="preserve"> | #395: 200 - 06/10/21 | #410: 200 - 07/02/21</t>
  </si>
  <si>
    <t>Inventory streching</t>
  </si>
  <si>
    <t xml:space="preserve"> | #395: 200 - 06/04/21 | #410: 200 - 07/02/21</t>
  </si>
  <si>
    <t xml:space="preserve"> | #395: 200 - 06/09/21 | #410: 200 - 07/02/21</t>
  </si>
  <si>
    <t xml:space="preserve"> | #395: 200 - 06/12/21 | #410: 200 - 07/02/21</t>
  </si>
  <si>
    <t xml:space="preserve"> | #410: 200 - 07/02/21</t>
  </si>
  <si>
    <t>Restocked; PPEAK min at $15.99</t>
  </si>
  <si>
    <t xml:space="preserve"> | #410: 200 - 07/07/21</t>
  </si>
  <si>
    <t>Raised PPEAK min to $19.99</t>
  </si>
  <si>
    <t>Lowered PPEAK min by $1 to $18.99</t>
  </si>
  <si>
    <t>PL-IFC-RC123B-10</t>
  </si>
  <si>
    <t>target 2.5, a bulk order, maintain</t>
  </si>
  <si>
    <t>#302;SW: 150 - 01/07/21
#303;SW: 150 - 01/07/21</t>
  </si>
  <si>
    <t>above the target,$22.99-30.99</t>
  </si>
  <si>
    <t>#302;SW: 150 - 01/07/21 #303;SW: 150 - 01/07/21</t>
  </si>
  <si>
    <t>selling out</t>
  </si>
  <si>
    <t xml:space="preserve">:  -  :  -  :  -  :  -  :  -  :  -  :  -  #336: 200 - 02/24/21 :  -  :  - :  -  :  -  :  -  :  -  :  -  :  -  :  -  :  -  :  - </t>
  </si>
  <si>
    <t xml:space="preserve">only 73 restock watch sale for one more week </t>
  </si>
  <si>
    <t xml:space="preserve"> | #336: 200 - 02/27/21 | #338: 50 - 03/18/21</t>
  </si>
  <si>
    <t xml:space="preserve"> | #336: 200 - 03/03/21 | #338;SW: 50 - 03/26/21</t>
  </si>
  <si>
    <t>Raised PPEAK min by $2 to $24.99</t>
  </si>
  <si>
    <t xml:space="preserve"> | #336: 200 - 02/28/21 | #338;SW: 50 - 03/27/21</t>
  </si>
  <si>
    <t xml:space="preserve"> | #338;SW: 50 - 03/31/21 | #336: 200 - 02/25/21</t>
  </si>
  <si>
    <t>Decreased PPEAK min by $1 to $23.99</t>
  </si>
  <si>
    <t xml:space="preserve"> | #338;SW: 50 - 03/31/21</t>
  </si>
  <si>
    <t>Added target velocity of 5</t>
  </si>
  <si>
    <t>Increased PPEAK min by $1 to $24.99</t>
  </si>
  <si>
    <t>Increased PPEAK min by $1 to $25.99</t>
  </si>
  <si>
    <t xml:space="preserve"> | 400: 400 - </t>
  </si>
  <si>
    <t xml:space="preserve"> | #395: 400 - 06/08/21</t>
  </si>
  <si>
    <t xml:space="preserve"> | #395: 400 - 06/10/21 | #410: 400 - 07/02/21</t>
  </si>
  <si>
    <t xml:space="preserve"> | #395: 400 - 06/04/21 | #410: 400 - 07/02/21</t>
  </si>
  <si>
    <t xml:space="preserve"> | #395: 400 - 06/04/21</t>
  </si>
  <si>
    <t xml:space="preserve"> | #395: 400 - 06/09/21</t>
  </si>
  <si>
    <t xml:space="preserve"> | #395: 400 - 06/12/21</t>
  </si>
  <si>
    <t>Restocked; maintain for now</t>
  </si>
  <si>
    <t>Decreased PPEAK min to $25.99</t>
  </si>
  <si>
    <t xml:space="preserve"> | #415: 200 - 08/20/21</t>
  </si>
  <si>
    <t>PL-IFC-RC142-06</t>
  </si>
  <si>
    <t>maintain on PPeak</t>
  </si>
  <si>
    <t>pause ppc, lower min to 7.99</t>
  </si>
  <si>
    <t>PPC paused</t>
  </si>
  <si>
    <t>raisew min to 8.99</t>
  </si>
  <si>
    <t>PPEAK min at $8.49; added target velocity of 1</t>
  </si>
  <si>
    <t>PPEAK min at $8.99</t>
  </si>
  <si>
    <t>Raised PPEAK min by $1 to $9.99</t>
  </si>
  <si>
    <t>Maintain b/c low doh</t>
  </si>
  <si>
    <t>PL-IFC-RC142-10</t>
  </si>
  <si>
    <t>PPC is off, range updated to 15.99-19.99</t>
  </si>
  <si>
    <t>lower min to 14.99</t>
  </si>
  <si>
    <t>Raise min to 16</t>
  </si>
  <si>
    <t>raise min to 17</t>
  </si>
  <si>
    <t>increased PPEAK min by $1 to $17.99</t>
  </si>
  <si>
    <t>Maintain due to low doh</t>
  </si>
  <si>
    <t>PL-IFC-RC143B-06</t>
  </si>
  <si>
    <t xml:space="preserve">
#309: 50 - 01/27/21</t>
  </si>
  <si>
    <t xml:space="preserve"> #309: 50 - 01/30/21</t>
  </si>
  <si>
    <t xml:space="preserve">:  -  #309;SW: 50 - 01/30/21 :  -  #339: 200 - 02/24/21 :  -  :  -  :  -  :  -  :  -  :  - :  -  :  -  :  -  :  -  :  -  :  -  :  -  :  -  :  - </t>
  </si>
  <si>
    <t xml:space="preserve">:  -  #309;SW: 50 - 01/28/21 :  -  #339: 200 - 02/24/21 :  -  :  -  :  -  #336: 200 - 02/24/21 :  -  :  - :  -  :  -  :  -  :  -  :  -  :  -  :  -  :  -  :  - </t>
  </si>
  <si>
    <t>watch sale for one more week</t>
  </si>
  <si>
    <t xml:space="preserve"> | #339: 200 - 02/25/21 | #336: 200 - 02/27/21</t>
  </si>
  <si>
    <t>200 units is coming in, another 200 is coming to sw, maintain the current margin</t>
  </si>
  <si>
    <t xml:space="preserve"> | #339;SW: 200 - 03/04/21 | #336: 200 - 03/03/21</t>
  </si>
  <si>
    <t xml:space="preserve"> | #339;SW: 200 - 03/04/21 | #336: 200 - 02/28/21</t>
  </si>
  <si>
    <t xml:space="preserve"> | #339;SW: 200 - 03/04/21 | #336: 200 - 02/25/21</t>
  </si>
  <si>
    <t>Lowered PPEAK min to $6.41</t>
  </si>
  <si>
    <t xml:space="preserve"> | #339;SW: 200 - 03/04/21</t>
  </si>
  <si>
    <t>PPEAK min at $6.99</t>
  </si>
  <si>
    <t>Turned manual PPC on</t>
  </si>
  <si>
    <t>Increased PPEAK min by $1 to $7.99</t>
  </si>
  <si>
    <t>Turn on auto, turn off manual</t>
  </si>
  <si>
    <t>Optimized PPC</t>
  </si>
  <si>
    <t>PPC off</t>
  </si>
  <si>
    <t>Increased PPEAK to $9.99 for a bit</t>
  </si>
  <si>
    <t>Maintain for now</t>
  </si>
  <si>
    <t>Auto PPC on to improve sell through</t>
  </si>
  <si>
    <t>Oprimzied and trimmed PPC</t>
  </si>
  <si>
    <t>Generating other sales; maintain</t>
  </si>
  <si>
    <t>PPC not doing as well; maintain for another week before turning off</t>
  </si>
  <si>
    <t>PL-IFC-RC143B-10</t>
  </si>
  <si>
    <t>target 2</t>
  </si>
  <si>
    <t>min $12.99</t>
  </si>
  <si>
    <t xml:space="preserve">:  -  :  -  :  -  #339: 200 - 02/24/21 :  -  :  -  :  -  :  -  :  -  :  - :  -  :  -  :  -  :  -  :  -  :  -  :  -  :  -  :  - </t>
  </si>
  <si>
    <t>target 1， min $14.99</t>
  </si>
  <si>
    <t xml:space="preserve">:  -  :  -  :  -  #339: 200 - 02/24/21 :  -  :  -  :  -  #336: 25 - 02/24/21 :  -  :  - :  -  :  -  :  -  :  -  :  -  :  -  :  -  :  -  :  - </t>
  </si>
  <si>
    <t xml:space="preserve"> | #339: 200 - 02/25/21 | #336: 25 - 02/27/21 | #338: 75 - 03/18/21</t>
  </si>
  <si>
    <t>about the target, maintian</t>
  </si>
  <si>
    <t xml:space="preserve"> | #339;SW: 200 - 03/04/21 | #336: 25 - 03/03/21 | #338;SW: 75 - 03/26/21</t>
  </si>
  <si>
    <t xml:space="preserve"> | #339;SW: 200 - 03/04/21 | #336: 25 - 02/28/21 | #338;SW: 75 - 03/27/21 | #360: 150 - 04/10/21 | #361;SW: 50 - 04/10/21</t>
  </si>
  <si>
    <t>Priced at $14.46 in SC</t>
  </si>
  <si>
    <t xml:space="preserve"> | #339;SW: 200 - 03/04/21 | #338;SW: 75 - 03/31/21 | #360: 218 - 04/10/21 | #336: 25 - 02/25/21</t>
  </si>
  <si>
    <t xml:space="preserve"> | #339;SW: 200 - 03/04/21 | #338;SW: 75 - 03/31/21 | #360: 200 - 04/07/21</t>
  </si>
  <si>
    <t>Added target velocity of 3; inventory issue</t>
  </si>
  <si>
    <t xml:space="preserve"> | #338;SW: 75 - 03/31/21 | #360: 200 - 04/09/21</t>
  </si>
  <si>
    <t xml:space="preserve"> | #338;SW: 75 - 03/31/21 | #360: 200 - 04/06/21</t>
  </si>
  <si>
    <t xml:space="preserve"> | #338;SW: 75 - 03/31/21</t>
  </si>
  <si>
    <t>Just restocked; maintain</t>
  </si>
  <si>
    <t>Lowered PPEAK min by $1 to $$13.99 due to more in US storage</t>
  </si>
  <si>
    <t>PPC on for 6ft; maintain for now</t>
  </si>
  <si>
    <t>Improved sell through; maintain</t>
  </si>
  <si>
    <t>PL-IFC-RC162-06</t>
  </si>
  <si>
    <t>Optiminim price set at 6.56, new range set 7-11.99</t>
  </si>
  <si>
    <t xml:space="preserve">pausing ppc at optimimum price of $7 </t>
  </si>
  <si>
    <t>Lowered PPEAK min to $6.49</t>
  </si>
  <si>
    <t>implementing manual catch all</t>
  </si>
  <si>
    <t>Pan test campaign on</t>
  </si>
  <si>
    <t>Pan test off; auto ppc on</t>
  </si>
  <si>
    <t>Added target velocity of 1</t>
  </si>
  <si>
    <t>Raised PPEAK min to $7.49</t>
  </si>
  <si>
    <t>Lowered PPEAK min to $6.99 to reduce DOH and improve sell through</t>
  </si>
  <si>
    <t>Selling at $6.99 for another week before further price drop to improve sell through</t>
  </si>
  <si>
    <t>Selling at $5.99 in SC; lowered price by $1</t>
  </si>
  <si>
    <t>Auto on to increase sessions</t>
  </si>
  <si>
    <t>Adjusted bid; decreased budget</t>
  </si>
  <si>
    <t>PL-IFC-RC162-10</t>
  </si>
  <si>
    <t>PPC is paused, maintaion on PPEak, testing higher prices</t>
  </si>
  <si>
    <t>maintin for now, looking to see if new strategy gains traction</t>
  </si>
  <si>
    <t>implementing new manual catch all</t>
  </si>
  <si>
    <t>Maintain; low bid auto campaign on</t>
  </si>
  <si>
    <t>PPC off;</t>
  </si>
  <si>
    <t xml:space="preserve"> | #395: 75 - 06/10/21</t>
  </si>
  <si>
    <t xml:space="preserve"> | #395: 75 - 06/04/21</t>
  </si>
  <si>
    <t>Added target velocity of 2 to improve sell through and reach target velocity</t>
  </si>
  <si>
    <t xml:space="preserve"> | #395: 75 - 06/09/21</t>
  </si>
  <si>
    <t xml:space="preserve"> | #395: 75 - 06/12/21</t>
  </si>
  <si>
    <t>Restocked; maintain</t>
  </si>
  <si>
    <t>Increased PPEAK min by $2 to $11.99</t>
  </si>
  <si>
    <t>Mild inventory streching</t>
  </si>
  <si>
    <t>PL-IFC-RC163B-06</t>
  </si>
  <si>
    <t>above the target, raise $1 on min</t>
  </si>
  <si>
    <t>a bulk order, target 0.5</t>
  </si>
  <si>
    <t>min $8.59</t>
  </si>
  <si>
    <t xml:space="preserve">:  -  #309;SW: 50 - 01/30/21 :  -  :  -  :  -  :  -  :  -  :  -  :  -  :  - :  -  :  -  :  -  :  -  :  -  :  -  :  -  :  -  :  - </t>
  </si>
  <si>
    <t xml:space="preserve">:  -  #309;SW: 50 - 01/28/21 :  -  :  -  :  -  :  -  :  -  #336: 150 - 02/24/21 :  -  :  - :  -  :  -  :  -  :  -  :  -  :  -  :  -  :  -  :  - </t>
  </si>
  <si>
    <t>min $7.59, target 0.5</t>
  </si>
  <si>
    <t xml:space="preserve"> | #336: 150 - 02/27/21</t>
  </si>
  <si>
    <t>min 6.59, target 0.5, start ppc</t>
  </si>
  <si>
    <t xml:space="preserve"> | #336: 150 - 03/03/21</t>
  </si>
  <si>
    <t>Trimmed PPC</t>
  </si>
  <si>
    <t xml:space="preserve"> | #336: 150 - 02/28/21</t>
  </si>
  <si>
    <t>Priced at $9.73 in SC</t>
  </si>
  <si>
    <t xml:space="preserve"> | #336: 150 - 02/25/21</t>
  </si>
  <si>
    <t>Raised PPEAK min to $9.59</t>
  </si>
  <si>
    <t>Turned PPC off; lowered PPEAK min to $6.99</t>
  </si>
  <si>
    <t>Manual PPC on</t>
  </si>
  <si>
    <t>Maintain; auto ppc on for 14 gauge</t>
  </si>
  <si>
    <t xml:space="preserve"> | 100: 100 - </t>
  </si>
  <si>
    <t xml:space="preserve"> | #395: 100 - 06/08/21</t>
  </si>
  <si>
    <t>Raised PPEAK min by $1 to $7.99</t>
  </si>
  <si>
    <t xml:space="preserve"> | #395: 100 - 06/10/21</t>
  </si>
  <si>
    <t xml:space="preserve"> | #395: 100 - 06/04/21</t>
  </si>
  <si>
    <t>Lowered PPEAK min back to $6.99</t>
  </si>
  <si>
    <t>PPEAK off; priced at $6.99 in SC to improve sell through and reach target velocity</t>
  </si>
  <si>
    <t xml:space="preserve"> | #395: 100 - 06/09/21</t>
  </si>
  <si>
    <t xml:space="preserve"> | #395: 100 - 06/12/21</t>
  </si>
  <si>
    <t>Selling at $7.99 with $1 coupon for two weeks</t>
  </si>
  <si>
    <t>Selling at $5.99 in SC</t>
  </si>
  <si>
    <t>Maintain; inventory age</t>
  </si>
  <si>
    <t>PL-IFC-RC163B-10</t>
  </si>
  <si>
    <t xml:space="preserve">
#309: 75 - 01/27/21</t>
  </si>
  <si>
    <t xml:space="preserve"> #309: 75 - 01/30/21</t>
  </si>
  <si>
    <t xml:space="preserve">:  -  #309;SW: 75 - 01/28/21 :  -  :  -  :  -  :  -  :  -  #336: 175 - 02/24/21 :  -  :  - :  -  :  -  :  -  :  -  :  -  :  -  :  -  :  -  :  - </t>
  </si>
  <si>
    <t>restock on Sun, maintain</t>
  </si>
  <si>
    <t xml:space="preserve"> | #336: 175 - 02/27/21 | #338: 50 - 03/18/21</t>
  </si>
  <si>
    <t>turn on the ppc</t>
  </si>
  <si>
    <t xml:space="preserve"> | #336: 175 - 03/03/21 | #338;SW: 50 - 03/26/21</t>
  </si>
  <si>
    <t xml:space="preserve"> | #336: 175 - 02/28/21 | #338;SW: 50 - 03/27/21</t>
  </si>
  <si>
    <t xml:space="preserve"> | #338;SW: 50 - 03/31/21 | #336: 175 - 02/25/21</t>
  </si>
  <si>
    <t>Optimized PPC; lowered PPEAK min by $1 to $8.99</t>
  </si>
  <si>
    <t>Turned PPC off; selling above target</t>
  </si>
  <si>
    <t>Maintian</t>
  </si>
  <si>
    <t>Lowered PPEAK min by $1 to $8.99 to improve sell through</t>
  </si>
  <si>
    <t>Auto PPC on</t>
  </si>
  <si>
    <t>PPC off; inventory age 90+</t>
  </si>
  <si>
    <t>Lowered PPEAK min by $1 to $7.99 to improve sell through</t>
  </si>
  <si>
    <t>Auto and Manual on</t>
  </si>
  <si>
    <t>PL-IFC-RC182-06</t>
  </si>
  <si>
    <t>Maintain on PPEak Opt Price now 7.99, ppc is off</t>
  </si>
  <si>
    <t>lower min to 5.99</t>
  </si>
  <si>
    <t>Pause ppc, going to try a new technique here</t>
  </si>
  <si>
    <t>MAintain with only new style ppc campaign on</t>
  </si>
  <si>
    <t>Increase PPC bid</t>
  </si>
  <si>
    <t>Auto PPC on as well to increase the session</t>
  </si>
  <si>
    <t>Turned auto PPC off; all cross sale from auto ppc</t>
  </si>
  <si>
    <t>I would leave this on - PL-IFC-RC182-06 Manual Pan Test
I would also set up an auto campaign soley for this sku with a 15 cent bid.
From Sean: I would also price at 5.99 for a few days to hopefully get it moving, and stand out a bit more.</t>
  </si>
  <si>
    <t>Pan test PPC on</t>
  </si>
  <si>
    <t>Improved velocity; maintain for a couple of weeks</t>
  </si>
  <si>
    <t>Continue with PPC to improve sell through</t>
  </si>
  <si>
    <t>Maintain PPC for another week</t>
  </si>
  <si>
    <t>Increased PPEAK min by $2 to $7.99</t>
  </si>
  <si>
    <t>PL-IFC-RC182-10</t>
  </si>
  <si>
    <t>Paused ppc, raised min to 8.49</t>
  </si>
  <si>
    <t>lower min to 6.99</t>
  </si>
  <si>
    <t>Maintain implementing new ppc strategy</t>
  </si>
  <si>
    <t>Maintaining new strategy, on PPeak</t>
  </si>
  <si>
    <t>Increase min to 8</t>
  </si>
  <si>
    <t>Turned PPC off</t>
  </si>
  <si>
    <t>Increased PPEAK min by $1 to $8.99</t>
  </si>
  <si>
    <t>Increased PPEAK min by another $1 to $9.99</t>
  </si>
  <si>
    <t>PL-IFC-RC183B-06</t>
  </si>
  <si>
    <t>15% coupon</t>
  </si>
  <si>
    <t>a bulk order, maintain</t>
  </si>
  <si>
    <t xml:space="preserve">:  -  #309;SW: 50 - 01/28/21 :  -  :  -  :  -  :  -  :  -  #336: 100 - 02/24/21 :  -  :  - :  -  :  -  :  -  :  -  :  -  :  -  :  -  :  -  :  - </t>
  </si>
  <si>
    <t>above target, only 50 coming, increase price</t>
  </si>
  <si>
    <t xml:space="preserve"> | #336: 100 - 02/27/21 | #338: 50 - 03/18/21</t>
  </si>
  <si>
    <t>min $7.54, target 1.5</t>
  </si>
  <si>
    <t xml:space="preserve"> | #336: 100 - 03/03/21 | #338;SW: 50 - 03/26/21</t>
  </si>
  <si>
    <t xml:space="preserve"> | #336: 100 - 02/28/21 | #338;SW: 50 - 03/27/21</t>
  </si>
  <si>
    <t xml:space="preserve"> | #338;SW: 50 - 03/31/21 | #336: 100 - 02/25/21</t>
  </si>
  <si>
    <t>Lowered PPEAK min to $7</t>
  </si>
  <si>
    <t>Decreased PPEAK min to $6.49</t>
  </si>
  <si>
    <t>Lowered PPEAK min back to $6.99 due to US storage</t>
  </si>
  <si>
    <t xml:space="preserve"> | #395: 100 - 06/10/21 | #410: 200 - 07/02/21</t>
  </si>
  <si>
    <t xml:space="preserve"> | #395: 100 - 06/04/21 | #410: 200 - 07/02/21</t>
  </si>
  <si>
    <t>Maintain for a couple of weeks</t>
  </si>
  <si>
    <t>Good sell through; increase PPEAK min by $1 to $7.99</t>
  </si>
  <si>
    <t>Maintain for another week before price drop</t>
  </si>
  <si>
    <t>Lowered PPEAK min by $1 to $6.99</t>
  </si>
  <si>
    <t>PL-IFC-RC183B-10</t>
  </si>
  <si>
    <t xml:space="preserve">:  -  #309;SW: 75 - 01/28/21 :  -  :  -  :  -  :  -  :  -  #336: 25 - 02/24/21 :  -  :  - :  -  :  -  :  -  :  -  :  -  :  -  :  -  :  -  :  - </t>
  </si>
  <si>
    <t>Restock on Sunday, only 50 coming, maintain</t>
  </si>
  <si>
    <t xml:space="preserve"> | #336: 25 - 02/27/21</t>
  </si>
  <si>
    <t xml:space="preserve"> | #336: 25 - 03/03/21</t>
  </si>
  <si>
    <t>Lowered PPEAK by $1 to $11.50</t>
  </si>
  <si>
    <t xml:space="preserve"> | #336: 25 - 02/28/21</t>
  </si>
  <si>
    <t>Priced at $11.05 in SC</t>
  </si>
  <si>
    <t xml:space="preserve"> | #336: 25 - 02/25/21</t>
  </si>
  <si>
    <t>Lowered PPEAK min to $11</t>
  </si>
  <si>
    <t>Lowered PPEAK min by $1 to $9.99</t>
  </si>
  <si>
    <t xml:space="preserve"> | #395: 100 - 06/10/21 | #410: 50 - 07/02/21</t>
  </si>
  <si>
    <t xml:space="preserve"> | #395: 100 - 06/04/21 | #410: 50 - 07/02/21</t>
  </si>
  <si>
    <t>PL-IFC-APP-AC-143GY03</t>
  </si>
  <si>
    <t>#303;SW: 200 - 01/07/21
#309: 100 - 01/27/21</t>
  </si>
  <si>
    <t>UsSmallStandardSize</t>
  </si>
  <si>
    <t>#303;SW: 200 - 01/07/21 #309: 100 - 01/30/21</t>
  </si>
  <si>
    <t xml:space="preserve">:  -  #309;SW: 100 - 01/30/21 :  -  #339: 200 - 02/24/21 :  -  :  -  :  -  :  -  :  -  :  - :  -  :  -  :  -  :  -  :  -  :  -  :  -  :  -  :  - </t>
  </si>
  <si>
    <t xml:space="preserve">:  -  #309;SW: 100 - 01/28/21 :  -  #339: 200 - 02/24/21 :  -  :  -  :  -  :  -  :  -  :  - :  -  :  -  :  -  :  -  :  -  :  -  :  -  :  -  :  - </t>
  </si>
  <si>
    <t xml:space="preserve"> | #339: 200 - 02/25/21</t>
  </si>
  <si>
    <t>price it $12.99, target 4</t>
  </si>
  <si>
    <t>Raised PPEAK min by $1 to $13.99; seems like higher prices worked better</t>
  </si>
  <si>
    <t xml:space="preserve"> | #339;SW: 200 - 03/04/21 | #360: 161 - 04/10/21</t>
  </si>
  <si>
    <t>Lowered PPEAK min by $1 to $12.99</t>
  </si>
  <si>
    <t xml:space="preserve"> | #339;SW: 200 - 03/04/21 | #360: 100 - 04/07/21</t>
  </si>
  <si>
    <t>PPEAK min at $13.49</t>
  </si>
  <si>
    <t xml:space="preserve"> | #360: 100 - 04/09/21</t>
  </si>
  <si>
    <t>PPEAK min at $13.99 to test higher prices</t>
  </si>
  <si>
    <t xml:space="preserve"> | #360: 100 - 04/06/21</t>
  </si>
  <si>
    <t>Lowered PPEAK min by $2 to $11.99 due to more in US storage</t>
  </si>
  <si>
    <t>Currently selling at $11.99</t>
  </si>
  <si>
    <t>Maintain for now; not sure if lower prices would generate more sales because higher prices had good sales in the last few months</t>
  </si>
  <si>
    <t xml:space="preserve"> | #407: 400 - 06/25/21</t>
  </si>
  <si>
    <t xml:space="preserve"> | #407: 400 - 07/02/21</t>
  </si>
  <si>
    <t>Updated stock depletion date</t>
  </si>
  <si>
    <t>Asked Frank to get some more in</t>
  </si>
  <si>
    <t xml:space="preserve"> | #407: 400 - 07/07/21</t>
  </si>
  <si>
    <t xml:space="preserve"> | #407: 400 - 07/09/21</t>
  </si>
  <si>
    <t>PL-IFC-APP-AC-143GY06</t>
  </si>
  <si>
    <t>enable the profit peak, min $7.99</t>
  </si>
  <si>
    <t xml:space="preserve">
#306;SW: 200 - 01/17/21</t>
  </si>
  <si>
    <t>target 3 in case the inventory issue</t>
  </si>
  <si>
    <t xml:space="preserve"> #306;SW: 200 - 01/17/21</t>
  </si>
  <si>
    <t>min $9.99</t>
  </si>
  <si>
    <t>min $10.99</t>
  </si>
  <si>
    <t>delete target</t>
  </si>
  <si>
    <t>New stock in; lowered price to $9.45</t>
  </si>
  <si>
    <t xml:space="preserve"> | #360: 0 - 04/10/21</t>
  </si>
  <si>
    <t xml:space="preserve"> | #360: 50 - 04/07/21</t>
  </si>
  <si>
    <t>Maintain; updated production depletion date</t>
  </si>
  <si>
    <t xml:space="preserve"> | #360: 50 - 04/09/21</t>
  </si>
  <si>
    <t xml:space="preserve"> | #360: 50 - 04/06/21</t>
  </si>
  <si>
    <t>Increased PPEAK min by $2 to $12.99</t>
  </si>
  <si>
    <t xml:space="preserve"> | 600: 600 - </t>
  </si>
  <si>
    <t xml:space="preserve"> | #395: 600 - 06/08/21</t>
  </si>
  <si>
    <t xml:space="preserve"> | #395: 600 - 06/10/21</t>
  </si>
  <si>
    <t xml:space="preserve"> | #395: 600 - 06/04/21</t>
  </si>
  <si>
    <t xml:space="preserve"> | #395: 600 - 06/09/21</t>
  </si>
  <si>
    <t xml:space="preserve"> | #395: 600 - 06/12/21</t>
  </si>
  <si>
    <t>Restocked; reconnected on PPEAK and added a target velocity of 9</t>
  </si>
  <si>
    <t>PL-IFC-APP-AC-143GY09</t>
  </si>
  <si>
    <t>selling out, maintain</t>
  </si>
  <si>
    <t xml:space="preserve">:  -  #309;SW: 75 - 01/30/21 :  -  #339: 300 - 02/24/21 :  -  :  -  :  -  :  -  :  -  :  - :  -  :  -  :  -  :  -  :  -  :  -  :  -  :  -  :  - </t>
  </si>
  <si>
    <t xml:space="preserve">:  -  #309;SW: 75 - 01/28/21 :  -  #339: 300 - 02/24/21 :  -  :  -  :  -  :  -  :  -  :  - :  -  :  -  :  -  :  -  :  -  :  -  :  -  :  -  :  - </t>
  </si>
  <si>
    <t xml:space="preserve"> | #339: 300 - 02/25/21</t>
  </si>
  <si>
    <t xml:space="preserve"> | #339;SW: 300 - 03/04/21</t>
  </si>
  <si>
    <t>Removed target velocity</t>
  </si>
  <si>
    <t xml:space="preserve"> | #339;SW: 300 - 03/04/21 | #360: 74 - 04/10/21</t>
  </si>
  <si>
    <t>Lowered PPEAK min to $13; added target velocity of 7</t>
  </si>
  <si>
    <t xml:space="preserve"> | #339;SW: 300 - 03/04/21 | #360: 125 - 04/07/21</t>
  </si>
  <si>
    <t xml:space="preserve"> | #360: 125 - 04/09/21</t>
  </si>
  <si>
    <t>Back in stock; reconnected SKU on PPEAK</t>
  </si>
  <si>
    <t xml:space="preserve"> | #360: 125 - 04/06/21</t>
  </si>
  <si>
    <t>Decreased PPEAK min by $1 to $11.99</t>
  </si>
  <si>
    <t xml:space="preserve"> | #392: 25 - 06/01/21</t>
  </si>
  <si>
    <t xml:space="preserve"> | #392: 25 - 06/10/21 | #395: 200 - 06/10/21</t>
  </si>
  <si>
    <t>Increase PPEAK min to $14.99 because selling cheaper than 6ft; will check back</t>
  </si>
  <si>
    <t>#392: 25 - 05/30/21 | #395: 200 - 06/04/21</t>
  </si>
  <si>
    <t>#392: 25 - 05/30/21 | #395: 200 - 06/04/21 | #410: 25 - 07/02/21</t>
  </si>
  <si>
    <t>Maintain b/c of ok sell through</t>
  </si>
  <si>
    <t>#392: 25 - 06/09/21 | #395: 200 - 06/04/21 | #410: 25 - 07/02/21</t>
  </si>
  <si>
    <t>#392: 25 - 06/09/21 | #395: 200 - 06/09/21 | #410: 25 - 07/02/21 | #407: 300 - 06/25/21</t>
  </si>
  <si>
    <t>#392: 25 - 06/09/21 | #395: 200 - 06/12/21 | #410: 25 - 07/02/21 | #407: 300 - 07/02/21</t>
  </si>
  <si>
    <t>#392: 25 - 06/10/21 | #410: 25 - 07/02/21 | #407: 300 - 07/02/21</t>
  </si>
  <si>
    <t>#392: 25 - 06/20/21 | #410: 25 - 07/07/21 | #407: 300 - 07/07/21</t>
  </si>
  <si>
    <t xml:space="preserve"> | #410: 25 - 07/07/21 | #407: 300 - 07/07/21</t>
  </si>
  <si>
    <t xml:space="preserve"> | #407: 300 - 07/09/21</t>
  </si>
  <si>
    <t>PL-IFC-APP-AC-143GY12</t>
  </si>
  <si>
    <t>#302;SW: 50 - 01/07/21
#306;SW: 125 - 01/17/21</t>
  </si>
  <si>
    <t>#302;SW: 50 - 01/07/21 #306;SW: 125 - 01/17/21</t>
  </si>
  <si>
    <t>target 2.5</t>
  </si>
  <si>
    <t xml:space="preserve">:  -  :  -  :  -  #339: 225 - 02/24/21 :  -  :  -  :  -  :  -  :  -  :  - :  -  :  -  :  -  :  -  :  -  :  -  :  -  :  -  :  - </t>
  </si>
  <si>
    <t>about the target, maintain</t>
  </si>
  <si>
    <t xml:space="preserve"> | #339: 225 - 02/25/21</t>
  </si>
  <si>
    <t>only 50 coming in, maintain</t>
  </si>
  <si>
    <t xml:space="preserve"> | #339;SW: 225 - 03/04/21</t>
  </si>
  <si>
    <t>Raised PPEAK min by $1 to $17.95</t>
  </si>
  <si>
    <t xml:space="preserve"> | #339;SW: 225 - 03/04/21 | #360: 262 - 04/10/21</t>
  </si>
  <si>
    <t>Lowered PPEAK min to $16.69; added target velocity of 5.5; updated keywords</t>
  </si>
  <si>
    <t xml:space="preserve"> | #339;SW: 225 - 03/04/21 | #360: 175 - 04/07/21</t>
  </si>
  <si>
    <t xml:space="preserve"> | #360: 175 - 04/09/21</t>
  </si>
  <si>
    <t>Raised PPEAK min by $2 to $18.69</t>
  </si>
  <si>
    <t>More stock in; sales looking good; maintain</t>
  </si>
  <si>
    <t xml:space="preserve"> | #360: 175 - 04/06/21</t>
  </si>
  <si>
    <t>Maintain; from Austin: I'd recommend lowering min price a few dollars to reach target velocity</t>
  </si>
  <si>
    <t>Maintain b/c of good sell through; need to improve velocity a bit</t>
  </si>
  <si>
    <t>Velocity up but sell through not so maintain</t>
  </si>
  <si>
    <t>PL-IFC-PW12-2PK</t>
  </si>
  <si>
    <t>Maintain; PPEAK $19.99 to $29.99</t>
  </si>
  <si>
    <t>Raised PPEAK min to $22.99; from Caroline: arrive end Jan/early Feb</t>
  </si>
  <si>
    <t>4 left - raise PPEAK min by another $2 to $24.99</t>
  </si>
  <si>
    <t>AGL 226: 80 - 06/15/21</t>
  </si>
  <si>
    <t>AGL 226: 80 - TBD</t>
  </si>
  <si>
    <t>AGL226: 80 - 06/21/21</t>
  </si>
  <si>
    <t>AGL226: 80 - 06/30/21</t>
  </si>
  <si>
    <t>AGL226: 80 - 07/03/21 | AGL266: 64 - 08/12/21</t>
  </si>
  <si>
    <t xml:space="preserve"> | AGL266: 64 - 08/12/21</t>
  </si>
  <si>
    <t>PL-IFC-PW12-4PK</t>
  </si>
  <si>
    <t>Trimmed PPC budget to $3</t>
  </si>
  <si>
    <t>Turned PPC off and PPEAK $32.99 to $42.99 due to low DOH</t>
  </si>
  <si>
    <t>Raised PPEAK min to $34.99</t>
  </si>
  <si>
    <t>Raised PPEAK min by $1 to $35.99</t>
  </si>
  <si>
    <t>#347: 112 - 02/21/21</t>
  </si>
  <si>
    <t>#347: 112 - 03/10/21</t>
  </si>
  <si>
    <t>#347: 112 - 03/12/21</t>
  </si>
  <si>
    <t>#347: 112 - 03/08/21</t>
  </si>
  <si>
    <t>#347: 112 - 03/18/21</t>
  </si>
  <si>
    <t>#347: 112 - 03/27/21</t>
  </si>
  <si>
    <t>SKU recoonected on PPEAK; PPEAK min at $34.49</t>
  </si>
  <si>
    <t>Increased PPEAK min by $1 to $36.99</t>
  </si>
  <si>
    <t>Raised PPEAK min by $1 to $37.99; SKU reconnected</t>
  </si>
  <si>
    <t>AGL 226: 180 - 06/15/21</t>
  </si>
  <si>
    <t>AGL 226: 180 - TBD</t>
  </si>
  <si>
    <t>AGL 226: 176 - TBD</t>
  </si>
  <si>
    <t>AGL226: 176 - 06/21/21</t>
  </si>
  <si>
    <t>AGL226: 176 - 06/30/21</t>
  </si>
  <si>
    <t>AGL226: 176 - 07/03/21 | AGL266: 160 - 08/12/21</t>
  </si>
  <si>
    <t xml:space="preserve"> | AGL266: 160 - 08/12/21</t>
  </si>
  <si>
    <t>PL-IFC-PW12-6PK</t>
  </si>
  <si>
    <t>po just completed - arrive end Jan/early Feb</t>
  </si>
  <si>
    <t>#347: 200 - 02/21/21</t>
  </si>
  <si>
    <t>#347: 200 - 03/10/21</t>
  </si>
  <si>
    <t>#347: 200 - 03/12/21</t>
  </si>
  <si>
    <t>#347: 200 - 03/08/21</t>
  </si>
  <si>
    <t>#347: 200 - 03/18/21</t>
  </si>
  <si>
    <t>#347: 200 - 03/27/21 | #383: 150 - 04/29/21</t>
  </si>
  <si>
    <t>PPEAK not synced; Priced $42.99 in SC</t>
  </si>
  <si>
    <t xml:space="preserve"> | #383: 150 - 04/29/21</t>
  </si>
  <si>
    <t>PPEAK $42.99 to $54.99</t>
  </si>
  <si>
    <t xml:space="preserve"> | #383: 150 - 04/23/21</t>
  </si>
  <si>
    <t xml:space="preserve"> | #383: 150 - 04/25/21</t>
  </si>
  <si>
    <t xml:space="preserve"> | #383: 20 - 04/27/21</t>
  </si>
  <si>
    <t>Raised PPEAK min by $1 to $43.99</t>
  </si>
  <si>
    <t>PPEAK min at $44.99 for mild inventory streching</t>
  </si>
  <si>
    <t>Increased PPEAK min by $2 to $46.99</t>
  </si>
  <si>
    <t xml:space="preserve"> | AGL266: 205 - 08/12/21</t>
  </si>
  <si>
    <t>PL-IFC-PW14-10PK</t>
  </si>
  <si>
    <t>Maintain; PPEAK $39.99 to $49.99</t>
  </si>
  <si>
    <t>UsSmallOversize</t>
  </si>
  <si>
    <t>Raised PPEAK min by $1 to $40.99</t>
  </si>
  <si>
    <t>Raised PPEAK min by $1 to $41.99</t>
  </si>
  <si>
    <t>Increased PPEAK min by $2 to $43.99</t>
  </si>
  <si>
    <t>AGL 226: 150 - 06/15/21</t>
  </si>
  <si>
    <t>AGL 226: 150 - TBD</t>
  </si>
  <si>
    <t xml:space="preserve"> | AGL226-2: 150 - 07/12/21</t>
  </si>
  <si>
    <t xml:space="preserve"> | AGL226-2: 150 - 07/13/21 | AGL266: 120 - 08/12/21</t>
  </si>
  <si>
    <t>AGL226-2: 150 - 07/13/21 | AGL266: 120 - 08/12/21</t>
  </si>
  <si>
    <t>PL-IFC-PW14-4PK</t>
  </si>
  <si>
    <t>PPEAK $22.99 to $29.99 due to low DOH</t>
  </si>
  <si>
    <t>Increased PPEAK min to $24.99 due to low DOH</t>
  </si>
  <si>
    <t>3 left - price scheduled at $28.99</t>
  </si>
  <si>
    <t>#347: 204 - 02/21/21</t>
  </si>
  <si>
    <t>#347: 204 - 03/10/21</t>
  </si>
  <si>
    <t>#347: 204 - 03/12/21</t>
  </si>
  <si>
    <t>#347: 204 - 03/08/21</t>
  </si>
  <si>
    <t>#347: 204 - 03/18/21</t>
  </si>
  <si>
    <t>#347: 204 - 03/27/21 | #383: 36 - 04/29/21</t>
  </si>
  <si>
    <t>PPEAK not synced; priced $26.99 in SC</t>
  </si>
  <si>
    <t xml:space="preserve"> | #383: 36 - 04/29/21</t>
  </si>
  <si>
    <t>PPEAK $24.99 to $29.99</t>
  </si>
  <si>
    <t xml:space="preserve"> | #383: 36 - 04/23/21</t>
  </si>
  <si>
    <t xml:space="preserve"> | #383: 36 - 04/25/21</t>
  </si>
  <si>
    <t xml:space="preserve"> | #383: 36 - 04/27/21</t>
  </si>
  <si>
    <t>Raised PPEAK min by $2 to $26.99</t>
  </si>
  <si>
    <t>AGL 226: 120 - 06/15/21</t>
  </si>
  <si>
    <t>PPEAK min at $29.99 for mild inventory streching</t>
  </si>
  <si>
    <t>AGL 226: 120 - TBD</t>
  </si>
  <si>
    <t>120 inbound</t>
  </si>
  <si>
    <t>AGL226: 120 - 06/21/21</t>
  </si>
  <si>
    <t>Lowered PPEAK min by $1 to $30.99</t>
  </si>
  <si>
    <t>120 inbound; maintain</t>
  </si>
  <si>
    <t>AGL226: 120 - 06/30/21</t>
  </si>
  <si>
    <t>AGL226: 120 - 07/03/21 | AGL266: 48 - 08/12/21</t>
  </si>
  <si>
    <t xml:space="preserve"> | AGL266: 48 - 08/12/21</t>
  </si>
  <si>
    <t>PL-IFC-PW14-6PK</t>
  </si>
  <si>
    <t>PPEAK $29.99 to $39.99; trimmed PPC (lowered the bids)</t>
  </si>
  <si>
    <t>#347: 72 - 02/21/21</t>
  </si>
  <si>
    <t>Raised PPEAK min by $1 to $30.99</t>
  </si>
  <si>
    <t>#347: 72 - 03/10/21</t>
  </si>
  <si>
    <t>#347: 72 - 03/12/21</t>
  </si>
  <si>
    <t>Raised PPEAK min by $1 to $31.99</t>
  </si>
  <si>
    <t>#347: 72 - 03/08/21</t>
  </si>
  <si>
    <t>#347: 72 - 03/18/21</t>
  </si>
  <si>
    <t>#347: 72 - 03/27/21 | #383: 88 - 04/29/21</t>
  </si>
  <si>
    <t>PPEAK not synced; priced at $28.99 in SC</t>
  </si>
  <si>
    <t xml:space="preserve"> | #383: 88 - 04/29/21</t>
  </si>
  <si>
    <t>Increased PPEAK min by $1 to $31.99</t>
  </si>
  <si>
    <t xml:space="preserve"> | #383: 88 - 04/23/21</t>
  </si>
  <si>
    <t>Increased PPEAK min by $1 to $32.99</t>
  </si>
  <si>
    <t xml:space="preserve"> | #383: 88 - 04/25/21</t>
  </si>
  <si>
    <t xml:space="preserve"> | #383: 88 - 04/27/21</t>
  </si>
  <si>
    <t>Coming soon</t>
  </si>
  <si>
    <t>Raised PPEAK min by $2 to $34.99</t>
  </si>
  <si>
    <t>PPEAK testing higher prices</t>
  </si>
  <si>
    <t>AGL226: 120 - 07/03/21 | AGL266: 104 - 08/12/21</t>
  </si>
  <si>
    <t xml:space="preserve"> | AGL266: 104 - 08/12/21</t>
  </si>
  <si>
    <t>PL-IFC-PW16-10PK</t>
  </si>
  <si>
    <t>Lowered PPEAK min by $1 to $36.99</t>
  </si>
  <si>
    <t>#347: 105 - 02/21/21</t>
  </si>
  <si>
    <t>#347: 105 - 03/10/21</t>
  </si>
  <si>
    <t>#347: 105 - 03/12/21</t>
  </si>
  <si>
    <t>Raised PPEAK min to $40.99</t>
  </si>
  <si>
    <t>#347: 105 - 03/08/21</t>
  </si>
  <si>
    <t>1- left; maintin</t>
  </si>
  <si>
    <t>#347: 105 - 03/18/21</t>
  </si>
  <si>
    <t>#347: 105 - 03/27/21 | #383: 84 - 04/29/21</t>
  </si>
  <si>
    <t>SKU reconnected in PPEAK; lowered PPEAK min to $37.99</t>
  </si>
  <si>
    <t xml:space="preserve"> | #383: 84 - 04/29/21</t>
  </si>
  <si>
    <t>Increased PPEAK min by $3 to $40.99</t>
  </si>
  <si>
    <t xml:space="preserve"> | #383: 84 - 04/23/21</t>
  </si>
  <si>
    <t>Increased PPEAK min by $1 to $41.99</t>
  </si>
  <si>
    <t xml:space="preserve"> | #383: 84 - 04/25/21</t>
  </si>
  <si>
    <t xml:space="preserve"> | #383: 84 - 04/27/21</t>
  </si>
  <si>
    <t>AGL 226: 119 - 06/15/21</t>
  </si>
  <si>
    <t>Raised PPEAK min by $1 to $42.99; removed target velocity</t>
  </si>
  <si>
    <t>PPEAK min to $45.99 for mild inventory stretching</t>
  </si>
  <si>
    <t>AGL 226: 119 - TBD</t>
  </si>
  <si>
    <t>AGL226: 119 - 06/21/21</t>
  </si>
  <si>
    <t>AGL226: 119 - 06/30/21</t>
  </si>
  <si>
    <t>AGL226: 119 - 07/03/21 | AGL266: 119 - 08/12/21</t>
  </si>
  <si>
    <t xml:space="preserve"> | AGL266: 119 - 08/12/21</t>
  </si>
  <si>
    <t>PL-IFC-PW16-2PK</t>
  </si>
  <si>
    <t>PPEAK $11.99 to $18.99</t>
  </si>
  <si>
    <t>Lowered PPEAK min to $10.99</t>
  </si>
  <si>
    <t>Back in stock; PPEAK $10.99 to $18.99</t>
  </si>
  <si>
    <t>Raised PPEAK min by $1 to $11.99</t>
  </si>
  <si>
    <t>No quantity on order; maintain</t>
  </si>
  <si>
    <t>Added velocity of 1</t>
  </si>
  <si>
    <t>Lowered PPEAK min to $10.99; created $1 off coupon for a week; turned PPC on; from Sean: set up a low bid campaign - use the manual terms in only broad &amp; phrase and bid .35 cents</t>
  </si>
  <si>
    <t>Lowered PPEAK min to $9.99; changed title; set up low bid and isolation campaign and turned them on</t>
  </si>
  <si>
    <t>Maintain; 28 in excess</t>
  </si>
  <si>
    <t>AGL 226: 32 - 06/15/21</t>
  </si>
  <si>
    <t>AGL 226: 32 - TBD</t>
  </si>
  <si>
    <t>AGL226: 32 - 06/21/21</t>
  </si>
  <si>
    <t>AGL226: 32 - 06/30/21</t>
  </si>
  <si>
    <t>AGL226: 32 - 07/03/21 | AGL266: 32 - 08/12/21</t>
  </si>
  <si>
    <t xml:space="preserve"> | AGL266: 32 - 08/12/21</t>
  </si>
  <si>
    <t>PL-IFC-PW16-4PK</t>
  </si>
  <si>
    <t>Maintain; PPEAK $15.99 to $29.99</t>
  </si>
  <si>
    <t>Raised PPEAK min to $17.99</t>
  </si>
  <si>
    <t>Raised PPEAK min by $1 to $18.99</t>
  </si>
  <si>
    <t>#347: 144 - 02/21/21</t>
  </si>
  <si>
    <t>#347: 144 - 03/10/21</t>
  </si>
  <si>
    <t>#347: 144 - 03/12/21</t>
  </si>
  <si>
    <t>#347: 144 - 03/08/21</t>
  </si>
  <si>
    <t>#347: 144 - 03/18/21</t>
  </si>
  <si>
    <t>#347: 144 - 03/27/21 | #383: 240 - 04/29/21</t>
  </si>
  <si>
    <t>PPEAK not synced; priced at $17.99 in SC</t>
  </si>
  <si>
    <t xml:space="preserve"> | #383: 240 - 04/29/21</t>
  </si>
  <si>
    <t xml:space="preserve"> | #383: 240 - 04/23/21</t>
  </si>
  <si>
    <t xml:space="preserve"> | #383: 240 - 04/25/21</t>
  </si>
  <si>
    <t xml:space="preserve"> | #383: 160 - 04/27/21</t>
  </si>
  <si>
    <t>AGL 226: 64 - 06/15/21</t>
  </si>
  <si>
    <t>Maintain; not slowing down b/c of lable restrictions</t>
  </si>
  <si>
    <t>AGL 226: 64 - TBD</t>
  </si>
  <si>
    <t>Good sell through; raised PPEAK min to $21.99</t>
  </si>
  <si>
    <t>AGL226: 64 - 06/21/21</t>
  </si>
  <si>
    <t>AGL226: 64 - 06/30/21</t>
  </si>
  <si>
    <t>AGL226: 64 - 07/03/21 | AGL266: 128 - 08/12/21</t>
  </si>
  <si>
    <t xml:space="preserve"> | AGL266: 128 - 08/12/21</t>
  </si>
  <si>
    <t>PL-IFC-PW16-6PK</t>
  </si>
  <si>
    <t>PPEAK $23.99 to $29.99 to speed up the velocity</t>
  </si>
  <si>
    <t>5 left - price scheduled at $26.99</t>
  </si>
  <si>
    <t>1 left - maintain</t>
  </si>
  <si>
    <t>#347: 96 - 02/21/21</t>
  </si>
  <si>
    <t>#347: 96 - 03/10/21</t>
  </si>
  <si>
    <t>#347: 96 - 03/12/21</t>
  </si>
  <si>
    <t>#347: 96 - 03/08/21</t>
  </si>
  <si>
    <t>#347: 96 - 03/18/21</t>
  </si>
  <si>
    <t>#347: 96 - 03/27/21</t>
  </si>
  <si>
    <t>Selling at $23.99</t>
  </si>
  <si>
    <t>Lowered PPEAK min by $1 to $22.99</t>
  </si>
  <si>
    <t>Maintain for a week to see if further price decrease is needed; goal is to improve sell through and velocity</t>
  </si>
  <si>
    <t>Improved sales and sell through; maintain</t>
  </si>
  <si>
    <t xml:space="preserve"> | AGL266: 60 - 08/12/21</t>
  </si>
  <si>
    <t>PL-IFC-PW18-10PK</t>
  </si>
  <si>
    <t>PPEAK $42.99 to $59.99 due to low DOH</t>
  </si>
  <si>
    <t>Out (closed); from Caroline: arrive end Jan/early Feb</t>
  </si>
  <si>
    <t>#347: 248 - 02/21/21</t>
  </si>
  <si>
    <t>#347: 248 - 03/10/21</t>
  </si>
  <si>
    <t>#347: 248 - 03/12/21</t>
  </si>
  <si>
    <t>#347: 248 - 03/08/21</t>
  </si>
  <si>
    <t>#347: 248 - 03/18/21</t>
  </si>
  <si>
    <t>#347: 248 - 03/27/21 | #383: 64 - 04/29/21</t>
  </si>
  <si>
    <t xml:space="preserve"> | #383: 64 - 04/29/21</t>
  </si>
  <si>
    <t xml:space="preserve"> | #383: 64 - 04/23/21</t>
  </si>
  <si>
    <t xml:space="preserve"> | #383: 64 - 04/25/21</t>
  </si>
  <si>
    <t xml:space="preserve"> | #383: 64 - 04/27/21</t>
  </si>
  <si>
    <t>Raised PPEAK min by $1 to $44.99</t>
  </si>
  <si>
    <t>AGL 226: 240 - 06/15/21</t>
  </si>
  <si>
    <t>Priced at $40.99 in SC to improve sell through and reach target velocity</t>
  </si>
  <si>
    <t>AGL 226: 240 - TBD</t>
  </si>
  <si>
    <t>Priced at $42.99 in SC because reached target velocity and sell through</t>
  </si>
  <si>
    <t>AGL226: 240 - 06/21/21</t>
  </si>
  <si>
    <t>240 inbound</t>
  </si>
  <si>
    <t>AGL226: 240 - 06/30/21</t>
  </si>
  <si>
    <t>AGL226: 240 - 07/03/21 | AGL266: 160 - 08/12/21</t>
  </si>
  <si>
    <t>PL-IFC-PW18-4PK</t>
  </si>
  <si>
    <t>2 left - manually priced at $20.99</t>
  </si>
  <si>
    <t>Discontinued</t>
  </si>
  <si>
    <t>PL-IFC-PW18-6PK</t>
  </si>
  <si>
    <t>Raise PPEAK min by $1 to $23.99</t>
  </si>
  <si>
    <t>PL-IFC-HDS-10OT15FT</t>
  </si>
  <si>
    <t>Lowered min to $37.95. Increased target to 2</t>
  </si>
  <si>
    <t>AGL163: 1000 - 02/05/21</t>
  </si>
  <si>
    <t>AGL163: 250 - 02/05/21</t>
  </si>
  <si>
    <t>sold out, closed</t>
  </si>
  <si>
    <t>AGL163: 250 - 02/08/21</t>
  </si>
  <si>
    <t>AGL163: 250 - 02/09/21</t>
  </si>
  <si>
    <t>Back in stock; PPEAK $26.95 to $49.99</t>
  </si>
  <si>
    <t>Lowered PPEAK min by $2 to $24.95</t>
  </si>
  <si>
    <t>Raised PPEAK min by $3 to $27.95</t>
  </si>
  <si>
    <t>Increased PPEAK min by $1 to $28.95</t>
  </si>
  <si>
    <t>Business order; out (closed)</t>
  </si>
  <si>
    <t xml:space="preserve"> | AGL207: 750 - 05/20/21</t>
  </si>
  <si>
    <t xml:space="preserve"> | AGL207: 750 - 05/28/21</t>
  </si>
  <si>
    <t xml:space="preserve"> | AGL207: 750 - 05/31/21</t>
  </si>
  <si>
    <t xml:space="preserve"> | AGL 207: 750 - 06/01/21</t>
  </si>
  <si>
    <t xml:space="preserve"> | AGL 207: 750 - 05/26/21</t>
  </si>
  <si>
    <t xml:space="preserve"> | AGL 207: 750 - 06/08/21</t>
  </si>
  <si>
    <t>AGL207: 750 - 06/25/21</t>
  </si>
  <si>
    <t>724 in FC transfer; Pirced at $29.99 in SC</t>
  </si>
  <si>
    <t>Decreased price by $3 to $26.99</t>
  </si>
  <si>
    <t>Good conversion; auto PPC on</t>
  </si>
  <si>
    <t>Increased ppc, ppeak 26-34</t>
  </si>
  <si>
    <t>PL-IFC-HDS-6OT9FT</t>
  </si>
  <si>
    <t>Lowered $4 to $25.99</t>
  </si>
  <si>
    <t>relisted</t>
  </si>
  <si>
    <t>1 left - lowered price to $24.99 in SC</t>
  </si>
  <si>
    <t>Closed</t>
  </si>
  <si>
    <t xml:space="preserve"> | AGL207: 200 - 05/20/21</t>
  </si>
  <si>
    <t xml:space="preserve"> | AGL207: 200 - 05/28/21</t>
  </si>
  <si>
    <t xml:space="preserve"> | AGL207: 200 - 05/31/21</t>
  </si>
  <si>
    <t xml:space="preserve"> | AGL 207: 200 - 06/01/21</t>
  </si>
  <si>
    <t xml:space="preserve"> | AGL 207: 200 - 05/26/21</t>
  </si>
  <si>
    <t xml:space="preserve"> | AGL 207: 200 - 06/08/21</t>
  </si>
  <si>
    <t>AGL207: 200 - 06/25/21</t>
  </si>
  <si>
    <t>198 in FC transfer; priced at $20.99 in SC</t>
  </si>
  <si>
    <t>Decreased price by $1 to $19.99</t>
  </si>
  <si>
    <t>On its own</t>
  </si>
  <si>
    <t>ads on - still waiting on fix</t>
  </si>
  <si>
    <t xml:space="preserve"> </t>
  </si>
  <si>
    <t>PL-IFC-HDS-8OT6FT</t>
  </si>
  <si>
    <t>Raised PP to $32.79 to $39.99</t>
  </si>
  <si>
    <t>Added target of 4</t>
  </si>
  <si>
    <t>Lowered min to $31.99 (for LTSF)</t>
  </si>
  <si>
    <t>Continue with Profit Peak (LTSF)</t>
  </si>
  <si>
    <t>Raised PP to $35.18 to $49.99. Removed target</t>
  </si>
  <si>
    <t>Raised PPEAK min to $37.99</t>
  </si>
  <si>
    <t>PL-IFC-HDS-9OT9FT</t>
  </si>
  <si>
    <t>Increased target to 4. Lowered min to $22.95 (to avoid LTSF)</t>
  </si>
  <si>
    <t>Scheduled at $22.99</t>
  </si>
  <si>
    <t>Relisted</t>
  </si>
  <si>
    <t>AGL208: 1000 - 05/25/21</t>
  </si>
  <si>
    <t>AGL 208: 1000 - 06/01/21</t>
  </si>
  <si>
    <t>AGL 208: 360 - 05/23/21</t>
  </si>
  <si>
    <t>AGL 208: 360 - 06/09/21</t>
  </si>
  <si>
    <t>AGL 208: 360 - 06/16/21</t>
  </si>
  <si>
    <t>Restocked priced at $27.99</t>
  </si>
  <si>
    <t>Maintain for now; wait until sales pick up to increase price</t>
  </si>
  <si>
    <t>ads on, stil waiting on fix</t>
  </si>
  <si>
    <t>PL-IFC-183MC03</t>
  </si>
  <si>
    <t>Heavily trimmed PPC. Turned on Profit Peak from $6.99. Paused AB test. Added target of 1. Paused AB test again</t>
  </si>
  <si>
    <t>Lowered min to $4.95</t>
  </si>
  <si>
    <t>Improving DOH / sell through. Scheduled at $6.99. Created $1 off coupon. Optimized PPC. Raised PPC</t>
  </si>
  <si>
    <t>I don't think it makes sense to destroy units until we have some reviews. Keeping price low and coupon running. Trimmed PPC for wasted spend</t>
  </si>
  <si>
    <t>Raised PPC</t>
  </si>
  <si>
    <t>Scheduled at $5.99</t>
  </si>
  <si>
    <t>I recommend destorying. Turned PPC off for now</t>
  </si>
  <si>
    <t>Scheduled at $6.99</t>
  </si>
  <si>
    <t>Turned mild PPC on</t>
  </si>
  <si>
    <t>PL-IFC-183MC03-2PK</t>
  </si>
  <si>
    <t>Trimmed PPC. Optimized PPC</t>
  </si>
  <si>
    <t>Turned on Profit Peak from $5.99. Raised what PPC made sense</t>
  </si>
  <si>
    <t>Improving sell through / DOH. Increased target to 3. Optimized PPC</t>
  </si>
  <si>
    <t>Improving DOH. Raised what PPC I could. Created $1 off coupon</t>
  </si>
  <si>
    <t>PL-IFC-183MC03-5PK</t>
  </si>
  <si>
    <t>Optimized PPC. Turned on Profit Peak from $13.95. Paused AB test. Repaused AB test</t>
  </si>
  <si>
    <t>Lowered min to $10.95. Trimmed PPC slightly</t>
  </si>
  <si>
    <t>DOH is under control. Sell through too low but improving. Maintain or else I'm afraid we'll lose more money</t>
  </si>
  <si>
    <t>Improving DOH. Raised target to 2. Raised what PPC I could</t>
  </si>
  <si>
    <t>Trimmed PPC for wasted spend</t>
  </si>
  <si>
    <t>Created $2 off coupon</t>
  </si>
  <si>
    <t>Heavily trimmed PPC. Turned PPC off. Raised min to $13.05</t>
  </si>
  <si>
    <t>Raised min to $14.35</t>
  </si>
  <si>
    <t>Raised min to $15.78. Removed target</t>
  </si>
  <si>
    <t>Raised min to $16.2</t>
  </si>
  <si>
    <t>PL-IFC-183MC06</t>
  </si>
  <si>
    <t>Raised $1 to $8.99. Turned PPC on. Turned PPC off</t>
  </si>
  <si>
    <t>Turned on Profit Peak from $5.95 with target of 1. Turned PPC on</t>
  </si>
  <si>
    <t>Improving DOH / sell through. Increased target to 2. Created $1 off coupon</t>
  </si>
  <si>
    <t>Now at velocity of 2. Continue with Profit Peak</t>
  </si>
  <si>
    <t>Raised min to $7.95</t>
  </si>
  <si>
    <t>Turned PPC off. Lowered min to $6.95</t>
  </si>
  <si>
    <t>PL-IFC-183MC06-2PK</t>
  </si>
  <si>
    <t>Optimized PPC. Lowered $1 to $10.99</t>
  </si>
  <si>
    <t>Turned on Profit Peak from $8.95 with target of 1. Trimmed PPC slightly</t>
  </si>
  <si>
    <t>Improving sell through / DOH. Increased target to 3. Created $1 off coupon</t>
  </si>
  <si>
    <t>Improving DOH. Raised PPC</t>
  </si>
  <si>
    <t>Lowered min to $7.95</t>
  </si>
  <si>
    <t>Raised what PPC I could</t>
  </si>
  <si>
    <t>Turned PPC off. Raised min to $8.95</t>
  </si>
  <si>
    <t>Continue with Profit Peak. Per Bryan last week, we're setting these to at least break even so we know what velocities to order for the future</t>
  </si>
  <si>
    <t>Lowered min to $7.95. Turned PPC on</t>
  </si>
  <si>
    <t>PL-IFC-183MC06-5PK</t>
  </si>
  <si>
    <t>Turned on Profit Peak from $16.95. Paused AB test. Optimized PPC. Turned PPC off</t>
  </si>
  <si>
    <t>Improving sell through / DOH. Turned PPC on</t>
  </si>
  <si>
    <t>Improving DOH. Turned PPC off. Lowered min to $12.95. Added target of 1. Scheduled at $16.99 a few days</t>
  </si>
  <si>
    <t>Scheduled at $12.99 for a few days</t>
  </si>
  <si>
    <t>Scheduled at $13.99 for a few days</t>
  </si>
  <si>
    <t>Raised min to $15.95</t>
  </si>
  <si>
    <t>Raised min to $17.97</t>
  </si>
  <si>
    <t>PL-IFC-183MC10</t>
  </si>
  <si>
    <t>Raised $1 to $9.99. Turned PPC on. Turned PPC off</t>
  </si>
  <si>
    <t>Inactive (Out of Stock)</t>
  </si>
  <si>
    <t>Improving DOH. Turned on Profit Peak from $8.95 with target of 1. Optimized PPC</t>
  </si>
  <si>
    <t>Created $1 off coupon</t>
  </si>
  <si>
    <t>Turned PPC off. Lowered min to $6.95. Increased target to 2</t>
  </si>
  <si>
    <t>Raised min to $8.95</t>
  </si>
  <si>
    <t>PL-IFC-183MC10-2PK</t>
  </si>
  <si>
    <t>Turned on Profit Peak from $12.95. Paused AB test. Optimized PPC. Repaused AB test</t>
  </si>
  <si>
    <t>Lowered min to $9.99. Increased target to 2. Optimized PPC</t>
  </si>
  <si>
    <t>Improving DOH / sell through. Increased target to 3. Scheduled at $9.99 a few days. Trimmed PPC for wasted spend</t>
  </si>
  <si>
    <t>Improving DOH. Lowered min to $9.5</t>
  </si>
  <si>
    <t>Trimmed PPC for wasted spend. Created $1 off coupon</t>
  </si>
  <si>
    <t>Heavily trimmed PPC</t>
  </si>
  <si>
    <t>Turned PPC off. Raised min to $9.95</t>
  </si>
  <si>
    <t>PL-IFC-183MC10-5PK</t>
  </si>
  <si>
    <t>Turned on Profit Peak from $18.99. Paused AB test. Turned PPC off</t>
  </si>
  <si>
    <t>Turned PPC on. Lowered min to $14.95. Scheduled at $19.99 a couple days</t>
  </si>
  <si>
    <t>DOH under control. Sell through improving. Maintain so we don't dip under break even</t>
  </si>
  <si>
    <t>Improving profit. Raised min to $19.95</t>
  </si>
  <si>
    <t>Raised min to $23.22. Removd target</t>
  </si>
  <si>
    <t>Raised min to $25.55</t>
  </si>
  <si>
    <t>PL-IFC-183MCRA03-2PK</t>
  </si>
  <si>
    <t>Trimmed PPC. Trimmed PPC</t>
  </si>
  <si>
    <t>Turned on Profit Peak from $6.95 with target of 2. Raised PPC slightly</t>
  </si>
  <si>
    <t>Improving sell through / DOH. Created $1 off coupon</t>
  </si>
  <si>
    <t>Scheduled at $6.99 for a few days</t>
  </si>
  <si>
    <t>PL-IFC-183MCRA06-2PK</t>
  </si>
  <si>
    <t>Turned on Profit Peak from $10.95. Paused AB test. Trimmed PPC. Repaused AB test</t>
  </si>
  <si>
    <t>Lowered min to $8.95. Increased target to 2. Optimized PPC</t>
  </si>
  <si>
    <t>Improving sell through / DOH. Increased target to 3. Trimmed PPC for wasted spend. Created $1 off coupon</t>
  </si>
  <si>
    <t>Back up and running. Continue with Profit Peak</t>
  </si>
  <si>
    <t>PL-IFC-183MCRA10-2PK</t>
  </si>
  <si>
    <t>Turned on Profit Peak from $12.95. Paused AB test. Trimmed PPC</t>
  </si>
  <si>
    <t>Lowered min to $9.95. Increased target to 2. Trimmed PPC</t>
  </si>
  <si>
    <t>Now at target velocity. Optimized PPC</t>
  </si>
  <si>
    <t>Improving DOH. Increased target to 3. Scheduled at $9.99 for a few days</t>
  </si>
  <si>
    <t>Raised what PPC I could. Created $1 off coupon</t>
  </si>
  <si>
    <t>DOH of Comp Inv</t>
  </si>
  <si>
    <t>7/12 to 7/18</t>
  </si>
  <si>
    <t>No Transit, But 200 At Factory 50-75 days from Earliest Arrival</t>
  </si>
  <si>
    <t>**No Inventory In The Works**</t>
  </si>
  <si>
    <t>No Transit, But 640 At Factory 50-75 days from Earliest Arrival</t>
  </si>
  <si>
    <t>No Transit or Factory Storage, 3200 In Production 60-100 days from Earliest Arrival</t>
  </si>
  <si>
    <t>No Transit, But 1000 At Factory 50-75 days from Earliest Arrival</t>
  </si>
  <si>
    <t>No Transit or Factory Storage, 3500 In Production 60-100 days from Earliest Arrival</t>
  </si>
  <si>
    <t>No Transit or Factory Storage, 280 In Production 60-100 days from Earliest Arrival</t>
  </si>
  <si>
    <t>| AGL266  - 160 units 08/12</t>
  </si>
  <si>
    <t>| AGL266  - 60 units 08/12</t>
  </si>
  <si>
    <t>| AGL266  - 128 units 08/12</t>
  </si>
  <si>
    <t>| AGL266  - 32 units 08/12</t>
  </si>
  <si>
    <t>| AGL266  - 119 units 08/12</t>
  </si>
  <si>
    <t>| AGL266  - 104 units 08/12</t>
  </si>
  <si>
    <t>| AGL266  - 48 units 08/12</t>
  </si>
  <si>
    <t>| AGL266  - 120 units 08/12</t>
  </si>
  <si>
    <t>| AGL266  - 205 units 08/12</t>
  </si>
  <si>
    <t>| AGL266  - 64 units 08/12</t>
  </si>
  <si>
    <t>| 407  - 400 units 07/20</t>
  </si>
  <si>
    <t>| 407  - 300 units 07/20| 410  - 25 units 07/20</t>
  </si>
  <si>
    <t>No Transit, But 500 At Factory 50-75 days from Earliest Arrival</t>
  </si>
  <si>
    <t>| 410  - 50 units 07/20</t>
  </si>
  <si>
    <t>| 410  - 200 units 07/20</t>
  </si>
  <si>
    <t>No Transit or Factory Storage, 100 In Production 60-100 days from Earliest Arrival</t>
  </si>
  <si>
    <t>No Transit, But 75 At Factory 50-75 days from Earliest Arrival</t>
  </si>
  <si>
    <t>No Transit, But 400 At Factory 50-75 days from Earliest Arrival</t>
  </si>
  <si>
    <t>No Transit, But 300 At Factory 50-75 days from Earliest Arrival</t>
  </si>
  <si>
    <t>| S210711-STAR STAR - 500 units 11/01</t>
  </si>
  <si>
    <t>No Transit, But 700 At Factory 50-75 days from Earliest Arrival</t>
  </si>
  <si>
    <t>| 410  - 400 units 07/20| AGL273-2  - 200 units 08/18</t>
  </si>
  <si>
    <t>No Transit, But 390 At Factory 50-75 days from Earliest Arrival</t>
  </si>
  <si>
    <t>No Transit, But 204 At Factory 50-75 days from Earliest Arrival</t>
  </si>
  <si>
    <t>No Transit, But 600 At Factory 50-75 days from Earliest Arrival</t>
  </si>
  <si>
    <t>At Factory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</si>
</sst>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0.0%"/>
    <numFmt numFmtId="166" formatCode="0.000"/>
    <numFmt numFmtId="167" formatCode="_([$$-409]* #,##0.00_);_([$$-409]* \(#,##0.00\);_([$$-409]* &quot;-&quot;??_);_(@_)"/>
  </numFmts>
  <fonts count="9" x14ac:knownFonts="1">
    <font>
      <sz val="11"/>
      <color rgb="FF000000"/>
      <name val="Calibri"/>
    </font>
    <font>
      <sz val="11"/>
      <color theme="1"/>
      <name val="Calibri"/>
      <family val="2"/>
    </font>
    <font>
      <sz val="10"/>
      <color rgb="FF000000"/>
      <name val="Calibri"/>
      <family val="2"/>
    </font>
    <font>
      <b/>
      <sz val="12"/>
      <color rgb="FF000000"/>
      <name val="Calibri"/>
      <family val="2"/>
    </font>
    <font>
      <sz val="11"/>
      <name val="Calibri"/>
      <family val="2"/>
    </font>
    <font>
      <b/>
      <sz val="11"/>
      <color rgb="FF3F3F3F"/>
      <name val="Calibri"/>
      <family val="2"/>
    </font>
    <font>
      <b/>
      <sz val="11"/>
      <color rgb="FFF2F2F2"/>
      <name val="Calibri"/>
      <family val="2"/>
    </font>
    <font>
      <b/>
      <sz val="12"/>
      <color theme="1"/>
      <name val="Calibri"/>
      <family val="2"/>
    </font>
    <font>
      <sz val="11"/>
      <color rgb="FF000000"/>
      <name val="Calibri"/>
      <family val="2"/>
    </font>
  </fonts>
  <fills count="4">
    <fill>
      <patternFill patternType="none"/>
    </fill>
    <fill>
      <patternFill patternType="gray125"/>
    </fill>
    <fill>
      <patternFill patternType="solid">
        <fgColor rgb="FFF2F2F2"/>
        <bgColor rgb="FFF2F2F2"/>
      </patternFill>
    </fill>
    <fill>
      <patternFill patternType="solid">
        <fgColor rgb="FFFFFFFF"/>
        <bgColor rgb="FFFFFFFF"/>
      </patternFill>
    </fill>
  </fills>
  <borders count="12">
    <border>
      <left/>
      <right/>
      <top/>
      <bottom/>
      <diagonal/>
    </border>
    <border>
      <left/>
      <right/>
      <top/>
      <bottom/>
      <diagonal/>
    </border>
    <border>
      <left/>
      <right/>
      <top/>
      <bottom/>
      <diagonal/>
    </border>
    <border>
      <left/>
      <right/>
      <top/>
      <bottom style="thin">
        <color rgb="FF000000"/>
      </bottom>
      <diagonal/>
    </border>
    <border>
      <left/>
      <right/>
      <top/>
      <bottom style="thin">
        <color rgb="FF3F3F3F"/>
      </bottom>
      <diagonal/>
    </border>
    <border>
      <left/>
      <right/>
      <top/>
      <bottom style="thin">
        <color rgb="FF000000"/>
      </bottom>
      <diagonal/>
    </border>
    <border>
      <left/>
      <right/>
      <top/>
      <bottom style="thin">
        <color rgb="FF3F3F3F"/>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medium">
        <color rgb="FF000000"/>
      </bottom>
      <diagonal/>
    </border>
    <border>
      <left style="medium">
        <color rgb="FFCCCCCC"/>
      </left>
      <right style="medium">
        <color rgb="FFCCCCCC"/>
      </right>
      <top style="medium">
        <color rgb="FF000000"/>
      </top>
      <bottom style="thick">
        <color rgb="FF000000"/>
      </bottom>
      <diagonal/>
    </border>
    <border>
      <left/>
      <right/>
      <top/>
      <bottom/>
      <diagonal/>
    </border>
  </borders>
  <cellStyleXfs count="1">
    <xf numFmtId="0" fontId="0" fillId="0" borderId="0"/>
  </cellStyleXfs>
  <cellXfs count="82">
    <xf numFmtId="0" fontId="0" fillId="0" borderId="0" xfId="0" applyFont="1" applyAlignment="1"/>
    <xf numFmtId="0" fontId="0" fillId="0" borderId="0" xfId="0" applyFont="1" applyAlignment="1">
      <alignment horizontal="left"/>
    </xf>
    <xf numFmtId="0" fontId="0" fillId="0" borderId="0" xfId="0" applyFont="1" applyAlignment="1">
      <alignment horizontal="center"/>
    </xf>
    <xf numFmtId="0" fontId="3" fillId="0" borderId="0" xfId="0" applyFont="1" applyAlignment="1">
      <alignment horizontal="center"/>
    </xf>
    <xf numFmtId="44" fontId="5" fillId="2" borderId="9" xfId="0" applyNumberFormat="1" applyFont="1" applyFill="1" applyBorder="1" applyAlignment="1">
      <alignment horizontal="center" vertical="center"/>
    </xf>
    <xf numFmtId="0" fontId="5" fillId="2" borderId="9" xfId="0" applyFont="1" applyFill="1" applyBorder="1" applyAlignment="1">
      <alignment horizontal="center" vertical="center" wrapText="1"/>
    </xf>
    <xf numFmtId="44" fontId="5" fillId="2" borderId="9" xfId="0" applyNumberFormat="1" applyFont="1" applyFill="1" applyBorder="1" applyAlignment="1">
      <alignment horizontal="center" vertical="center" wrapText="1"/>
    </xf>
    <xf numFmtId="9" fontId="5" fillId="2" borderId="9" xfId="0" applyNumberFormat="1" applyFont="1" applyFill="1" applyBorder="1" applyAlignment="1">
      <alignment horizontal="center" vertical="center" wrapText="1"/>
    </xf>
    <xf numFmtId="9" fontId="5" fillId="2" borderId="9" xfId="0" applyNumberFormat="1" applyFont="1" applyFill="1" applyBorder="1" applyAlignment="1">
      <alignment horizontal="center" vertical="center"/>
    </xf>
    <xf numFmtId="165" fontId="5" fillId="2" borderId="9" xfId="0" applyNumberFormat="1" applyFont="1" applyFill="1" applyBorder="1" applyAlignment="1">
      <alignment horizontal="center" vertical="center" wrapText="1"/>
    </xf>
    <xf numFmtId="0" fontId="5" fillId="2" borderId="9" xfId="0" applyFont="1" applyFill="1" applyBorder="1" applyAlignment="1">
      <alignment horizontal="center" vertical="center"/>
    </xf>
    <xf numFmtId="14" fontId="6" fillId="2" borderId="9" xfId="0" applyNumberFormat="1" applyFont="1" applyFill="1" applyBorder="1" applyAlignment="1">
      <alignment horizontal="center" vertical="center" wrapText="1"/>
    </xf>
    <xf numFmtId="2" fontId="5" fillId="2" borderId="9" xfId="0" applyNumberFormat="1" applyFont="1" applyFill="1" applyBorder="1" applyAlignment="1">
      <alignment horizontal="center" vertical="center"/>
    </xf>
    <xf numFmtId="0" fontId="5" fillId="2" borderId="10" xfId="0" applyFont="1" applyFill="1" applyBorder="1" applyAlignment="1">
      <alignment horizontal="center" vertical="center" wrapText="1"/>
    </xf>
    <xf numFmtId="0" fontId="0" fillId="0" borderId="0" xfId="0" applyFont="1"/>
    <xf numFmtId="164" fontId="1" fillId="2" borderId="11" xfId="0" applyNumberFormat="1" applyFont="1" applyFill="1" applyBorder="1" applyAlignment="1">
      <alignment horizontal="center" vertical="center" wrapText="1"/>
    </xf>
    <xf numFmtId="0" fontId="0" fillId="2" borderId="11" xfId="0" applyFont="1" applyFill="1" applyBorder="1" applyAlignment="1">
      <alignment horizontal="center"/>
    </xf>
    <xf numFmtId="44" fontId="0" fillId="2" borderId="11" xfId="0" applyNumberFormat="1" applyFont="1" applyFill="1" applyBorder="1" applyAlignment="1">
      <alignment horizontal="center"/>
    </xf>
    <xf numFmtId="9" fontId="0" fillId="2" borderId="11" xfId="0" applyNumberFormat="1" applyFont="1" applyFill="1" applyBorder="1" applyAlignment="1">
      <alignment horizontal="center"/>
    </xf>
    <xf numFmtId="165" fontId="0" fillId="2" borderId="11" xfId="0" applyNumberFormat="1" applyFont="1" applyFill="1" applyBorder="1" applyAlignment="1">
      <alignment horizontal="center"/>
    </xf>
    <xf numFmtId="2" fontId="0" fillId="2" borderId="11" xfId="0" applyNumberFormat="1" applyFont="1" applyFill="1" applyBorder="1" applyAlignment="1">
      <alignment horizontal="center"/>
    </xf>
    <xf numFmtId="2" fontId="0" fillId="0" borderId="0" xfId="0" applyNumberFormat="1" applyFont="1"/>
    <xf numFmtId="0" fontId="0" fillId="0" borderId="0" xfId="0" applyFont="1" applyAlignment="1">
      <alignment horizontal="right"/>
    </xf>
    <xf numFmtId="14" fontId="0" fillId="0" borderId="0" xfId="0" applyNumberFormat="1" applyFont="1" applyAlignment="1">
      <alignment horizontal="left"/>
    </xf>
    <xf numFmtId="9" fontId="0" fillId="0" borderId="0" xfId="0" applyNumberFormat="1" applyFont="1"/>
    <xf numFmtId="44" fontId="0" fillId="0" borderId="0" xfId="0" applyNumberFormat="1" applyFont="1"/>
    <xf numFmtId="44" fontId="0" fillId="0" borderId="0" xfId="0" applyNumberFormat="1" applyFont="1" applyAlignment="1">
      <alignment horizontal="center"/>
    </xf>
    <xf numFmtId="166" fontId="0" fillId="0" borderId="0" xfId="0" applyNumberFormat="1" applyFont="1"/>
    <xf numFmtId="0" fontId="1" fillId="0" borderId="0" xfId="0" applyFont="1"/>
    <xf numFmtId="0" fontId="1" fillId="2" borderId="11" xfId="0" applyFont="1" applyFill="1" applyBorder="1" applyAlignment="1">
      <alignment horizontal="center"/>
    </xf>
    <xf numFmtId="44" fontId="1" fillId="2" borderId="11" xfId="0" applyNumberFormat="1" applyFont="1" applyFill="1" applyBorder="1"/>
    <xf numFmtId="9" fontId="1" fillId="2" borderId="11" xfId="0" applyNumberFormat="1" applyFont="1" applyFill="1" applyBorder="1" applyAlignment="1">
      <alignment horizontal="center"/>
    </xf>
    <xf numFmtId="44" fontId="1" fillId="2" borderId="11" xfId="0" applyNumberFormat="1" applyFont="1" applyFill="1" applyBorder="1" applyAlignment="1">
      <alignment horizontal="center"/>
    </xf>
    <xf numFmtId="165" fontId="1" fillId="2" borderId="11" xfId="0" applyNumberFormat="1" applyFont="1" applyFill="1" applyBorder="1" applyAlignment="1">
      <alignment horizontal="center"/>
    </xf>
    <xf numFmtId="2" fontId="1" fillId="2" borderId="11" xfId="0" applyNumberFormat="1" applyFont="1" applyFill="1" applyBorder="1" applyAlignment="1">
      <alignment horizontal="center"/>
    </xf>
    <xf numFmtId="2" fontId="1" fillId="0" borderId="0" xfId="0" applyNumberFormat="1" applyFont="1"/>
    <xf numFmtId="0" fontId="1" fillId="0" borderId="0" xfId="0" applyFont="1" applyAlignment="1">
      <alignment horizontal="right"/>
    </xf>
    <xf numFmtId="14" fontId="1" fillId="0" borderId="0" xfId="0" applyNumberFormat="1" applyFont="1" applyAlignment="1">
      <alignment horizontal="left"/>
    </xf>
    <xf numFmtId="9" fontId="1" fillId="0" borderId="0" xfId="0" applyNumberFormat="1" applyFont="1"/>
    <xf numFmtId="44" fontId="1" fillId="0" borderId="0" xfId="0" applyNumberFormat="1" applyFont="1"/>
    <xf numFmtId="44" fontId="1" fillId="0" borderId="0" xfId="0" applyNumberFormat="1" applyFont="1" applyAlignment="1">
      <alignment horizontal="center"/>
    </xf>
    <xf numFmtId="166" fontId="1" fillId="0" borderId="0" xfId="0" applyNumberFormat="1" applyFont="1"/>
    <xf numFmtId="44" fontId="0" fillId="2" borderId="11" xfId="0" applyNumberFormat="1" applyFont="1" applyFill="1" applyBorder="1"/>
    <xf numFmtId="167" fontId="0" fillId="0" borderId="0" xfId="0" applyNumberFormat="1" applyFont="1"/>
    <xf numFmtId="164" fontId="0" fillId="2" borderId="11" xfId="0" applyNumberFormat="1" applyFont="1" applyFill="1" applyBorder="1" applyAlignment="1">
      <alignment horizontal="center"/>
    </xf>
    <xf numFmtId="0" fontId="0" fillId="2" borderId="11" xfId="0" applyFont="1" applyFill="1" applyBorder="1"/>
    <xf numFmtId="0" fontId="1" fillId="2" borderId="11" xfId="0" applyFont="1" applyFill="1" applyBorder="1"/>
    <xf numFmtId="164" fontId="5" fillId="2" borderId="9" xfId="0" applyNumberFormat="1" applyFont="1" applyFill="1" applyBorder="1" applyAlignment="1">
      <alignment horizontal="center" vertical="center"/>
    </xf>
    <xf numFmtId="0" fontId="0" fillId="0" borderId="0" xfId="0" applyFont="1" applyAlignment="1"/>
    <xf numFmtId="0" fontId="7" fillId="0" borderId="0" xfId="0" applyFont="1" applyAlignment="1">
      <alignment horizontal="center"/>
    </xf>
    <xf numFmtId="0" fontId="0" fillId="3" borderId="11" xfId="0" applyFont="1" applyFill="1" applyBorder="1" applyAlignment="1">
      <alignment horizontal="left"/>
    </xf>
    <xf numFmtId="0" fontId="0" fillId="0" borderId="0" xfId="0"/>
    <xf numFmtId="0" fontId="0" fillId="2" borderId="11" xfId="0" applyFill="1" applyBorder="1" applyAlignment="1">
      <alignment horizontal="center"/>
    </xf>
    <xf numFmtId="44" fontId="0" fillId="2" borderId="11" xfId="0" applyNumberFormat="1" applyFill="1" applyBorder="1" applyAlignment="1">
      <alignment horizontal="center"/>
    </xf>
    <xf numFmtId="2" fontId="0" fillId="0" borderId="0" xfId="0" applyNumberFormat="1"/>
    <xf numFmtId="0" fontId="0" fillId="0" borderId="0" xfId="0" applyAlignment="1">
      <alignment horizontal="right"/>
    </xf>
    <xf numFmtId="0" fontId="0" fillId="0" borderId="0" xfId="0" applyAlignment="1">
      <alignment horizontal="left"/>
    </xf>
    <xf numFmtId="166" fontId="0" fillId="0" borderId="0" xfId="0" applyNumberFormat="1"/>
    <xf numFmtId="44" fontId="0" fillId="0" borderId="0" xfId="0" applyNumberFormat="1"/>
    <xf numFmtId="0" fontId="0" fillId="0" borderId="0" xfId="0" applyFont="1" applyAlignment="1">
      <alignment horizontal="center" vertical="center" wrapText="1"/>
    </xf>
    <xf numFmtId="0" fontId="4" fillId="0" borderId="6" xfId="0" applyFont="1" applyBorder="1"/>
    <xf numFmtId="0" fontId="0" fillId="0" borderId="0" xfId="0" applyFont="1" applyAlignment="1"/>
    <xf numFmtId="44" fontId="0" fillId="0" borderId="0" xfId="0" applyNumberFormat="1" applyFont="1" applyAlignment="1">
      <alignment horizontal="center" vertical="center" wrapText="1"/>
    </xf>
    <xf numFmtId="44" fontId="2" fillId="0" borderId="0" xfId="0" applyNumberFormat="1" applyFont="1" applyAlignment="1">
      <alignment horizontal="center" vertical="center" wrapText="1"/>
    </xf>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4" fillId="0" borderId="3" xfId="0" applyFont="1" applyBorder="1"/>
    <xf numFmtId="0" fontId="0" fillId="2" borderId="1" xfId="0" applyFont="1" applyFill="1" applyBorder="1" applyAlignment="1">
      <alignment horizontal="center" vertical="center" wrapText="1"/>
    </xf>
    <xf numFmtId="0" fontId="4" fillId="0" borderId="2" xfId="0" applyFont="1" applyBorder="1"/>
    <xf numFmtId="2" fontId="1" fillId="0" borderId="0" xfId="0" applyNumberFormat="1" applyFont="1" applyAlignment="1">
      <alignment horizontal="center" vertical="center" wrapText="1"/>
    </xf>
    <xf numFmtId="0" fontId="4" fillId="0" borderId="5" xfId="0" applyFont="1" applyBorder="1"/>
    <xf numFmtId="0" fontId="4" fillId="0" borderId="4" xfId="0" applyFont="1" applyBorder="1"/>
    <xf numFmtId="165" fontId="0" fillId="2" borderId="1" xfId="0" applyNumberFormat="1" applyFont="1" applyFill="1" applyBorder="1" applyAlignment="1">
      <alignment horizontal="center" vertical="center" wrapText="1"/>
    </xf>
    <xf numFmtId="0" fontId="0" fillId="2" borderId="1" xfId="0" applyFont="1" applyFill="1" applyBorder="1" applyAlignment="1">
      <alignment horizontal="center" vertical="center"/>
    </xf>
    <xf numFmtId="44" fontId="0" fillId="2" borderId="1" xfId="0" applyNumberFormat="1" applyFont="1" applyFill="1" applyBorder="1" applyAlignment="1">
      <alignment horizontal="center" vertical="center"/>
    </xf>
    <xf numFmtId="44" fontId="0" fillId="2" borderId="1" xfId="0" applyNumberFormat="1" applyFont="1" applyFill="1" applyBorder="1" applyAlignment="1">
      <alignment horizontal="center" vertical="center" wrapText="1"/>
    </xf>
    <xf numFmtId="0" fontId="5" fillId="2" borderId="7" xfId="0" applyFont="1" applyFill="1" applyBorder="1" applyAlignment="1">
      <alignment horizontal="left" vertical="center"/>
    </xf>
    <xf numFmtId="0" fontId="4" fillId="0" borderId="8" xfId="0" applyFont="1" applyBorder="1"/>
    <xf numFmtId="0" fontId="0" fillId="0" borderId="0" xfId="0" applyFont="1" applyAlignment="1">
      <alignment horizontal="left"/>
    </xf>
    <xf numFmtId="164" fontId="0" fillId="2" borderId="1" xfId="0" applyNumberFormat="1" applyFont="1" applyFill="1" applyBorder="1" applyAlignment="1">
      <alignment horizontal="center" vertical="center" wrapText="1"/>
    </xf>
    <xf numFmtId="0" fontId="1" fillId="0" borderId="0" xfId="0" applyFont="1" applyAlignment="1">
      <alignment horizontal="left"/>
    </xf>
    <xf numFmtId="0" fontId="8"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35.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37.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38.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0.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41.xml"/><Relationship Id="rId1" Type="http://schemas.openxmlformats.org/officeDocument/2006/relationships/vmlDrawing" Target="../drawings/vmlDrawing41.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42.xml"/><Relationship Id="rId1" Type="http://schemas.openxmlformats.org/officeDocument/2006/relationships/vmlDrawing" Target="../drawings/vmlDrawing42.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43.xml"/><Relationship Id="rId1" Type="http://schemas.openxmlformats.org/officeDocument/2006/relationships/vmlDrawing" Target="../drawings/vmlDrawing43.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2" Type="http://schemas.openxmlformats.org/officeDocument/2006/relationships/comments" Target="../comments48.xml"/><Relationship Id="rId1" Type="http://schemas.openxmlformats.org/officeDocument/2006/relationships/vmlDrawing" Target="../drawings/vmlDrawing48.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2" Type="http://schemas.openxmlformats.org/officeDocument/2006/relationships/comments" Target="../comments50.xml"/><Relationship Id="rId1" Type="http://schemas.openxmlformats.org/officeDocument/2006/relationships/vmlDrawing" Target="../drawings/vmlDrawing50.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53.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55.xml"/><Relationship Id="rId1" Type="http://schemas.openxmlformats.org/officeDocument/2006/relationships/vmlDrawing" Target="../drawings/vmlDrawing5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00"/>
  <sheetViews>
    <sheetView tabSelected="1" workbookViewId="0">
      <pane xSplit="2" ySplit="3" topLeftCell="C11"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62.16406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Info!B1:BJ5000""),3,FALSE),"""")"),"4 Prong to 3 Prong Dryer Plug Adapter - 1.5 Ft STW 10/3 Black Outlet Adapter for Dryer - NEMA 14-30R to 10-30P")</f>
        <v>4 Prong to 3 Prong Dryer Plug Adapter - 1.5 Ft STW 10/3 Black Outlet Adapter for Dryer - NEMA 14-30R to 10-30P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Info!B1:BJ5000""),2,FALSE),"""")"),"B089DPY3YS")</f>
        <v>B089DPY3YS</v>
      </c>
      <c r="B2" s="3" t="s">
        <v>29</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56.25" customHeight="1" x14ac:dyDescent="0.2">
      <c r="A3" s="76" t="s">
        <v>30</v>
      </c>
      <c r="B3" s="77"/>
      <c r="C3" s="4">
        <f>((AE32+AF32)/0.85)*-1</f>
        <v>15.03352396444706</v>
      </c>
      <c r="D3" s="5">
        <f>SUM(D4:D99765)</f>
        <v>138</v>
      </c>
      <c r="E3" s="5"/>
      <c r="F3" s="6">
        <f t="shared" ref="F3:G3" si="0">SUM(F4:F99765)</f>
        <v>5855.84</v>
      </c>
      <c r="G3" s="6">
        <f t="shared" si="0"/>
        <v>-0.32</v>
      </c>
      <c r="H3" s="7">
        <f t="shared" ref="H3:H32" si="1">G3/F3*-1</f>
        <v>5.4646301811524908E-5</v>
      </c>
      <c r="I3" s="8">
        <f t="shared" ref="I3:I32" si="2">J3/F3</f>
        <v>0.5640594994257021</v>
      </c>
      <c r="J3" s="6">
        <f>SUM(J4:J99765)</f>
        <v>3303.0421791170038</v>
      </c>
      <c r="K3" s="6">
        <f t="shared" ref="K3:K32" si="3">J3/D3</f>
        <v>23.935088254471044</v>
      </c>
      <c r="L3" s="5"/>
      <c r="M3" s="9"/>
      <c r="N3" s="10"/>
      <c r="O3" s="5" t="str">
        <f ca="1">IFERROR(__xludf.DUMMYFUNCTION("VLOOKUP(B2,IMPORTRANGE(""https://docs.google.com/spreadsheets/d/1N8jvpEHDVkurDv7NrPxwI3eH6hQsvtb1QltGNCalRjU/edit#gid=865736387"",""Compiled Sheet!a1:g5000""),2,FALSE)"),"6 - March
6 - April
6 - May
6 - June
6 - July
6 - Aug
6 - Sept
6 - Oct
4 - Nov
4 - Dec
6 - Jan
6 - Feb")</f>
        <v>6 - March
6 - April
6 - May
6 - June
6 - July
6 - Aug
6 - Sept
6 - Oct
4 - Nov
4 - Dec
6 - Jan
6 -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0</v>
      </c>
      <c r="X3" s="7">
        <f>W3/D3</f>
        <v>0</v>
      </c>
      <c r="Y3" s="6"/>
      <c r="Z3" s="5"/>
      <c r="AA3" s="5"/>
      <c r="AB3" s="5"/>
      <c r="AC3" s="5"/>
      <c r="AD3" s="6">
        <f>SUM(AD4:AD99765)</f>
        <v>-20.920259344534575</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Info!B2:BZ7000""),37,FALSE)),"""")*-1"),-7.87849536978)</f>
        <v>-7.8784953697800004</v>
      </c>
      <c r="AG3" s="6">
        <f>SUM(AG4:AG99765)</f>
        <v>0</v>
      </c>
    </row>
    <row r="4" spans="1:33" ht="15.75" customHeight="1" x14ac:dyDescent="0.2">
      <c r="A4" s="14" t="s">
        <v>31</v>
      </c>
      <c r="B4" s="14" t="s">
        <v>32</v>
      </c>
      <c r="C4" s="15">
        <f t="shared" ref="C4:C32" si="4">IFERROR(F4/D4," - ")</f>
        <v>37.368333333333332</v>
      </c>
      <c r="D4" s="16">
        <v>6</v>
      </c>
      <c r="E4" s="16">
        <v>0</v>
      </c>
      <c r="F4" s="17">
        <v>224.21</v>
      </c>
      <c r="G4" s="17">
        <v>0</v>
      </c>
      <c r="H4" s="18">
        <f t="shared" si="1"/>
        <v>0</v>
      </c>
      <c r="I4" s="18">
        <f t="shared" si="2"/>
        <v>0.54244111444284704</v>
      </c>
      <c r="J4" s="17">
        <f t="shared" ref="J4:J32" si="5">F4*0.85+G4+AF4*D4+D4*AE4+AG4+AD4</f>
        <v>121.62072226923074</v>
      </c>
      <c r="K4" s="17">
        <f t="shared" si="3"/>
        <v>20.270120378205124</v>
      </c>
      <c r="L4" s="16">
        <v>47</v>
      </c>
      <c r="M4" s="19">
        <f t="shared" ref="M4:M32" si="6">IFERROR(D4/L4,"-")</f>
        <v>0.1276595744680851</v>
      </c>
      <c r="N4" s="16">
        <v>116</v>
      </c>
      <c r="O4" s="20">
        <f t="shared" ref="O4:P4" si="7">D4/7</f>
        <v>0.8571428571428571</v>
      </c>
      <c r="P4" s="20">
        <f t="shared" si="7"/>
        <v>0</v>
      </c>
      <c r="Q4" s="16">
        <f t="shared" ref="Q4:Q32" si="8">ROUNDDOWN(N4/(O4+P4),0)</f>
        <v>135</v>
      </c>
      <c r="R4" s="16"/>
      <c r="S4" s="21">
        <v>1.86666666666666</v>
      </c>
      <c r="T4" s="14">
        <v>500</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0.10983194444444445</v>
      </c>
      <c r="AD4" s="25">
        <f t="shared" ref="AD4:AD32" si="12">IFERROR(AB4*AC4*D4*2,0)</f>
        <v>-0.90940849999999995</v>
      </c>
      <c r="AE4" s="25">
        <v>-4.9000000000000004</v>
      </c>
      <c r="AF4" s="25">
        <v>-6.4413948717948726</v>
      </c>
      <c r="AG4" s="25">
        <v>0</v>
      </c>
    </row>
    <row r="5" spans="1:33" ht="15.75" customHeight="1" x14ac:dyDescent="0.2">
      <c r="A5" s="28" t="s">
        <v>35</v>
      </c>
      <c r="B5" s="28" t="s">
        <v>36</v>
      </c>
      <c r="C5" s="15">
        <f t="shared" si="4"/>
        <v>34.113181818181822</v>
      </c>
      <c r="D5" s="29">
        <v>22</v>
      </c>
      <c r="E5" s="29">
        <v>0</v>
      </c>
      <c r="F5" s="30">
        <v>750.49</v>
      </c>
      <c r="G5" s="30">
        <v>0</v>
      </c>
      <c r="H5" s="31">
        <f t="shared" si="1"/>
        <v>0</v>
      </c>
      <c r="I5" s="31">
        <f t="shared" si="2"/>
        <v>0.51308805066375962</v>
      </c>
      <c r="J5" s="32">
        <f t="shared" si="5"/>
        <v>385.06745114264493</v>
      </c>
      <c r="K5" s="32">
        <f t="shared" si="3"/>
        <v>17.503065961029314</v>
      </c>
      <c r="L5" s="29">
        <v>370</v>
      </c>
      <c r="M5" s="33">
        <f t="shared" si="6"/>
        <v>5.9459459459459463E-2</v>
      </c>
      <c r="N5" s="29">
        <v>96</v>
      </c>
      <c r="O5" s="34">
        <f t="shared" ref="O5:P5" si="13">D5/7</f>
        <v>3.1428571428571428</v>
      </c>
      <c r="P5" s="34">
        <f t="shared" si="13"/>
        <v>0</v>
      </c>
      <c r="Q5" s="29">
        <f t="shared" si="8"/>
        <v>30</v>
      </c>
      <c r="R5" s="29"/>
      <c r="S5" s="35">
        <v>2.6341463414634099</v>
      </c>
      <c r="T5" s="28">
        <v>500</v>
      </c>
      <c r="U5" s="36" t="s">
        <v>33</v>
      </c>
      <c r="V5" s="37" t="s">
        <v>33</v>
      </c>
      <c r="W5" s="28">
        <v>0</v>
      </c>
      <c r="X5" s="38">
        <f t="shared" si="9"/>
        <v>0</v>
      </c>
      <c r="Y5" s="39">
        <f t="shared" si="10"/>
        <v>0</v>
      </c>
      <c r="Z5" s="28">
        <v>0</v>
      </c>
      <c r="AA5" s="28" t="s">
        <v>34</v>
      </c>
      <c r="AB5" s="40">
        <f t="shared" si="11"/>
        <v>-0.69</v>
      </c>
      <c r="AC5" s="41">
        <v>0.10995921205098494</v>
      </c>
      <c r="AD5" s="39">
        <f t="shared" si="12"/>
        <v>-3.3383616778679026</v>
      </c>
      <c r="AE5" s="39">
        <v>-4.9000000000000004</v>
      </c>
      <c r="AF5" s="39">
        <v>-6.4413948717948726</v>
      </c>
      <c r="AG5" s="39">
        <v>0</v>
      </c>
    </row>
    <row r="6" spans="1:33" ht="15.75" customHeight="1" x14ac:dyDescent="0.2">
      <c r="A6" s="28" t="s">
        <v>37</v>
      </c>
      <c r="B6" s="28" t="s">
        <v>38</v>
      </c>
      <c r="C6" s="15">
        <f t="shared" si="4"/>
        <v>39.111249999999984</v>
      </c>
      <c r="D6" s="29">
        <v>32</v>
      </c>
      <c r="E6" s="29">
        <v>0</v>
      </c>
      <c r="F6" s="30">
        <v>1251.5599999999995</v>
      </c>
      <c r="G6" s="30">
        <v>0</v>
      </c>
      <c r="H6" s="31">
        <f t="shared" si="1"/>
        <v>0</v>
      </c>
      <c r="I6" s="31">
        <f t="shared" si="2"/>
        <v>0.53605802792986124</v>
      </c>
      <c r="J6" s="32">
        <f t="shared" si="5"/>
        <v>670.9087854358969</v>
      </c>
      <c r="K6" s="32">
        <f t="shared" si="3"/>
        <v>20.965899544871778</v>
      </c>
      <c r="L6" s="29">
        <v>636</v>
      </c>
      <c r="M6" s="33">
        <f t="shared" si="6"/>
        <v>5.0314465408805034E-2</v>
      </c>
      <c r="N6" s="29">
        <v>64</v>
      </c>
      <c r="O6" s="34">
        <f t="shared" ref="O6:P6" si="14">D6/7</f>
        <v>4.5714285714285712</v>
      </c>
      <c r="P6" s="34">
        <f t="shared" si="14"/>
        <v>0</v>
      </c>
      <c r="Q6" s="29">
        <f t="shared" si="8"/>
        <v>14</v>
      </c>
      <c r="R6" s="29"/>
      <c r="S6" s="35">
        <v>1.81111111111111</v>
      </c>
      <c r="T6" s="28">
        <v>500</v>
      </c>
      <c r="U6" s="36" t="s">
        <v>33</v>
      </c>
      <c r="V6" s="37" t="s">
        <v>39</v>
      </c>
      <c r="W6" s="28">
        <v>0</v>
      </c>
      <c r="X6" s="38">
        <f t="shared" si="9"/>
        <v>0</v>
      </c>
      <c r="Y6" s="39">
        <f t="shared" si="10"/>
        <v>0</v>
      </c>
      <c r="Z6" s="28">
        <v>0</v>
      </c>
      <c r="AA6" s="28" t="s">
        <v>34</v>
      </c>
      <c r="AB6" s="40">
        <f t="shared" si="11"/>
        <v>-0.69</v>
      </c>
      <c r="AC6" s="41">
        <v>0.10983194444444445</v>
      </c>
      <c r="AD6" s="39">
        <f t="shared" si="12"/>
        <v>-4.8501786666666664</v>
      </c>
      <c r="AE6" s="39">
        <v>-4.9000000000000004</v>
      </c>
      <c r="AF6" s="39">
        <v>-7.2270948717948729</v>
      </c>
      <c r="AG6" s="39">
        <v>0</v>
      </c>
    </row>
    <row r="7" spans="1:33" ht="15.75" customHeight="1" x14ac:dyDescent="0.2">
      <c r="A7" s="28" t="s">
        <v>40</v>
      </c>
      <c r="B7" s="28" t="s">
        <v>41</v>
      </c>
      <c r="C7" s="15">
        <f t="shared" si="4"/>
        <v>41.143666666666689</v>
      </c>
      <c r="D7" s="29">
        <v>30</v>
      </c>
      <c r="E7" s="29">
        <v>0</v>
      </c>
      <c r="F7" s="30">
        <v>1234.3100000000006</v>
      </c>
      <c r="G7" s="30">
        <v>0</v>
      </c>
      <c r="H7" s="31">
        <f t="shared" si="1"/>
        <v>0</v>
      </c>
      <c r="I7" s="31">
        <f t="shared" si="2"/>
        <v>0.55156614735856802</v>
      </c>
      <c r="J7" s="32">
        <f t="shared" si="5"/>
        <v>680.80361134615441</v>
      </c>
      <c r="K7" s="32">
        <f t="shared" si="3"/>
        <v>22.693453711538481</v>
      </c>
      <c r="L7" s="29">
        <v>808</v>
      </c>
      <c r="M7" s="33">
        <f t="shared" si="6"/>
        <v>3.7128712871287127E-2</v>
      </c>
      <c r="N7" s="29">
        <v>38</v>
      </c>
      <c r="O7" s="34">
        <f t="shared" ref="O7:P7" si="15">D7/7</f>
        <v>4.2857142857142856</v>
      </c>
      <c r="P7" s="34">
        <f t="shared" si="15"/>
        <v>0</v>
      </c>
      <c r="Q7" s="29">
        <f t="shared" si="8"/>
        <v>8</v>
      </c>
      <c r="R7" s="29"/>
      <c r="S7" s="35">
        <v>2.4484848484848398</v>
      </c>
      <c r="T7" s="28">
        <v>500</v>
      </c>
      <c r="U7" s="36" t="s">
        <v>33</v>
      </c>
      <c r="V7" s="37" t="s">
        <v>39</v>
      </c>
      <c r="W7" s="28">
        <v>0</v>
      </c>
      <c r="X7" s="38">
        <f t="shared" si="9"/>
        <v>0</v>
      </c>
      <c r="Y7" s="39">
        <f t="shared" si="10"/>
        <v>0</v>
      </c>
      <c r="Z7" s="28">
        <v>0</v>
      </c>
      <c r="AA7" s="28" t="s">
        <v>34</v>
      </c>
      <c r="AB7" s="40">
        <f t="shared" si="11"/>
        <v>-0.69</v>
      </c>
      <c r="AC7" s="41">
        <v>0.10983194444444445</v>
      </c>
      <c r="AD7" s="39">
        <f t="shared" si="12"/>
        <v>-4.5470424999999999</v>
      </c>
      <c r="AE7" s="39">
        <v>-4.9000000000000004</v>
      </c>
      <c r="AF7" s="39">
        <v>-7.2270948717948729</v>
      </c>
      <c r="AG7" s="39">
        <v>0</v>
      </c>
    </row>
    <row r="8" spans="1:33" ht="15.75" customHeight="1" x14ac:dyDescent="0.2">
      <c r="A8" s="28" t="s">
        <v>42</v>
      </c>
      <c r="B8" s="28" t="s">
        <v>43</v>
      </c>
      <c r="C8" s="15">
        <f t="shared" si="4"/>
        <v>47.343157894736841</v>
      </c>
      <c r="D8" s="29">
        <v>19</v>
      </c>
      <c r="E8" s="29">
        <v>0</v>
      </c>
      <c r="F8" s="30">
        <v>899.52</v>
      </c>
      <c r="G8" s="30">
        <v>0</v>
      </c>
      <c r="H8" s="31">
        <f t="shared" si="1"/>
        <v>0</v>
      </c>
      <c r="I8" s="31">
        <f t="shared" si="2"/>
        <v>0.59058409642550092</v>
      </c>
      <c r="J8" s="32">
        <f t="shared" si="5"/>
        <v>531.24220641666659</v>
      </c>
      <c r="K8" s="32">
        <f t="shared" si="3"/>
        <v>27.960116127192979</v>
      </c>
      <c r="L8" s="29">
        <v>483</v>
      </c>
      <c r="M8" s="33">
        <f t="shared" si="6"/>
        <v>3.9337474120082816E-2</v>
      </c>
      <c r="N8" s="29">
        <v>21</v>
      </c>
      <c r="O8" s="34">
        <f t="shared" ref="O8:P8" si="16">D8/7</f>
        <v>2.7142857142857144</v>
      </c>
      <c r="P8" s="34">
        <f t="shared" si="16"/>
        <v>0</v>
      </c>
      <c r="Q8" s="29">
        <f t="shared" si="8"/>
        <v>7</v>
      </c>
      <c r="R8" s="29"/>
      <c r="S8" s="35">
        <v>3.07692307692307</v>
      </c>
      <c r="T8" s="28">
        <v>1000</v>
      </c>
      <c r="U8" s="36" t="s">
        <v>33</v>
      </c>
      <c r="V8" s="37" t="s">
        <v>33</v>
      </c>
      <c r="W8" s="28">
        <v>0</v>
      </c>
      <c r="X8" s="38">
        <f t="shared" si="9"/>
        <v>0</v>
      </c>
      <c r="Y8" s="39">
        <f t="shared" si="10"/>
        <v>0</v>
      </c>
      <c r="Z8" s="28">
        <v>0</v>
      </c>
      <c r="AA8" s="28" t="s">
        <v>34</v>
      </c>
      <c r="AB8" s="40">
        <f t="shared" si="11"/>
        <v>-0.69</v>
      </c>
      <c r="AC8" s="41">
        <v>0.10983194444444445</v>
      </c>
      <c r="AD8" s="39">
        <f t="shared" si="12"/>
        <v>-2.879793583333333</v>
      </c>
      <c r="AE8" s="39">
        <v>-4.9000000000000004</v>
      </c>
      <c r="AF8" s="39">
        <v>-7.23</v>
      </c>
      <c r="AG8" s="39">
        <v>0</v>
      </c>
    </row>
    <row r="9" spans="1:33" ht="15.75" customHeight="1" x14ac:dyDescent="0.2">
      <c r="A9" s="28" t="s">
        <v>44</v>
      </c>
      <c r="B9" s="28" t="s">
        <v>45</v>
      </c>
      <c r="C9" s="15">
        <f t="shared" si="4"/>
        <v>50.228333333333325</v>
      </c>
      <c r="D9" s="29">
        <v>18</v>
      </c>
      <c r="E9" s="29">
        <v>0</v>
      </c>
      <c r="F9" s="30">
        <v>904.1099999999999</v>
      </c>
      <c r="G9" s="30">
        <v>0</v>
      </c>
      <c r="H9" s="31">
        <f t="shared" si="1"/>
        <v>0</v>
      </c>
      <c r="I9" s="31">
        <f t="shared" si="2"/>
        <v>0.60434038136101564</v>
      </c>
      <c r="J9" s="32">
        <f t="shared" si="5"/>
        <v>546.39018219230775</v>
      </c>
      <c r="K9" s="32">
        <f t="shared" si="3"/>
        <v>30.355010121794876</v>
      </c>
      <c r="L9" s="29">
        <v>411</v>
      </c>
      <c r="M9" s="33">
        <f t="shared" si="6"/>
        <v>4.3795620437956206E-2</v>
      </c>
      <c r="N9" s="29">
        <v>2</v>
      </c>
      <c r="O9" s="34">
        <f t="shared" ref="O9:P9" si="17">D9/7</f>
        <v>2.5714285714285716</v>
      </c>
      <c r="P9" s="34">
        <f t="shared" si="17"/>
        <v>0</v>
      </c>
      <c r="Q9" s="29">
        <f t="shared" si="8"/>
        <v>0</v>
      </c>
      <c r="R9" s="29"/>
      <c r="S9" s="35">
        <v>4.38356164383561</v>
      </c>
      <c r="T9" s="28">
        <v>1000</v>
      </c>
      <c r="U9" s="36" t="s">
        <v>33</v>
      </c>
      <c r="V9" s="37" t="s">
        <v>33</v>
      </c>
      <c r="W9" s="28">
        <v>0</v>
      </c>
      <c r="X9" s="38">
        <f t="shared" si="9"/>
        <v>0</v>
      </c>
      <c r="Y9" s="39">
        <f t="shared" si="10"/>
        <v>0</v>
      </c>
      <c r="Z9" s="28">
        <v>0</v>
      </c>
      <c r="AA9" s="28" t="s">
        <v>34</v>
      </c>
      <c r="AB9" s="40">
        <f t="shared" si="11"/>
        <v>-0.69</v>
      </c>
      <c r="AC9" s="41">
        <v>0.10983194444444445</v>
      </c>
      <c r="AD9" s="39">
        <f t="shared" si="12"/>
        <v>-2.7282254999999997</v>
      </c>
      <c r="AE9" s="39">
        <v>-4.9000000000000004</v>
      </c>
      <c r="AF9" s="39">
        <v>-7.2875051282051198</v>
      </c>
      <c r="AG9" s="39">
        <v>0</v>
      </c>
    </row>
    <row r="10" spans="1:33" ht="15.75" customHeight="1" x14ac:dyDescent="0.2">
      <c r="A10" s="28" t="s">
        <v>46</v>
      </c>
      <c r="B10" s="28" t="s">
        <v>47</v>
      </c>
      <c r="C10" s="15">
        <f t="shared" si="4"/>
        <v>50.580000000000005</v>
      </c>
      <c r="D10" s="29">
        <v>3</v>
      </c>
      <c r="E10" s="29">
        <v>0</v>
      </c>
      <c r="F10" s="30">
        <v>151.74</v>
      </c>
      <c r="G10" s="30">
        <v>0</v>
      </c>
      <c r="H10" s="31">
        <f t="shared" si="1"/>
        <v>0</v>
      </c>
      <c r="I10" s="31">
        <f t="shared" si="2"/>
        <v>0.60604837462359717</v>
      </c>
      <c r="J10" s="32">
        <f t="shared" si="5"/>
        <v>91.961780365384641</v>
      </c>
      <c r="K10" s="32">
        <f t="shared" si="3"/>
        <v>30.653926788461547</v>
      </c>
      <c r="L10" s="29">
        <v>11</v>
      </c>
      <c r="M10" s="33">
        <f t="shared" si="6"/>
        <v>0.27272727272727271</v>
      </c>
      <c r="N10" s="29">
        <v>4</v>
      </c>
      <c r="O10" s="34">
        <f t="shared" ref="O10:P10" si="18">D10/7</f>
        <v>0.42857142857142855</v>
      </c>
      <c r="P10" s="34">
        <f t="shared" si="18"/>
        <v>0</v>
      </c>
      <c r="Q10" s="29">
        <f t="shared" si="8"/>
        <v>9</v>
      </c>
      <c r="R10" s="29"/>
      <c r="S10" s="35">
        <v>2.5691906005221901</v>
      </c>
      <c r="T10" s="28">
        <v>1000</v>
      </c>
      <c r="U10" s="36" t="s">
        <v>33</v>
      </c>
      <c r="V10" s="37" t="s">
        <v>33</v>
      </c>
      <c r="W10" s="28">
        <v>0</v>
      </c>
      <c r="X10" s="38">
        <f t="shared" si="9"/>
        <v>0</v>
      </c>
      <c r="Y10" s="39">
        <f t="shared" si="10"/>
        <v>0</v>
      </c>
      <c r="Z10" s="28">
        <v>0</v>
      </c>
      <c r="AA10" s="28" t="s">
        <v>34</v>
      </c>
      <c r="AB10" s="40">
        <f t="shared" si="11"/>
        <v>-0.69</v>
      </c>
      <c r="AC10" s="41">
        <v>0.10983194444444445</v>
      </c>
      <c r="AD10" s="39">
        <f t="shared" si="12"/>
        <v>-0.45470424999999998</v>
      </c>
      <c r="AE10" s="39">
        <v>-4.9000000000000004</v>
      </c>
      <c r="AF10" s="39">
        <v>-7.2875051282051198</v>
      </c>
      <c r="AG10" s="39">
        <v>0</v>
      </c>
    </row>
    <row r="11" spans="1:33" ht="15.75" customHeight="1" x14ac:dyDescent="0.2">
      <c r="A11" s="28" t="s">
        <v>48</v>
      </c>
      <c r="B11" s="28" t="s">
        <v>47</v>
      </c>
      <c r="C11" s="15">
        <f t="shared" si="4"/>
        <v>56.8</v>
      </c>
      <c r="D11" s="29">
        <v>1</v>
      </c>
      <c r="E11" s="29">
        <v>0</v>
      </c>
      <c r="F11" s="30">
        <v>56.8</v>
      </c>
      <c r="G11" s="30">
        <v>0</v>
      </c>
      <c r="H11" s="31">
        <f t="shared" si="1"/>
        <v>0</v>
      </c>
      <c r="I11" s="31">
        <f t="shared" si="2"/>
        <v>0.63276279557150616</v>
      </c>
      <c r="J11" s="32">
        <f t="shared" si="5"/>
        <v>35.940926788461546</v>
      </c>
      <c r="K11" s="32">
        <f t="shared" si="3"/>
        <v>35.940926788461546</v>
      </c>
      <c r="L11" s="29">
        <v>184</v>
      </c>
      <c r="M11" s="33">
        <f t="shared" si="6"/>
        <v>5.434782608695652E-3</v>
      </c>
      <c r="N11" s="29">
        <v>1</v>
      </c>
      <c r="O11" s="34">
        <f t="shared" ref="O11:P11" si="19">D11/7</f>
        <v>0.14285714285714285</v>
      </c>
      <c r="P11" s="34">
        <f t="shared" si="19"/>
        <v>0</v>
      </c>
      <c r="Q11" s="29">
        <f t="shared" si="8"/>
        <v>7</v>
      </c>
      <c r="R11" s="29"/>
      <c r="S11" s="35">
        <v>2.55907780979827</v>
      </c>
      <c r="T11" s="28">
        <v>500</v>
      </c>
      <c r="U11" s="36" t="s">
        <v>33</v>
      </c>
      <c r="V11" s="37" t="s">
        <v>33</v>
      </c>
      <c r="W11" s="28">
        <v>0</v>
      </c>
      <c r="X11" s="38">
        <f t="shared" si="9"/>
        <v>0</v>
      </c>
      <c r="Y11" s="39">
        <f t="shared" si="10"/>
        <v>0</v>
      </c>
      <c r="Z11" s="28">
        <v>0</v>
      </c>
      <c r="AA11" s="28" t="s">
        <v>34</v>
      </c>
      <c r="AB11" s="40">
        <f t="shared" si="11"/>
        <v>-0.69</v>
      </c>
      <c r="AC11" s="41">
        <v>0.10983194444444445</v>
      </c>
      <c r="AD11" s="39">
        <f t="shared" si="12"/>
        <v>-0.15156808333333333</v>
      </c>
      <c r="AE11" s="39">
        <v>-4.9000000000000004</v>
      </c>
      <c r="AF11" s="39">
        <v>-7.2875051282051198</v>
      </c>
      <c r="AG11" s="39">
        <v>0</v>
      </c>
    </row>
    <row r="12" spans="1:33" ht="15.75" customHeight="1" x14ac:dyDescent="0.2">
      <c r="A12" s="28" t="s">
        <v>49</v>
      </c>
      <c r="B12" s="28" t="s">
        <v>47</v>
      </c>
      <c r="C12" s="15">
        <f t="shared" si="4"/>
        <v>53.274999999999999</v>
      </c>
      <c r="D12" s="29">
        <v>2</v>
      </c>
      <c r="E12" s="29">
        <v>0</v>
      </c>
      <c r="F12" s="30">
        <v>106.55</v>
      </c>
      <c r="G12" s="30">
        <v>0</v>
      </c>
      <c r="H12" s="31">
        <f t="shared" si="1"/>
        <v>0</v>
      </c>
      <c r="I12" s="31">
        <f t="shared" si="2"/>
        <v>0.61838905281016521</v>
      </c>
      <c r="J12" s="32">
        <f t="shared" si="5"/>
        <v>65.889353576923099</v>
      </c>
      <c r="K12" s="32">
        <f t="shared" si="3"/>
        <v>32.94467678846155</v>
      </c>
      <c r="L12" s="29">
        <v>70</v>
      </c>
      <c r="M12" s="33">
        <f t="shared" si="6"/>
        <v>2.8571428571428571E-2</v>
      </c>
      <c r="N12" s="29">
        <v>2</v>
      </c>
      <c r="O12" s="34">
        <f t="shared" ref="O12:P12" si="20">D12/7</f>
        <v>0.2857142857142857</v>
      </c>
      <c r="P12" s="34">
        <f t="shared" si="20"/>
        <v>0</v>
      </c>
      <c r="Q12" s="29">
        <f t="shared" si="8"/>
        <v>7</v>
      </c>
      <c r="R12" s="29"/>
      <c r="S12" s="35">
        <v>2.5303514376996801</v>
      </c>
      <c r="T12" s="28">
        <v>500</v>
      </c>
      <c r="U12" s="36" t="s">
        <v>33</v>
      </c>
      <c r="V12" s="37" t="s">
        <v>33</v>
      </c>
      <c r="W12" s="28">
        <v>0</v>
      </c>
      <c r="X12" s="38">
        <f t="shared" si="9"/>
        <v>0</v>
      </c>
      <c r="Y12" s="39">
        <f t="shared" si="10"/>
        <v>0</v>
      </c>
      <c r="Z12" s="28">
        <v>0</v>
      </c>
      <c r="AA12" s="28" t="s">
        <v>34</v>
      </c>
      <c r="AB12" s="40">
        <f t="shared" si="11"/>
        <v>-0.69</v>
      </c>
      <c r="AC12" s="41">
        <v>0.10983194444444445</v>
      </c>
      <c r="AD12" s="39">
        <f t="shared" si="12"/>
        <v>-0.30313616666666665</v>
      </c>
      <c r="AE12" s="39">
        <v>-4.9000000000000004</v>
      </c>
      <c r="AF12" s="39">
        <v>-7.2875051282051198</v>
      </c>
      <c r="AG12" s="39">
        <v>0</v>
      </c>
    </row>
    <row r="13" spans="1:33" ht="15.75" customHeight="1" x14ac:dyDescent="0.2">
      <c r="A13" s="28" t="s">
        <v>50</v>
      </c>
      <c r="B13" s="28" t="s">
        <v>47</v>
      </c>
      <c r="C13" s="15">
        <f t="shared" si="4"/>
        <v>56.07</v>
      </c>
      <c r="D13" s="29">
        <v>1</v>
      </c>
      <c r="E13" s="29">
        <v>0</v>
      </c>
      <c r="F13" s="32">
        <v>56.07</v>
      </c>
      <c r="G13" s="30">
        <v>-0.08</v>
      </c>
      <c r="H13" s="31">
        <f t="shared" si="1"/>
        <v>1.4267879436418763E-3</v>
      </c>
      <c r="I13" s="31">
        <f t="shared" si="2"/>
        <v>0.62794064413530726</v>
      </c>
      <c r="J13" s="32">
        <f t="shared" si="5"/>
        <v>35.208631916666675</v>
      </c>
      <c r="K13" s="32">
        <f t="shared" si="3"/>
        <v>35.208631916666675</v>
      </c>
      <c r="L13" s="29">
        <v>26</v>
      </c>
      <c r="M13" s="33">
        <f t="shared" si="6"/>
        <v>3.8461538461538464E-2</v>
      </c>
      <c r="N13" s="29">
        <v>1</v>
      </c>
      <c r="O13" s="34">
        <f t="shared" ref="O13:P13" si="21">D13/7</f>
        <v>0.14285714285714285</v>
      </c>
      <c r="P13" s="34">
        <f t="shared" si="21"/>
        <v>0</v>
      </c>
      <c r="Q13" s="29">
        <f t="shared" si="8"/>
        <v>7</v>
      </c>
      <c r="R13" s="29"/>
      <c r="S13" s="35">
        <v>2.5454545454545401</v>
      </c>
      <c r="T13" s="28">
        <v>1000</v>
      </c>
      <c r="U13" s="36" t="s">
        <v>33</v>
      </c>
      <c r="V13" s="37" t="s">
        <v>33</v>
      </c>
      <c r="W13" s="28">
        <v>0</v>
      </c>
      <c r="X13" s="38">
        <f t="shared" si="9"/>
        <v>0</v>
      </c>
      <c r="Y13" s="39">
        <f t="shared" si="10"/>
        <v>0</v>
      </c>
      <c r="Z13" s="28">
        <v>0</v>
      </c>
      <c r="AA13" s="28" t="s">
        <v>34</v>
      </c>
      <c r="AB13" s="40">
        <f t="shared" si="11"/>
        <v>-0.69</v>
      </c>
      <c r="AC13" s="41">
        <v>0.10983194444444445</v>
      </c>
      <c r="AD13" s="39">
        <f t="shared" si="12"/>
        <v>-0.15156808333333333</v>
      </c>
      <c r="AE13" s="39">
        <v>-4.9000000000000004</v>
      </c>
      <c r="AF13" s="39">
        <v>-7.3193000000000001</v>
      </c>
      <c r="AG13" s="39">
        <v>0</v>
      </c>
    </row>
    <row r="14" spans="1:33" ht="15.75" customHeight="1" x14ac:dyDescent="0.2">
      <c r="A14" s="28" t="s">
        <v>51</v>
      </c>
      <c r="B14" s="28" t="s">
        <v>52</v>
      </c>
      <c r="C14" s="15">
        <f t="shared" si="4"/>
        <v>53.34</v>
      </c>
      <c r="D14" s="29">
        <v>2</v>
      </c>
      <c r="E14" s="29">
        <v>0</v>
      </c>
      <c r="F14" s="32">
        <v>106.68</v>
      </c>
      <c r="G14" s="30">
        <v>0</v>
      </c>
      <c r="H14" s="31">
        <f t="shared" si="1"/>
        <v>0</v>
      </c>
      <c r="I14" s="31">
        <f t="shared" si="2"/>
        <v>0.61807521403574561</v>
      </c>
      <c r="J14" s="32">
        <f t="shared" si="5"/>
        <v>65.936263833333342</v>
      </c>
      <c r="K14" s="32">
        <f t="shared" si="3"/>
        <v>32.968131916666671</v>
      </c>
      <c r="L14" s="29">
        <v>41</v>
      </c>
      <c r="M14" s="33">
        <f t="shared" si="6"/>
        <v>4.878048780487805E-2</v>
      </c>
      <c r="N14" s="29">
        <v>0</v>
      </c>
      <c r="O14" s="34">
        <f t="shared" ref="O14:P14" si="22">D14/7</f>
        <v>0.2857142857142857</v>
      </c>
      <c r="P14" s="34">
        <f t="shared" si="22"/>
        <v>0</v>
      </c>
      <c r="Q14" s="29">
        <f t="shared" si="8"/>
        <v>0</v>
      </c>
      <c r="R14" s="29"/>
      <c r="S14" s="35">
        <v>2.9268292682926802</v>
      </c>
      <c r="T14" s="28">
        <v>1000</v>
      </c>
      <c r="U14" s="36" t="s">
        <v>33</v>
      </c>
      <c r="V14" s="37" t="s">
        <v>33</v>
      </c>
      <c r="W14" s="28">
        <v>0</v>
      </c>
      <c r="X14" s="38">
        <f t="shared" si="9"/>
        <v>0</v>
      </c>
      <c r="Y14" s="39">
        <f t="shared" si="10"/>
        <v>0</v>
      </c>
      <c r="Z14" s="28">
        <v>0</v>
      </c>
      <c r="AA14" s="28" t="s">
        <v>34</v>
      </c>
      <c r="AB14" s="40">
        <f t="shared" si="11"/>
        <v>-0.69</v>
      </c>
      <c r="AC14" s="41">
        <v>0.10983194444444445</v>
      </c>
      <c r="AD14" s="39">
        <f t="shared" si="12"/>
        <v>-0.30313616666666665</v>
      </c>
      <c r="AE14" s="39">
        <v>-4.9000000000000004</v>
      </c>
      <c r="AF14" s="39">
        <v>-7.3193000000000001</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1000</v>
      </c>
      <c r="U15" s="36" t="s">
        <v>33</v>
      </c>
      <c r="V15" s="37" t="s">
        <v>33</v>
      </c>
      <c r="W15" s="28">
        <v>0</v>
      </c>
      <c r="X15" s="38">
        <f t="shared" si="9"/>
        <v>0</v>
      </c>
      <c r="Y15" s="39">
        <f t="shared" si="10"/>
        <v>0</v>
      </c>
      <c r="Z15" s="28">
        <v>0</v>
      </c>
      <c r="AA15" s="28" t="e">
        <v>#N/A</v>
      </c>
      <c r="AB15" s="40" t="e">
        <f t="shared" si="11"/>
        <v>#N/A</v>
      </c>
      <c r="AC15" s="41" t="e">
        <v>#N/A</v>
      </c>
      <c r="AD15" s="39">
        <f t="shared" si="12"/>
        <v>0</v>
      </c>
      <c r="AE15" s="39">
        <v>0</v>
      </c>
      <c r="AF15" s="39">
        <v>-7.3193000000000001</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1</v>
      </c>
      <c r="O16" s="34">
        <f t="shared" ref="O16:P16" si="24">D16/7</f>
        <v>0</v>
      </c>
      <c r="P16" s="34">
        <f t="shared" si="24"/>
        <v>0</v>
      </c>
      <c r="Q16" s="29" t="e">
        <f t="shared" si="8"/>
        <v>#DIV/0!</v>
      </c>
      <c r="R16" s="29"/>
      <c r="S16" s="35" t="e">
        <v>#N/A</v>
      </c>
      <c r="T16" s="28">
        <v>1000</v>
      </c>
      <c r="U16" s="36" t="s">
        <v>33</v>
      </c>
      <c r="V16" s="37" t="s">
        <v>33</v>
      </c>
      <c r="W16" s="28">
        <v>0</v>
      </c>
      <c r="X16" s="38">
        <f t="shared" si="9"/>
        <v>0</v>
      </c>
      <c r="Y16" s="39">
        <f t="shared" si="10"/>
        <v>0</v>
      </c>
      <c r="Z16" s="28">
        <v>0</v>
      </c>
      <c r="AA16" s="28" t="e">
        <v>#N/A</v>
      </c>
      <c r="AB16" s="40" t="e">
        <f t="shared" si="11"/>
        <v>#N/A</v>
      </c>
      <c r="AC16" s="41" t="e">
        <v>#N/A</v>
      </c>
      <c r="AD16" s="39">
        <f t="shared" si="12"/>
        <v>0</v>
      </c>
      <c r="AE16" s="39">
        <v>0</v>
      </c>
      <c r="AF16" s="39">
        <v>-7.3193000000000001</v>
      </c>
      <c r="AG16" s="39">
        <v>0</v>
      </c>
    </row>
    <row r="17" spans="1:33" ht="15.75" customHeight="1" x14ac:dyDescent="0.2">
      <c r="A17" s="28" t="s">
        <v>55</v>
      </c>
      <c r="B17" s="28"/>
      <c r="C17" s="15" t="str">
        <f t="shared" si="4"/>
        <v xml:space="preserve"> - </v>
      </c>
      <c r="D17" s="29">
        <v>0</v>
      </c>
      <c r="E17" s="29">
        <v>0</v>
      </c>
      <c r="F17" s="32">
        <v>0</v>
      </c>
      <c r="G17" s="30">
        <v>-0.08</v>
      </c>
      <c r="H17" s="31" t="e">
        <f t="shared" si="1"/>
        <v>#DIV/0!</v>
      </c>
      <c r="I17" s="31" t="e">
        <f t="shared" si="2"/>
        <v>#DIV/0!</v>
      </c>
      <c r="J17" s="32">
        <f t="shared" si="5"/>
        <v>-0.08</v>
      </c>
      <c r="K17" s="32" t="e">
        <f t="shared" si="3"/>
        <v>#DIV/0!</v>
      </c>
      <c r="L17" s="29">
        <v>0</v>
      </c>
      <c r="M17" s="33" t="str">
        <f t="shared" si="6"/>
        <v>-</v>
      </c>
      <c r="N17" s="29">
        <v>2</v>
      </c>
      <c r="O17" s="34">
        <f t="shared" ref="O17:P17" si="25">D17/7</f>
        <v>0</v>
      </c>
      <c r="P17" s="34">
        <f t="shared" si="25"/>
        <v>0</v>
      </c>
      <c r="Q17" s="29" t="e">
        <f t="shared" si="8"/>
        <v>#DIV/0!</v>
      </c>
      <c r="R17" s="29"/>
      <c r="S17" s="35">
        <v>3.2682926829268202</v>
      </c>
      <c r="T17" s="28">
        <v>1000</v>
      </c>
      <c r="U17" s="36" t="s">
        <v>33</v>
      </c>
      <c r="V17" s="37" t="s">
        <v>33</v>
      </c>
      <c r="W17" s="28">
        <v>0</v>
      </c>
      <c r="X17" s="38">
        <f t="shared" si="9"/>
        <v>0</v>
      </c>
      <c r="Y17" s="39">
        <f t="shared" si="10"/>
        <v>0</v>
      </c>
      <c r="Z17" s="28">
        <v>0</v>
      </c>
      <c r="AA17" s="28" t="s">
        <v>34</v>
      </c>
      <c r="AB17" s="40">
        <f t="shared" si="11"/>
        <v>-0.69</v>
      </c>
      <c r="AC17" s="41">
        <v>0.10983194444444445</v>
      </c>
      <c r="AD17" s="39">
        <f t="shared" si="12"/>
        <v>0</v>
      </c>
      <c r="AE17" s="39">
        <v>-4.9000000000000004</v>
      </c>
      <c r="AF17" s="39">
        <v>-7.1573000000000002</v>
      </c>
      <c r="AG17" s="39">
        <v>0</v>
      </c>
    </row>
    <row r="18" spans="1:33" ht="15.75" customHeight="1" x14ac:dyDescent="0.2">
      <c r="A18" s="28" t="s">
        <v>56</v>
      </c>
      <c r="B18" s="28"/>
      <c r="C18" s="15">
        <f t="shared" si="4"/>
        <v>56.9</v>
      </c>
      <c r="D18" s="29">
        <v>2</v>
      </c>
      <c r="E18" s="29">
        <v>0</v>
      </c>
      <c r="F18" s="32">
        <v>113.8</v>
      </c>
      <c r="G18" s="30">
        <v>-0.16</v>
      </c>
      <c r="H18" s="31">
        <f t="shared" si="1"/>
        <v>1.4059753954305801E-3</v>
      </c>
      <c r="I18" s="31">
        <f t="shared" si="2"/>
        <v>0.63402692296426488</v>
      </c>
      <c r="J18" s="32">
        <f t="shared" si="5"/>
        <v>72.152263833333336</v>
      </c>
      <c r="K18" s="32">
        <f t="shared" si="3"/>
        <v>36.076131916666668</v>
      </c>
      <c r="L18" s="29">
        <v>61</v>
      </c>
      <c r="M18" s="33">
        <f t="shared" si="6"/>
        <v>3.2786885245901641E-2</v>
      </c>
      <c r="N18" s="29">
        <v>1</v>
      </c>
      <c r="O18" s="34">
        <f t="shared" ref="O18:P18" si="26">D18/7</f>
        <v>0.2857142857142857</v>
      </c>
      <c r="P18" s="34">
        <f t="shared" si="26"/>
        <v>0</v>
      </c>
      <c r="Q18" s="29">
        <f t="shared" si="8"/>
        <v>3</v>
      </c>
      <c r="R18" s="29"/>
      <c r="S18" s="35">
        <v>3.53488372093023</v>
      </c>
      <c r="T18" s="28">
        <v>1000</v>
      </c>
      <c r="U18" s="36" t="s">
        <v>33</v>
      </c>
      <c r="V18" s="37" t="s">
        <v>33</v>
      </c>
      <c r="W18" s="28">
        <v>0</v>
      </c>
      <c r="X18" s="38">
        <f t="shared" si="9"/>
        <v>0</v>
      </c>
      <c r="Y18" s="39">
        <f t="shared" si="10"/>
        <v>0</v>
      </c>
      <c r="Z18" s="28">
        <v>0</v>
      </c>
      <c r="AA18" s="28" t="s">
        <v>34</v>
      </c>
      <c r="AB18" s="40">
        <f t="shared" si="11"/>
        <v>-0.69</v>
      </c>
      <c r="AC18" s="41">
        <v>0.10983194444444445</v>
      </c>
      <c r="AD18" s="39">
        <f t="shared" si="12"/>
        <v>-0.30313616666666665</v>
      </c>
      <c r="AE18" s="39">
        <v>-4.9000000000000004</v>
      </c>
      <c r="AF18" s="39">
        <v>-7.1573000000000002</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t="e">
        <v>#N/A</v>
      </c>
      <c r="T19" s="28">
        <v>1000</v>
      </c>
      <c r="U19" s="36" t="s">
        <v>33</v>
      </c>
      <c r="V19" s="37" t="s">
        <v>33</v>
      </c>
      <c r="W19" s="28">
        <v>0</v>
      </c>
      <c r="X19" s="38">
        <f t="shared" si="9"/>
        <v>0</v>
      </c>
      <c r="Y19" s="39">
        <f t="shared" si="10"/>
        <v>0</v>
      </c>
      <c r="Z19" s="28">
        <v>0</v>
      </c>
      <c r="AA19" s="28" t="s">
        <v>34</v>
      </c>
      <c r="AB19" s="40">
        <f t="shared" si="11"/>
        <v>-0.69</v>
      </c>
      <c r="AC19" s="41">
        <v>0.10983194444444445</v>
      </c>
      <c r="AD19" s="39">
        <f t="shared" si="12"/>
        <v>0</v>
      </c>
      <c r="AE19" s="39">
        <v>-4.9000000000000004</v>
      </c>
      <c r="AF19" s="39">
        <v>-7.502765000000001</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1000</v>
      </c>
      <c r="U20" s="36" t="s">
        <v>33</v>
      </c>
      <c r="V20" s="37" t="s">
        <v>33</v>
      </c>
      <c r="W20" s="28">
        <v>0</v>
      </c>
      <c r="X20" s="38">
        <f t="shared" si="9"/>
        <v>0</v>
      </c>
      <c r="Y20" s="39">
        <f t="shared" si="10"/>
        <v>0</v>
      </c>
      <c r="Z20" s="28">
        <v>0</v>
      </c>
      <c r="AA20" s="28" t="s">
        <v>34</v>
      </c>
      <c r="AB20" s="40">
        <f t="shared" si="11"/>
        <v>-0.69</v>
      </c>
      <c r="AC20" s="41">
        <v>0.10983194444444445</v>
      </c>
      <c r="AD20" s="39">
        <f t="shared" si="12"/>
        <v>0</v>
      </c>
      <c r="AE20" s="39">
        <v>-4.9000000000000004</v>
      </c>
      <c r="AF20" s="39">
        <v>-7.502765000000001</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1000</v>
      </c>
      <c r="U21" s="36" t="s">
        <v>33</v>
      </c>
      <c r="V21" s="37" t="s">
        <v>33</v>
      </c>
      <c r="W21" s="28">
        <v>0</v>
      </c>
      <c r="X21" s="38">
        <f t="shared" si="9"/>
        <v>0</v>
      </c>
      <c r="Y21" s="39">
        <f t="shared" si="10"/>
        <v>0</v>
      </c>
      <c r="Z21" s="28">
        <v>0</v>
      </c>
      <c r="AA21" s="28" t="s">
        <v>34</v>
      </c>
      <c r="AB21" s="40">
        <f t="shared" si="11"/>
        <v>-0.69</v>
      </c>
      <c r="AC21" s="41">
        <v>0.10983194444444445</v>
      </c>
      <c r="AD21" s="39">
        <f t="shared" si="12"/>
        <v>0</v>
      </c>
      <c r="AE21" s="39">
        <v>-4.9000000000000004</v>
      </c>
      <c r="AF21" s="39">
        <v>-7.502765000000001</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1300</v>
      </c>
      <c r="U22" s="36">
        <v>300</v>
      </c>
      <c r="V22" s="37" t="s">
        <v>61</v>
      </c>
      <c r="W22" s="28">
        <v>0</v>
      </c>
      <c r="X22" s="38">
        <f t="shared" si="9"/>
        <v>0</v>
      </c>
      <c r="Y22" s="39">
        <f t="shared" si="10"/>
        <v>0</v>
      </c>
      <c r="Z22" s="28">
        <v>0</v>
      </c>
      <c r="AA22" s="28" t="s">
        <v>34</v>
      </c>
      <c r="AB22" s="40">
        <f t="shared" si="11"/>
        <v>-0.69</v>
      </c>
      <c r="AC22" s="41">
        <v>0.10983194444444445</v>
      </c>
      <c r="AD22" s="39">
        <f t="shared" si="12"/>
        <v>0</v>
      </c>
      <c r="AE22" s="39">
        <v>-4.9000000000000004</v>
      </c>
      <c r="AF22" s="39">
        <v>-7.502765000000001</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500</v>
      </c>
      <c r="U23" s="36" t="s">
        <v>33</v>
      </c>
      <c r="V23" s="37" t="s">
        <v>63</v>
      </c>
      <c r="W23" s="28">
        <v>0</v>
      </c>
      <c r="X23" s="38">
        <f t="shared" si="9"/>
        <v>0</v>
      </c>
      <c r="Y23" s="39">
        <f t="shared" si="10"/>
        <v>0</v>
      </c>
      <c r="Z23" s="28">
        <v>0</v>
      </c>
      <c r="AA23" s="28" t="s">
        <v>34</v>
      </c>
      <c r="AB23" s="40">
        <f t="shared" si="11"/>
        <v>-0.69</v>
      </c>
      <c r="AC23" s="41">
        <v>0.10983194444444445</v>
      </c>
      <c r="AD23" s="39">
        <f t="shared" si="12"/>
        <v>0</v>
      </c>
      <c r="AE23" s="39">
        <v>-4.9000000000000004</v>
      </c>
      <c r="AF23" s="39">
        <v>-7.502765000000001</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1900</v>
      </c>
      <c r="U24" s="36" t="s">
        <v>33</v>
      </c>
      <c r="V24" s="37" t="s">
        <v>63</v>
      </c>
      <c r="W24" s="28">
        <v>0</v>
      </c>
      <c r="X24" s="38">
        <f t="shared" si="9"/>
        <v>0</v>
      </c>
      <c r="Y24" s="39">
        <f t="shared" si="10"/>
        <v>0</v>
      </c>
      <c r="Z24" s="28">
        <v>0</v>
      </c>
      <c r="AA24" s="28" t="s">
        <v>34</v>
      </c>
      <c r="AB24" s="40">
        <f t="shared" si="11"/>
        <v>-0.69</v>
      </c>
      <c r="AC24" s="41">
        <v>0.10983194444444445</v>
      </c>
      <c r="AD24" s="39">
        <f t="shared" si="12"/>
        <v>0</v>
      </c>
      <c r="AE24" s="39">
        <v>-4.9000000000000004</v>
      </c>
      <c r="AF24" s="39">
        <v>-7.502765000000001</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1900</v>
      </c>
      <c r="U25" s="36" t="s">
        <v>33</v>
      </c>
      <c r="V25" s="37" t="s">
        <v>66</v>
      </c>
      <c r="W25" s="14">
        <v>0</v>
      </c>
      <c r="X25" s="38">
        <f t="shared" si="9"/>
        <v>0</v>
      </c>
      <c r="Y25" s="39">
        <f t="shared" si="10"/>
        <v>0</v>
      </c>
      <c r="Z25" s="14">
        <v>0</v>
      </c>
      <c r="AA25" s="28" t="s">
        <v>34</v>
      </c>
      <c r="AB25" s="40">
        <f t="shared" si="11"/>
        <v>-0.69</v>
      </c>
      <c r="AC25" s="41">
        <v>0.10983194444444445</v>
      </c>
      <c r="AD25" s="39">
        <f t="shared" si="12"/>
        <v>0</v>
      </c>
      <c r="AE25" s="39">
        <v>-4.9000000000000004</v>
      </c>
      <c r="AF25" s="39">
        <v>-7.5</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1900</v>
      </c>
      <c r="U26" s="36">
        <v>300</v>
      </c>
      <c r="V26" s="37" t="s">
        <v>68</v>
      </c>
      <c r="W26" s="14">
        <v>0</v>
      </c>
      <c r="X26" s="38">
        <f t="shared" si="9"/>
        <v>0</v>
      </c>
      <c r="Y26" s="39">
        <f t="shared" si="10"/>
        <v>0</v>
      </c>
      <c r="Z26" s="14">
        <v>0</v>
      </c>
      <c r="AA26" s="28" t="s">
        <v>34</v>
      </c>
      <c r="AB26" s="40">
        <f t="shared" si="11"/>
        <v>-0.69</v>
      </c>
      <c r="AC26" s="41">
        <v>0.10983194444444445</v>
      </c>
      <c r="AD26" s="39">
        <f t="shared" si="12"/>
        <v>0</v>
      </c>
      <c r="AE26" s="25">
        <v>-4.9000000000000004</v>
      </c>
      <c r="AF26" s="25">
        <v>-7.5151649999999997</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1900</v>
      </c>
      <c r="U27" s="36">
        <v>300</v>
      </c>
      <c r="V27" s="37" t="s">
        <v>70</v>
      </c>
      <c r="W27" s="14">
        <v>0</v>
      </c>
      <c r="X27" s="38">
        <f t="shared" si="9"/>
        <v>0</v>
      </c>
      <c r="Y27" s="39">
        <f t="shared" si="10"/>
        <v>0</v>
      </c>
      <c r="Z27" s="14">
        <v>0</v>
      </c>
      <c r="AA27" s="28" t="s">
        <v>34</v>
      </c>
      <c r="AB27" s="40">
        <f t="shared" si="11"/>
        <v>-0.69</v>
      </c>
      <c r="AC27" s="41">
        <v>0.10983194444444445</v>
      </c>
      <c r="AD27" s="39">
        <f t="shared" si="12"/>
        <v>0</v>
      </c>
      <c r="AE27" s="25">
        <v>-4.9000000000000004</v>
      </c>
      <c r="AF27" s="25">
        <v>-7.5151649999999997</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1900</v>
      </c>
      <c r="U28" s="36">
        <v>300</v>
      </c>
      <c r="V28" s="37" t="s">
        <v>70</v>
      </c>
      <c r="W28" s="14">
        <v>0</v>
      </c>
      <c r="X28" s="38">
        <f t="shared" si="9"/>
        <v>0</v>
      </c>
      <c r="Y28" s="39">
        <f t="shared" si="10"/>
        <v>0</v>
      </c>
      <c r="Z28" s="14">
        <v>0</v>
      </c>
      <c r="AA28" s="28" t="s">
        <v>34</v>
      </c>
      <c r="AB28" s="40">
        <f t="shared" si="11"/>
        <v>-0.69</v>
      </c>
      <c r="AC28" s="41">
        <v>0.10983194444444445</v>
      </c>
      <c r="AD28" s="39">
        <f t="shared" si="12"/>
        <v>0</v>
      </c>
      <c r="AE28" s="25">
        <v>-4.9000000000000004</v>
      </c>
      <c r="AF28" s="25">
        <v>-7.5151649999999997</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1900</v>
      </c>
      <c r="U29" s="36">
        <v>300</v>
      </c>
      <c r="V29" s="37" t="s">
        <v>73</v>
      </c>
      <c r="W29" s="14">
        <v>0</v>
      </c>
      <c r="X29" s="38">
        <f t="shared" si="9"/>
        <v>0</v>
      </c>
      <c r="Y29" s="39">
        <f t="shared" si="10"/>
        <v>0</v>
      </c>
      <c r="Z29" s="14">
        <v>0</v>
      </c>
      <c r="AA29" s="28" t="s">
        <v>34</v>
      </c>
      <c r="AB29" s="40">
        <f t="shared" si="11"/>
        <v>-0.69</v>
      </c>
      <c r="AC29" s="41">
        <v>0.10983194444444445</v>
      </c>
      <c r="AD29" s="39">
        <f t="shared" si="12"/>
        <v>0</v>
      </c>
      <c r="AE29" s="39">
        <v>-4.9000000000000004</v>
      </c>
      <c r="AF29" s="25">
        <v>-8.2132681968749992</v>
      </c>
      <c r="AG29" s="39">
        <v>0</v>
      </c>
    </row>
    <row r="30" spans="1:33" ht="15.75" customHeight="1" x14ac:dyDescent="0.2">
      <c r="A30" s="14" t="s">
        <v>74</v>
      </c>
      <c r="B30" s="14"/>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1900</v>
      </c>
      <c r="U30" s="36">
        <v>300</v>
      </c>
      <c r="V30" s="37" t="s">
        <v>73</v>
      </c>
      <c r="W30" s="14">
        <v>0</v>
      </c>
      <c r="X30" s="38">
        <f t="shared" si="9"/>
        <v>0</v>
      </c>
      <c r="Y30" s="39">
        <f t="shared" si="10"/>
        <v>0</v>
      </c>
      <c r="Z30" s="14">
        <v>0</v>
      </c>
      <c r="AA30" s="28" t="s">
        <v>34</v>
      </c>
      <c r="AB30" s="40">
        <f t="shared" si="11"/>
        <v>-0.69</v>
      </c>
      <c r="AC30" s="41">
        <v>0.10983194444444445</v>
      </c>
      <c r="AD30" s="39">
        <f t="shared" si="12"/>
        <v>0</v>
      </c>
      <c r="AE30" s="25">
        <v>-4.9000000000000004</v>
      </c>
      <c r="AF30" s="25">
        <v>-7.8784953697800004</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0</v>
      </c>
      <c r="O31" s="34">
        <f t="shared" ref="O31:P32" si="39">D31/7</f>
        <v>0</v>
      </c>
      <c r="P31" s="34">
        <f t="shared" si="39"/>
        <v>0</v>
      </c>
      <c r="Q31" s="29" t="e">
        <f t="shared" si="8"/>
        <v>#DIV/0!</v>
      </c>
      <c r="R31" s="29"/>
      <c r="S31" s="21" t="e">
        <v>#N/A</v>
      </c>
      <c r="T31" s="14">
        <v>200</v>
      </c>
      <c r="U31" s="22" t="s">
        <v>33</v>
      </c>
      <c r="V31" s="1" t="s">
        <v>935</v>
      </c>
      <c r="W31" s="14">
        <v>0</v>
      </c>
      <c r="X31" s="38">
        <f t="shared" si="9"/>
        <v>0</v>
      </c>
      <c r="Y31" s="39">
        <f t="shared" si="10"/>
        <v>0</v>
      </c>
      <c r="Z31" s="14">
        <v>0</v>
      </c>
      <c r="AA31" s="14" t="s">
        <v>34</v>
      </c>
      <c r="AB31" s="40">
        <f t="shared" si="11"/>
        <v>-0.69</v>
      </c>
      <c r="AC31" s="27">
        <v>0.10983194444444445</v>
      </c>
      <c r="AD31" s="39">
        <f t="shared" si="12"/>
        <v>0</v>
      </c>
      <c r="AE31" s="43">
        <v>-4.9000000000000004</v>
      </c>
      <c r="AF31" s="43">
        <v>-7.8784953697800004</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0</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0.10983194444444445</v>
      </c>
      <c r="AD32" s="39">
        <f t="shared" si="12"/>
        <v>0</v>
      </c>
      <c r="AE32" s="58">
        <v>-4.9000000000000004</v>
      </c>
      <c r="AF32" s="58">
        <v>-7.8784953697800004</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C200" s="45"/>
      <c r="D200" s="45"/>
      <c r="E200" s="45"/>
      <c r="F200" s="45"/>
      <c r="G200" s="45"/>
      <c r="H200" s="45"/>
      <c r="I200" s="45"/>
      <c r="J200" s="45"/>
      <c r="K200" s="45"/>
      <c r="L200" s="45"/>
      <c r="M200" s="45"/>
      <c r="N200" s="45"/>
      <c r="O200" s="45"/>
      <c r="P200" s="45"/>
      <c r="Q200" s="45"/>
      <c r="R200" s="45"/>
      <c r="S200" s="21"/>
    </row>
    <row r="201" spans="1:33" ht="15.75" customHeight="1" x14ac:dyDescent="0.2">
      <c r="C201" s="45"/>
      <c r="D201" s="45"/>
      <c r="E201" s="45"/>
      <c r="F201" s="45"/>
      <c r="G201" s="45"/>
      <c r="H201" s="45"/>
      <c r="I201" s="45"/>
      <c r="J201" s="45"/>
      <c r="K201" s="45"/>
      <c r="L201" s="45"/>
      <c r="M201" s="45"/>
      <c r="N201" s="45"/>
      <c r="O201" s="45"/>
      <c r="P201" s="45"/>
      <c r="Q201" s="45"/>
      <c r="R201" s="45"/>
      <c r="S201" s="21"/>
    </row>
    <row r="202" spans="1:33" ht="15.75" customHeight="1" x14ac:dyDescent="0.2">
      <c r="C202" s="45"/>
      <c r="D202" s="45"/>
      <c r="E202" s="45"/>
      <c r="F202" s="45"/>
      <c r="G202" s="45"/>
      <c r="H202" s="45"/>
      <c r="I202" s="45"/>
      <c r="J202" s="45"/>
      <c r="K202" s="45"/>
      <c r="L202" s="45"/>
      <c r="M202" s="45"/>
      <c r="N202" s="45"/>
      <c r="O202" s="45"/>
      <c r="P202" s="45"/>
      <c r="Q202" s="45"/>
      <c r="R202" s="45"/>
      <c r="S202" s="21"/>
    </row>
    <row r="203" spans="1:33" ht="15.75" customHeight="1" x14ac:dyDescent="0.2">
      <c r="C203" s="45"/>
      <c r="D203" s="45"/>
      <c r="E203" s="45"/>
      <c r="F203" s="45"/>
      <c r="G203" s="45"/>
      <c r="H203" s="45"/>
      <c r="I203" s="45"/>
      <c r="J203" s="45"/>
      <c r="K203" s="45"/>
      <c r="L203" s="45"/>
      <c r="M203" s="45"/>
      <c r="N203" s="45"/>
      <c r="O203" s="45"/>
      <c r="P203" s="45"/>
      <c r="Q203" s="45"/>
      <c r="R203" s="45"/>
      <c r="S203" s="21"/>
    </row>
    <row r="204" spans="1:33" ht="15.75" customHeight="1" x14ac:dyDescent="0.2">
      <c r="C204" s="45"/>
      <c r="D204" s="45"/>
      <c r="E204" s="45"/>
      <c r="F204" s="45"/>
      <c r="G204" s="45"/>
      <c r="H204" s="45"/>
      <c r="I204" s="45"/>
      <c r="J204" s="45"/>
      <c r="K204" s="45"/>
      <c r="L204" s="45"/>
      <c r="M204" s="45"/>
      <c r="N204" s="45"/>
      <c r="O204" s="45"/>
      <c r="P204" s="45"/>
      <c r="Q204" s="45"/>
      <c r="R204" s="45"/>
      <c r="S204" s="21"/>
    </row>
    <row r="205" spans="1:33" ht="15.75" customHeight="1" x14ac:dyDescent="0.2">
      <c r="C205" s="45"/>
      <c r="D205" s="45"/>
      <c r="E205" s="45"/>
      <c r="F205" s="45"/>
      <c r="G205" s="45"/>
      <c r="H205" s="45"/>
      <c r="I205" s="45"/>
      <c r="J205" s="45"/>
      <c r="K205" s="45"/>
      <c r="L205" s="45"/>
      <c r="M205" s="45"/>
      <c r="N205" s="45"/>
      <c r="O205" s="45"/>
      <c r="P205" s="45"/>
      <c r="Q205" s="45"/>
      <c r="R205" s="45"/>
      <c r="S205" s="21"/>
    </row>
    <row r="206" spans="1:33" ht="15.75" customHeight="1" x14ac:dyDescent="0.2">
      <c r="C206" s="45"/>
      <c r="D206" s="45"/>
      <c r="E206" s="45"/>
      <c r="F206" s="45"/>
      <c r="G206" s="45"/>
      <c r="H206" s="45"/>
      <c r="I206" s="45"/>
      <c r="J206" s="45"/>
      <c r="K206" s="45"/>
      <c r="L206" s="45"/>
      <c r="M206" s="45"/>
      <c r="N206" s="45"/>
      <c r="O206" s="45"/>
      <c r="P206" s="45"/>
      <c r="Q206" s="45"/>
      <c r="R206" s="45"/>
      <c r="S206" s="21"/>
    </row>
    <row r="207" spans="1:33" ht="15.75" customHeight="1" x14ac:dyDescent="0.2">
      <c r="C207" s="45"/>
      <c r="D207" s="45"/>
      <c r="E207" s="45"/>
      <c r="F207" s="45"/>
      <c r="G207" s="45"/>
      <c r="H207" s="45"/>
      <c r="I207" s="45"/>
      <c r="J207" s="45"/>
      <c r="K207" s="45"/>
      <c r="L207" s="45"/>
      <c r="M207" s="45"/>
      <c r="N207" s="45"/>
      <c r="O207" s="45"/>
      <c r="P207" s="45"/>
      <c r="Q207" s="45"/>
      <c r="R207" s="45"/>
      <c r="S207" s="21"/>
    </row>
    <row r="208" spans="1:33"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tabSelected="1" workbookViewId="0">
      <pane xSplit="2" ySplit="3" topLeftCell="J10" activePane="bottomRight" state="frozen"/>
      <selection activeCell="AF32" sqref="AF32"/>
      <selection pane="topRight" activeCell="AF32" sqref="AF32"/>
      <selection pane="bottomLeft" activeCell="AF32" sqref="AF3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6640625" customWidth="1"/>
    <col min="16" max="16" width="11.5" customWidth="1"/>
    <col min="17" max="17" width="8.5" customWidth="1"/>
    <col min="18" max="18" width="8.5" style="48" customWidth="1"/>
    <col min="19" max="19" width="8.33203125" customWidth="1"/>
    <col min="20" max="20" width="12.83203125" customWidth="1"/>
    <col min="21" max="21" width="19" customWidth="1"/>
    <col min="22" max="22" width="61.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Prong to 4 Prong Dryer Plug Adapters")</f>
        <v>3 Prong to 4 Prong Dryer Plug Adapters</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81"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Info!B1:BJ5000""),2,FALSE),"""")"),"B089DM18DK")</f>
        <v>B089DM18DK</v>
      </c>
      <c r="B2" s="3" t="s">
        <v>76</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39" customHeight="1" x14ac:dyDescent="0.2">
      <c r="A3" s="76" t="s">
        <v>30</v>
      </c>
      <c r="B3" s="77"/>
      <c r="C3" s="47">
        <f>((AE32+AF32)/0.85)*-1</f>
        <v>14.302068082094118</v>
      </c>
      <c r="D3" s="5">
        <f>SUM(D4:D99765)</f>
        <v>210</v>
      </c>
      <c r="E3" s="5"/>
      <c r="F3" s="6">
        <f t="shared" ref="F3:G3" si="0">SUM(F4:F99765)</f>
        <v>4618.1899999999978</v>
      </c>
      <c r="G3" s="6">
        <f t="shared" si="0"/>
        <v>-2.48</v>
      </c>
      <c r="H3" s="7">
        <f t="shared" ref="H3:H32" si="1">G3/F3*-1</f>
        <v>5.3700692262553102E-4</v>
      </c>
      <c r="I3" s="8">
        <f t="shared" ref="I3:I32" si="2">J3/F3</f>
        <v>0.30191108733706729</v>
      </c>
      <c r="J3" s="6">
        <f>SUM(J4:J99765)</f>
        <v>1394.2827644291701</v>
      </c>
      <c r="K3" s="6">
        <f t="shared" ref="K3:K32" si="3">J3/D3</f>
        <v>6.6394417353770008</v>
      </c>
      <c r="L3" s="5"/>
      <c r="M3" s="9"/>
      <c r="N3" s="10"/>
      <c r="O3" s="5" t="str">
        <f ca="1">IFERROR(__xludf.DUMMYFUNCTION("IFERROR(VLOOKUP(B2,IMPORTRANGE(""https://docs.google.com/spreadsheets/d/1N8jvpEHDVkurDv7NrPxwI3eH6hQsvtb1QltGNCalRjU/edit#gid=865736387"",""Compiled Sheet!a1:g5000""),2,FALSE),"""")"),"3 - March
3 - April
3 - May
3 - June
3 - July
3 - Aug
2 - Sept
2 - Oct
1 - Nov
1 - Dec
3 - Jan
3 - Feb")</f>
        <v>3 - March
3 - April
3 - May
3 - June
3 - July
3 - Aug
2 - Sept
2 - Oct
1 - Nov
1 - Dec
3 - Jan
3 -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2</v>
      </c>
      <c r="X3" s="7">
        <f>W3/D3</f>
        <v>9.5238095238095247E-3</v>
      </c>
      <c r="Y3" s="6"/>
      <c r="Z3" s="5"/>
      <c r="AA3" s="5"/>
      <c r="AB3" s="5"/>
      <c r="AC3" s="5"/>
      <c r="AD3" s="6">
        <f>SUM(AD4:AD99765)</f>
        <v>-42.216169633657458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Info!B2:BZ7000""),37,FALSE)),"""")*-1"),-7.20675786978)</f>
        <v>-7.2067578697799997</v>
      </c>
      <c r="AG3" s="6">
        <f>SUM(AG4:AG99765)</f>
        <v>0</v>
      </c>
    </row>
    <row r="4" spans="1:33" ht="15.75" customHeight="1" x14ac:dyDescent="0.2">
      <c r="A4" s="14" t="s">
        <v>31</v>
      </c>
      <c r="B4" s="14" t="s">
        <v>77</v>
      </c>
      <c r="C4" s="15">
        <f t="shared" ref="C4:C32" si="4">IFERROR(F4/D4," - ")</f>
        <v>22.19142857142857</v>
      </c>
      <c r="D4" s="16">
        <v>7</v>
      </c>
      <c r="E4" s="16">
        <v>0</v>
      </c>
      <c r="F4" s="17">
        <v>155.34</v>
      </c>
      <c r="G4" s="17">
        <v>0</v>
      </c>
      <c r="H4" s="18">
        <f t="shared" si="1"/>
        <v>0</v>
      </c>
      <c r="I4" s="18">
        <f t="shared" si="2"/>
        <v>0.34940985973557848</v>
      </c>
      <c r="J4" s="17">
        <f t="shared" ref="J4:J20" si="5">F4*0.85+G4+AF4*D4+D4*AE4+AG4+AD4</f>
        <v>54.277327611324765</v>
      </c>
      <c r="K4" s="17">
        <f t="shared" si="3"/>
        <v>7.753903944474966</v>
      </c>
      <c r="L4" s="16">
        <v>42</v>
      </c>
      <c r="M4" s="19">
        <f t="shared" ref="M4:M32" si="6">IFERROR(D4/L4,"-")</f>
        <v>0.16666666666666666</v>
      </c>
      <c r="N4" s="16">
        <v>128</v>
      </c>
      <c r="O4" s="20">
        <f t="shared" ref="O4:P4" si="7">D4/7</f>
        <v>1</v>
      </c>
      <c r="P4" s="20">
        <f t="shared" si="7"/>
        <v>0</v>
      </c>
      <c r="Q4" s="16">
        <f t="shared" ref="Q4:Q32" si="8">ROUNDDOWN(N4/(O4+P4),0)</f>
        <v>128</v>
      </c>
      <c r="R4" s="16"/>
      <c r="S4" s="21">
        <v>1.49152542372881</v>
      </c>
      <c r="T4" s="14">
        <v>125</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0.11613439814814815</v>
      </c>
      <c r="AD4" s="25">
        <f t="shared" ref="AD4:AD32" si="12">IFERROR(AB4*AC4*D4*2,0)</f>
        <v>-1.1218582861111108</v>
      </c>
      <c r="AE4" s="25">
        <v>-4.9000000000000004</v>
      </c>
      <c r="AF4" s="25">
        <v>-6.0485448717948724</v>
      </c>
      <c r="AG4" s="25">
        <v>0</v>
      </c>
    </row>
    <row r="5" spans="1:33" ht="15.75" customHeight="1" x14ac:dyDescent="0.2">
      <c r="A5" s="28" t="s">
        <v>35</v>
      </c>
      <c r="B5" s="28" t="s">
        <v>78</v>
      </c>
      <c r="C5" s="15">
        <f t="shared" si="4"/>
        <v>19.761250000000004</v>
      </c>
      <c r="D5" s="29">
        <v>24</v>
      </c>
      <c r="E5" s="29">
        <v>0</v>
      </c>
      <c r="F5" s="30">
        <v>474.2700000000001</v>
      </c>
      <c r="G5" s="30">
        <v>0</v>
      </c>
      <c r="H5" s="31">
        <f t="shared" si="1"/>
        <v>0</v>
      </c>
      <c r="I5" s="31">
        <f t="shared" si="2"/>
        <v>0.25939026056228898</v>
      </c>
      <c r="J5" s="32">
        <f t="shared" si="5"/>
        <v>123.02101887687681</v>
      </c>
      <c r="K5" s="32">
        <f t="shared" si="3"/>
        <v>5.1258757865365334</v>
      </c>
      <c r="L5" s="29">
        <v>101</v>
      </c>
      <c r="M5" s="33">
        <f t="shared" si="6"/>
        <v>0.23762376237623761</v>
      </c>
      <c r="N5" s="29">
        <v>113</v>
      </c>
      <c r="O5" s="34">
        <f t="shared" ref="O5:P5" si="13">D5/7</f>
        <v>3.4285714285714284</v>
      </c>
      <c r="P5" s="34">
        <f t="shared" si="13"/>
        <v>0</v>
      </c>
      <c r="Q5" s="29">
        <f t="shared" si="8"/>
        <v>32</v>
      </c>
      <c r="R5" s="29"/>
      <c r="S5" s="35">
        <v>1.66323024054982</v>
      </c>
      <c r="T5" s="28">
        <v>125</v>
      </c>
      <c r="U5" s="36" t="s">
        <v>33</v>
      </c>
      <c r="V5" s="37" t="s">
        <v>33</v>
      </c>
      <c r="W5" s="28">
        <v>0</v>
      </c>
      <c r="X5" s="38">
        <f t="shared" si="9"/>
        <v>0</v>
      </c>
      <c r="Y5" s="39">
        <f t="shared" si="10"/>
        <v>0</v>
      </c>
      <c r="Z5" s="28">
        <v>0</v>
      </c>
      <c r="AA5" s="28" t="s">
        <v>34</v>
      </c>
      <c r="AB5" s="40">
        <f t="shared" si="11"/>
        <v>-0.69</v>
      </c>
      <c r="AC5" s="41">
        <v>0.1468419142526072</v>
      </c>
      <c r="AD5" s="39">
        <f t="shared" si="12"/>
        <v>-4.8634042000463502</v>
      </c>
      <c r="AE5" s="39">
        <v>-5.42</v>
      </c>
      <c r="AF5" s="39">
        <v>-6.0485448717948724</v>
      </c>
      <c r="AG5" s="39">
        <v>0</v>
      </c>
    </row>
    <row r="6" spans="1:33" ht="15.75" customHeight="1" x14ac:dyDescent="0.2">
      <c r="A6" s="28" t="s">
        <v>37</v>
      </c>
      <c r="B6" s="28" t="s">
        <v>79</v>
      </c>
      <c r="C6" s="15">
        <f t="shared" si="4"/>
        <v>21.170645161290313</v>
      </c>
      <c r="D6" s="29">
        <v>31</v>
      </c>
      <c r="E6" s="29">
        <v>0</v>
      </c>
      <c r="F6" s="30">
        <v>656.28999999999974</v>
      </c>
      <c r="G6" s="30">
        <v>0</v>
      </c>
      <c r="H6" s="31">
        <f t="shared" si="1"/>
        <v>0</v>
      </c>
      <c r="I6" s="31">
        <f t="shared" si="2"/>
        <v>0.28016369683654907</v>
      </c>
      <c r="J6" s="32">
        <f t="shared" si="5"/>
        <v>183.8686325968587</v>
      </c>
      <c r="K6" s="32">
        <f t="shared" si="3"/>
        <v>5.9312462128018932</v>
      </c>
      <c r="L6" s="29">
        <v>99</v>
      </c>
      <c r="M6" s="33">
        <f t="shared" si="6"/>
        <v>0.31313131313131315</v>
      </c>
      <c r="N6" s="29">
        <v>80</v>
      </c>
      <c r="O6" s="34">
        <f t="shared" ref="O6:P6" si="14">D6/7</f>
        <v>4.4285714285714288</v>
      </c>
      <c r="P6" s="34">
        <f t="shared" si="14"/>
        <v>0</v>
      </c>
      <c r="Q6" s="29">
        <f t="shared" si="8"/>
        <v>18</v>
      </c>
      <c r="R6" s="29"/>
      <c r="S6" s="35">
        <v>1.47016706443914</v>
      </c>
      <c r="T6" s="28">
        <v>125</v>
      </c>
      <c r="U6" s="36" t="s">
        <v>33</v>
      </c>
      <c r="V6" s="37" t="s">
        <v>39</v>
      </c>
      <c r="W6" s="28">
        <v>0</v>
      </c>
      <c r="X6" s="38">
        <f t="shared" si="9"/>
        <v>0</v>
      </c>
      <c r="Y6" s="39">
        <f t="shared" si="10"/>
        <v>0</v>
      </c>
      <c r="Z6" s="28">
        <v>0</v>
      </c>
      <c r="AA6" s="28" t="s">
        <v>34</v>
      </c>
      <c r="AB6" s="40">
        <f t="shared" si="11"/>
        <v>-0.69</v>
      </c>
      <c r="AC6" s="41">
        <v>0.14667195833333335</v>
      </c>
      <c r="AD6" s="39">
        <f t="shared" si="12"/>
        <v>-6.2746263774999997</v>
      </c>
      <c r="AE6" s="39">
        <v>-5.42</v>
      </c>
      <c r="AF6" s="39">
        <v>-6.4413948717948726</v>
      </c>
      <c r="AG6" s="39">
        <v>0</v>
      </c>
    </row>
    <row r="7" spans="1:33" ht="15.75" customHeight="1" x14ac:dyDescent="0.2">
      <c r="A7" s="28" t="s">
        <v>40</v>
      </c>
      <c r="B7" s="28" t="s">
        <v>80</v>
      </c>
      <c r="C7" s="15">
        <f t="shared" si="4"/>
        <v>23.856153846153845</v>
      </c>
      <c r="D7" s="29">
        <v>13</v>
      </c>
      <c r="E7" s="29">
        <v>0</v>
      </c>
      <c r="F7" s="30">
        <v>310.13</v>
      </c>
      <c r="G7" s="30">
        <v>0</v>
      </c>
      <c r="H7" s="31">
        <f t="shared" si="1"/>
        <v>0</v>
      </c>
      <c r="I7" s="31">
        <f t="shared" si="2"/>
        <v>0.34431068175979967</v>
      </c>
      <c r="J7" s="32">
        <f t="shared" si="5"/>
        <v>106.78107173416667</v>
      </c>
      <c r="K7" s="32">
        <f t="shared" si="3"/>
        <v>8.2139285949358971</v>
      </c>
      <c r="L7" s="29">
        <v>106</v>
      </c>
      <c r="M7" s="33">
        <f t="shared" si="6"/>
        <v>0.12264150943396226</v>
      </c>
      <c r="N7" s="29">
        <v>67</v>
      </c>
      <c r="O7" s="34">
        <f t="shared" ref="O7:P7" si="15">D7/7</f>
        <v>1.8571428571428572</v>
      </c>
      <c r="P7" s="34">
        <f t="shared" si="15"/>
        <v>0</v>
      </c>
      <c r="Q7" s="29">
        <f t="shared" si="8"/>
        <v>36</v>
      </c>
      <c r="R7" s="29"/>
      <c r="S7" s="35">
        <v>1.94413407821229</v>
      </c>
      <c r="T7" s="28">
        <v>125</v>
      </c>
      <c r="U7" s="36" t="s">
        <v>33</v>
      </c>
      <c r="V7" s="37" t="s">
        <v>39</v>
      </c>
      <c r="W7" s="28">
        <v>0</v>
      </c>
      <c r="X7" s="38">
        <f t="shared" si="9"/>
        <v>0</v>
      </c>
      <c r="Y7" s="39">
        <f t="shared" si="10"/>
        <v>0</v>
      </c>
      <c r="Z7" s="28">
        <v>0</v>
      </c>
      <c r="AA7" s="28" t="s">
        <v>34</v>
      </c>
      <c r="AB7" s="40">
        <f t="shared" si="11"/>
        <v>-0.69</v>
      </c>
      <c r="AC7" s="41">
        <v>0.14667195833333335</v>
      </c>
      <c r="AD7" s="39">
        <f t="shared" si="12"/>
        <v>-2.6312949324999999</v>
      </c>
      <c r="AE7" s="39">
        <v>-5.42</v>
      </c>
      <c r="AF7" s="39">
        <v>-6.4413948717948726</v>
      </c>
      <c r="AG7" s="39">
        <v>0</v>
      </c>
    </row>
    <row r="8" spans="1:33" ht="15.75" customHeight="1" x14ac:dyDescent="0.2">
      <c r="A8" s="28" t="s">
        <v>42</v>
      </c>
      <c r="B8" s="28" t="s">
        <v>81</v>
      </c>
      <c r="C8" s="15">
        <f t="shared" si="4"/>
        <v>25.222142857142853</v>
      </c>
      <c r="D8" s="29">
        <v>14</v>
      </c>
      <c r="E8" s="29">
        <v>0</v>
      </c>
      <c r="F8" s="30">
        <v>353.10999999999996</v>
      </c>
      <c r="G8" s="30">
        <v>0</v>
      </c>
      <c r="H8" s="31">
        <f t="shared" si="1"/>
        <v>0</v>
      </c>
      <c r="I8" s="31">
        <f t="shared" si="2"/>
        <v>0.3717532716858768</v>
      </c>
      <c r="J8" s="32">
        <f t="shared" si="5"/>
        <v>131.26979776499994</v>
      </c>
      <c r="K8" s="32">
        <f t="shared" si="3"/>
        <v>9.376414126071424</v>
      </c>
      <c r="L8" s="29">
        <v>59</v>
      </c>
      <c r="M8" s="33">
        <f t="shared" si="6"/>
        <v>0.23728813559322035</v>
      </c>
      <c r="N8" s="29">
        <v>54</v>
      </c>
      <c r="O8" s="34">
        <f t="shared" ref="O8:P8" si="16">D8/7</f>
        <v>2</v>
      </c>
      <c r="P8" s="34">
        <f t="shared" si="16"/>
        <v>0</v>
      </c>
      <c r="Q8" s="29">
        <f t="shared" si="8"/>
        <v>27</v>
      </c>
      <c r="R8" s="29"/>
      <c r="S8" s="35">
        <v>2.1076487252124601</v>
      </c>
      <c r="T8" s="28">
        <v>125</v>
      </c>
      <c r="U8" s="36" t="s">
        <v>33</v>
      </c>
      <c r="V8" s="37" t="s">
        <v>33</v>
      </c>
      <c r="W8" s="28">
        <v>0</v>
      </c>
      <c r="X8" s="38">
        <f t="shared" si="9"/>
        <v>0</v>
      </c>
      <c r="Y8" s="39">
        <f t="shared" si="10"/>
        <v>0</v>
      </c>
      <c r="Z8" s="28">
        <v>0</v>
      </c>
      <c r="AA8" s="28" t="s">
        <v>34</v>
      </c>
      <c r="AB8" s="40">
        <f t="shared" si="11"/>
        <v>-0.69</v>
      </c>
      <c r="AC8" s="41">
        <v>0.14667195833333335</v>
      </c>
      <c r="AD8" s="39">
        <f t="shared" si="12"/>
        <v>-2.8337022350000001</v>
      </c>
      <c r="AE8" s="39">
        <v>-5.42</v>
      </c>
      <c r="AF8" s="39">
        <v>-6.44</v>
      </c>
      <c r="AG8" s="39">
        <v>0</v>
      </c>
    </row>
    <row r="9" spans="1:33" ht="15.75" customHeight="1" x14ac:dyDescent="0.2">
      <c r="A9" s="28" t="s">
        <v>44</v>
      </c>
      <c r="B9" s="28" t="s">
        <v>82</v>
      </c>
      <c r="C9" s="15">
        <f t="shared" si="4"/>
        <v>28.731666666666666</v>
      </c>
      <c r="D9" s="29">
        <v>6</v>
      </c>
      <c r="E9" s="29">
        <v>0</v>
      </c>
      <c r="F9" s="30">
        <v>172.39</v>
      </c>
      <c r="G9" s="30">
        <v>0</v>
      </c>
      <c r="H9" s="31">
        <f t="shared" si="1"/>
        <v>0</v>
      </c>
      <c r="I9" s="31">
        <f t="shared" si="2"/>
        <v>0.4280191740574818</v>
      </c>
      <c r="J9" s="32">
        <f t="shared" si="5"/>
        <v>73.78622541576928</v>
      </c>
      <c r="K9" s="32">
        <f t="shared" si="3"/>
        <v>12.297704235961547</v>
      </c>
      <c r="L9" s="29">
        <v>57</v>
      </c>
      <c r="M9" s="33">
        <f t="shared" si="6"/>
        <v>0.10526315789473684</v>
      </c>
      <c r="N9" s="29">
        <v>46</v>
      </c>
      <c r="O9" s="34">
        <f t="shared" ref="O9:P9" si="17">D9/7</f>
        <v>0.8571428571428571</v>
      </c>
      <c r="P9" s="34">
        <f t="shared" si="17"/>
        <v>0</v>
      </c>
      <c r="Q9" s="29">
        <f t="shared" si="8"/>
        <v>53</v>
      </c>
      <c r="R9" s="29"/>
      <c r="S9" s="35">
        <v>2.2906976744185998</v>
      </c>
      <c r="T9" s="28">
        <v>125</v>
      </c>
      <c r="U9" s="36" t="s">
        <v>33</v>
      </c>
      <c r="V9" s="37" t="s">
        <v>33</v>
      </c>
      <c r="W9" s="28">
        <v>0</v>
      </c>
      <c r="X9" s="38">
        <f t="shared" si="9"/>
        <v>0</v>
      </c>
      <c r="Y9" s="39">
        <f t="shared" si="10"/>
        <v>0</v>
      </c>
      <c r="Z9" s="28">
        <v>0</v>
      </c>
      <c r="AA9" s="28" t="s">
        <v>34</v>
      </c>
      <c r="AB9" s="40">
        <f t="shared" si="11"/>
        <v>-0.69</v>
      </c>
      <c r="AC9" s="41">
        <v>0.14667195833333335</v>
      </c>
      <c r="AD9" s="39">
        <f t="shared" si="12"/>
        <v>-1.2144438150000001</v>
      </c>
      <c r="AE9" s="39">
        <v>-5.42</v>
      </c>
      <c r="AF9" s="39">
        <v>-6.5018051282051204</v>
      </c>
      <c r="AG9" s="39">
        <v>0</v>
      </c>
    </row>
    <row r="10" spans="1:33" ht="15.75" customHeight="1" x14ac:dyDescent="0.2">
      <c r="A10" s="28" t="s">
        <v>46</v>
      </c>
      <c r="B10" s="28" t="s">
        <v>83</v>
      </c>
      <c r="C10" s="15">
        <f t="shared" si="4"/>
        <v>29.95</v>
      </c>
      <c r="D10" s="29">
        <v>2</v>
      </c>
      <c r="E10" s="29">
        <v>0</v>
      </c>
      <c r="F10" s="30">
        <v>59.9</v>
      </c>
      <c r="G10" s="30">
        <v>-7.0000000000000007E-2</v>
      </c>
      <c r="H10" s="31">
        <f t="shared" si="1"/>
        <v>1.1686143572621037E-3</v>
      </c>
      <c r="I10" s="31">
        <f t="shared" si="2"/>
        <v>0.44401627944223304</v>
      </c>
      <c r="J10" s="32">
        <f t="shared" si="5"/>
        <v>26.59657513858976</v>
      </c>
      <c r="K10" s="32">
        <f t="shared" si="3"/>
        <v>13.29828756929488</v>
      </c>
      <c r="L10" s="29">
        <v>31</v>
      </c>
      <c r="M10" s="33">
        <f t="shared" si="6"/>
        <v>6.4516129032258063E-2</v>
      </c>
      <c r="N10" s="29">
        <v>46</v>
      </c>
      <c r="O10" s="34">
        <f t="shared" ref="O10:P10" si="18">D10/7</f>
        <v>0.2857142857142857</v>
      </c>
      <c r="P10" s="34">
        <f t="shared" si="18"/>
        <v>0</v>
      </c>
      <c r="Q10" s="29">
        <f t="shared" si="8"/>
        <v>161</v>
      </c>
      <c r="R10" s="29"/>
      <c r="S10" s="35">
        <v>1.6806722689075599</v>
      </c>
      <c r="T10" s="28">
        <v>125</v>
      </c>
      <c r="U10" s="36" t="s">
        <v>33</v>
      </c>
      <c r="V10" s="37" t="s">
        <v>33</v>
      </c>
      <c r="W10" s="28">
        <v>0</v>
      </c>
      <c r="X10" s="38">
        <f t="shared" si="9"/>
        <v>0</v>
      </c>
      <c r="Y10" s="39">
        <f t="shared" si="10"/>
        <v>0</v>
      </c>
      <c r="Z10" s="28">
        <v>0</v>
      </c>
      <c r="AA10" s="28" t="s">
        <v>34</v>
      </c>
      <c r="AB10" s="40">
        <f t="shared" si="11"/>
        <v>-0.69</v>
      </c>
      <c r="AC10" s="41">
        <v>0.14667195833333335</v>
      </c>
      <c r="AD10" s="39">
        <f t="shared" si="12"/>
        <v>-0.40481460499999999</v>
      </c>
      <c r="AE10" s="39">
        <v>-5.42</v>
      </c>
      <c r="AF10" s="39">
        <v>-6.5018051282051204</v>
      </c>
      <c r="AG10" s="39">
        <v>0</v>
      </c>
    </row>
    <row r="11" spans="1:33" ht="15.75" customHeight="1" x14ac:dyDescent="0.2">
      <c r="A11" s="28" t="s">
        <v>48</v>
      </c>
      <c r="B11" s="28" t="s">
        <v>47</v>
      </c>
      <c r="C11" s="15">
        <f t="shared" si="4"/>
        <v>30.899999999999995</v>
      </c>
      <c r="D11" s="29">
        <v>3</v>
      </c>
      <c r="E11" s="29">
        <v>0</v>
      </c>
      <c r="F11" s="30">
        <v>92.699999999999989</v>
      </c>
      <c r="G11" s="30">
        <v>0</v>
      </c>
      <c r="H11" s="31">
        <f t="shared" si="1"/>
        <v>0</v>
      </c>
      <c r="I11" s="31">
        <f t="shared" si="2"/>
        <v>0.45763066567297339</v>
      </c>
      <c r="J11" s="32">
        <f t="shared" si="5"/>
        <v>42.422362707884631</v>
      </c>
      <c r="K11" s="32">
        <f t="shared" si="3"/>
        <v>14.140787569294877</v>
      </c>
      <c r="L11" s="29">
        <v>39</v>
      </c>
      <c r="M11" s="33">
        <f t="shared" si="6"/>
        <v>7.6923076923076927E-2</v>
      </c>
      <c r="N11" s="29">
        <v>44</v>
      </c>
      <c r="O11" s="34">
        <f t="shared" ref="O11:P11" si="19">D11/7</f>
        <v>0.42857142857142855</v>
      </c>
      <c r="P11" s="34">
        <f t="shared" si="19"/>
        <v>0</v>
      </c>
      <c r="Q11" s="29">
        <f t="shared" si="8"/>
        <v>102</v>
      </c>
      <c r="R11" s="29"/>
      <c r="S11" s="35">
        <v>1.8370370370370299</v>
      </c>
      <c r="T11" s="28">
        <v>125</v>
      </c>
      <c r="U11" s="36" t="s">
        <v>33</v>
      </c>
      <c r="V11" s="37" t="s">
        <v>33</v>
      </c>
      <c r="W11" s="28">
        <v>0</v>
      </c>
      <c r="X11" s="38">
        <f t="shared" si="9"/>
        <v>0</v>
      </c>
      <c r="Y11" s="39">
        <f t="shared" si="10"/>
        <v>0</v>
      </c>
      <c r="Z11" s="28">
        <v>0</v>
      </c>
      <c r="AA11" s="28" t="s">
        <v>34</v>
      </c>
      <c r="AB11" s="40">
        <f t="shared" si="11"/>
        <v>-0.69</v>
      </c>
      <c r="AC11" s="41">
        <v>0.14667195833333335</v>
      </c>
      <c r="AD11" s="39">
        <f t="shared" si="12"/>
        <v>-0.60722190750000005</v>
      </c>
      <c r="AE11" s="39">
        <v>-5.42</v>
      </c>
      <c r="AF11" s="39">
        <v>-6.5018051282051204</v>
      </c>
      <c r="AG11" s="39">
        <v>0</v>
      </c>
    </row>
    <row r="12" spans="1:33" ht="15.75" customHeight="1" x14ac:dyDescent="0.2">
      <c r="A12" s="28" t="s">
        <v>49</v>
      </c>
      <c r="B12" s="28" t="s">
        <v>84</v>
      </c>
      <c r="C12" s="15">
        <f t="shared" si="4"/>
        <v>29.875</v>
      </c>
      <c r="D12" s="29">
        <v>2</v>
      </c>
      <c r="E12" s="29">
        <v>0</v>
      </c>
      <c r="F12" s="30">
        <v>59.75</v>
      </c>
      <c r="G12" s="30">
        <v>-0.08</v>
      </c>
      <c r="H12" s="31">
        <f t="shared" si="1"/>
        <v>1.3389121338912135E-3</v>
      </c>
      <c r="I12" s="31">
        <f t="shared" si="2"/>
        <v>0.44282970943246469</v>
      </c>
      <c r="J12" s="32">
        <f t="shared" si="5"/>
        <v>26.459075138589764</v>
      </c>
      <c r="K12" s="32">
        <f t="shared" si="3"/>
        <v>13.229537569294882</v>
      </c>
      <c r="L12" s="29">
        <v>20</v>
      </c>
      <c r="M12" s="33">
        <f t="shared" si="6"/>
        <v>0.1</v>
      </c>
      <c r="N12" s="29">
        <v>46</v>
      </c>
      <c r="O12" s="34">
        <f t="shared" ref="O12:P12" si="20">D12/7</f>
        <v>0.2857142857142857</v>
      </c>
      <c r="P12" s="34">
        <f t="shared" si="20"/>
        <v>0</v>
      </c>
      <c r="Q12" s="29">
        <f t="shared" si="8"/>
        <v>161</v>
      </c>
      <c r="R12" s="29"/>
      <c r="S12" s="35">
        <v>1.9023136246786601</v>
      </c>
      <c r="T12" s="28">
        <v>125</v>
      </c>
      <c r="U12" s="36" t="s">
        <v>33</v>
      </c>
      <c r="V12" s="37" t="s">
        <v>33</v>
      </c>
      <c r="W12" s="28">
        <v>0</v>
      </c>
      <c r="X12" s="38">
        <f t="shared" si="9"/>
        <v>0</v>
      </c>
      <c r="Y12" s="39">
        <f t="shared" si="10"/>
        <v>0</v>
      </c>
      <c r="Z12" s="28">
        <v>0</v>
      </c>
      <c r="AA12" s="28" t="s">
        <v>34</v>
      </c>
      <c r="AB12" s="40">
        <f t="shared" si="11"/>
        <v>-0.69</v>
      </c>
      <c r="AC12" s="41">
        <v>0.14667195833333335</v>
      </c>
      <c r="AD12" s="39">
        <f t="shared" si="12"/>
        <v>-0.40481460499999999</v>
      </c>
      <c r="AE12" s="39">
        <v>-5.42</v>
      </c>
      <c r="AF12" s="39">
        <v>-6.5018051282051204</v>
      </c>
      <c r="AG12" s="39">
        <v>0</v>
      </c>
    </row>
    <row r="13" spans="1:33" ht="15.75" customHeight="1" x14ac:dyDescent="0.2">
      <c r="A13" s="28" t="s">
        <v>50</v>
      </c>
      <c r="B13" s="28" t="s">
        <v>85</v>
      </c>
      <c r="C13" s="15">
        <f t="shared" si="4"/>
        <v>27.32</v>
      </c>
      <c r="D13" s="29">
        <v>2</v>
      </c>
      <c r="E13" s="29">
        <v>0</v>
      </c>
      <c r="F13" s="32">
        <v>54.64</v>
      </c>
      <c r="G13" s="30">
        <v>0</v>
      </c>
      <c r="H13" s="31">
        <f t="shared" si="1"/>
        <v>0</v>
      </c>
      <c r="I13" s="31">
        <f t="shared" si="2"/>
        <v>0.40505097721449496</v>
      </c>
      <c r="J13" s="32">
        <f t="shared" si="5"/>
        <v>22.131985395000005</v>
      </c>
      <c r="K13" s="32">
        <f t="shared" si="3"/>
        <v>11.065992697500002</v>
      </c>
      <c r="L13" s="29">
        <v>23</v>
      </c>
      <c r="M13" s="33">
        <f t="shared" si="6"/>
        <v>8.6956521739130432E-2</v>
      </c>
      <c r="N13" s="29">
        <v>46</v>
      </c>
      <c r="O13" s="34">
        <f t="shared" ref="O13:P13" si="21">D13/7</f>
        <v>0.2857142857142857</v>
      </c>
      <c r="P13" s="34">
        <f t="shared" si="21"/>
        <v>0</v>
      </c>
      <c r="Q13" s="29">
        <f t="shared" si="8"/>
        <v>161</v>
      </c>
      <c r="R13" s="29"/>
      <c r="S13" s="35">
        <v>1.8632911392405</v>
      </c>
      <c r="T13" s="28">
        <v>525</v>
      </c>
      <c r="U13" s="36" t="s">
        <v>33</v>
      </c>
      <c r="V13" s="37" t="s">
        <v>33</v>
      </c>
      <c r="W13" s="28">
        <v>0</v>
      </c>
      <c r="X13" s="38">
        <f t="shared" si="9"/>
        <v>0</v>
      </c>
      <c r="Y13" s="39">
        <f t="shared" si="10"/>
        <v>0</v>
      </c>
      <c r="Z13" s="28">
        <v>0</v>
      </c>
      <c r="AA13" s="28" t="s">
        <v>34</v>
      </c>
      <c r="AB13" s="40">
        <f t="shared" si="11"/>
        <v>-0.69</v>
      </c>
      <c r="AC13" s="41">
        <v>0.14667195833333335</v>
      </c>
      <c r="AD13" s="39">
        <f t="shared" si="12"/>
        <v>-0.40481460499999999</v>
      </c>
      <c r="AE13" s="39">
        <v>-5.42</v>
      </c>
      <c r="AF13" s="39">
        <v>-6.5335999999999999</v>
      </c>
      <c r="AG13" s="39">
        <v>0</v>
      </c>
    </row>
    <row r="14" spans="1:33" ht="15.75" customHeight="1" x14ac:dyDescent="0.2">
      <c r="A14" s="28" t="s">
        <v>51</v>
      </c>
      <c r="B14" s="28" t="s">
        <v>47</v>
      </c>
      <c r="C14" s="15">
        <f t="shared" si="4"/>
        <v>25.21</v>
      </c>
      <c r="D14" s="29">
        <v>4</v>
      </c>
      <c r="E14" s="29">
        <v>0</v>
      </c>
      <c r="F14" s="32">
        <v>100.84</v>
      </c>
      <c r="G14" s="30">
        <v>-0.06</v>
      </c>
      <c r="H14" s="31">
        <f t="shared" si="1"/>
        <v>5.9500198333994447E-4</v>
      </c>
      <c r="I14" s="31">
        <f t="shared" si="2"/>
        <v>0.36721510105117017</v>
      </c>
      <c r="J14" s="32">
        <f t="shared" si="5"/>
        <v>37.02997079</v>
      </c>
      <c r="K14" s="32">
        <f t="shared" si="3"/>
        <v>9.2574926975</v>
      </c>
      <c r="L14" s="29">
        <v>15</v>
      </c>
      <c r="M14" s="33">
        <f t="shared" si="6"/>
        <v>0.26666666666666666</v>
      </c>
      <c r="N14" s="29">
        <v>42</v>
      </c>
      <c r="O14" s="34">
        <f t="shared" ref="O14:P14" si="22">D14/7</f>
        <v>0.5714285714285714</v>
      </c>
      <c r="P14" s="34">
        <f t="shared" si="22"/>
        <v>0</v>
      </c>
      <c r="Q14" s="29">
        <f t="shared" si="8"/>
        <v>73</v>
      </c>
      <c r="R14" s="29"/>
      <c r="S14" s="35">
        <v>1.86510263929618</v>
      </c>
      <c r="T14" s="28">
        <v>525</v>
      </c>
      <c r="U14" s="36" t="s">
        <v>33</v>
      </c>
      <c r="V14" s="37" t="s">
        <v>33</v>
      </c>
      <c r="W14" s="28">
        <v>0</v>
      </c>
      <c r="X14" s="38">
        <f t="shared" si="9"/>
        <v>0</v>
      </c>
      <c r="Y14" s="39">
        <f t="shared" si="10"/>
        <v>0</v>
      </c>
      <c r="Z14" s="28">
        <v>0</v>
      </c>
      <c r="AA14" s="28" t="s">
        <v>34</v>
      </c>
      <c r="AB14" s="40">
        <f t="shared" si="11"/>
        <v>-0.69</v>
      </c>
      <c r="AC14" s="41">
        <v>0.14667195833333335</v>
      </c>
      <c r="AD14" s="39">
        <f t="shared" si="12"/>
        <v>-0.80962920999999999</v>
      </c>
      <c r="AE14" s="39">
        <v>-5.42</v>
      </c>
      <c r="AF14" s="39">
        <v>-6.5335999999999999</v>
      </c>
      <c r="AG14" s="39">
        <v>0</v>
      </c>
    </row>
    <row r="15" spans="1:33" ht="15.75" customHeight="1" x14ac:dyDescent="0.2">
      <c r="A15" s="28" t="s">
        <v>53</v>
      </c>
      <c r="B15" s="28" t="s">
        <v>47</v>
      </c>
      <c r="C15" s="15">
        <f t="shared" si="4"/>
        <v>24.949999999999996</v>
      </c>
      <c r="D15" s="29">
        <v>9</v>
      </c>
      <c r="E15" s="29">
        <v>0</v>
      </c>
      <c r="F15" s="32">
        <v>224.54999999999995</v>
      </c>
      <c r="G15" s="30">
        <v>-0.24</v>
      </c>
      <c r="H15" s="31">
        <f t="shared" si="1"/>
        <v>1.0688042752171011E-3</v>
      </c>
      <c r="I15" s="31">
        <f t="shared" si="2"/>
        <v>0.3617164741816965</v>
      </c>
      <c r="J15" s="32">
        <f t="shared" si="5"/>
        <v>81.223434277499933</v>
      </c>
      <c r="K15" s="32">
        <f t="shared" si="3"/>
        <v>9.0248260308333261</v>
      </c>
      <c r="L15" s="29">
        <v>29</v>
      </c>
      <c r="M15" s="33">
        <f t="shared" si="6"/>
        <v>0.31034482758620691</v>
      </c>
      <c r="N15" s="29">
        <v>34</v>
      </c>
      <c r="O15" s="34">
        <f t="shared" ref="O15:P15" si="23">D15/7</f>
        <v>1.2857142857142858</v>
      </c>
      <c r="P15" s="34">
        <f t="shared" si="23"/>
        <v>0</v>
      </c>
      <c r="Q15" s="29">
        <f t="shared" si="8"/>
        <v>26</v>
      </c>
      <c r="R15" s="29"/>
      <c r="S15" s="35">
        <v>1.9111111111111101</v>
      </c>
      <c r="T15" s="28">
        <v>525</v>
      </c>
      <c r="U15" s="36" t="s">
        <v>33</v>
      </c>
      <c r="V15" s="37" t="s">
        <v>33</v>
      </c>
      <c r="W15" s="28">
        <v>1</v>
      </c>
      <c r="X15" s="38">
        <f t="shared" si="9"/>
        <v>0.1111111111111111</v>
      </c>
      <c r="Y15" s="39">
        <f t="shared" si="10"/>
        <v>0.24</v>
      </c>
      <c r="Z15" s="28">
        <v>0</v>
      </c>
      <c r="AA15" s="28" t="s">
        <v>34</v>
      </c>
      <c r="AB15" s="40">
        <f t="shared" si="11"/>
        <v>-0.69</v>
      </c>
      <c r="AC15" s="41">
        <v>0.14667195833333335</v>
      </c>
      <c r="AD15" s="39">
        <f t="shared" si="12"/>
        <v>-1.8216657224999999</v>
      </c>
      <c r="AE15" s="39">
        <v>-5.42</v>
      </c>
      <c r="AF15" s="39">
        <v>-6.5335999999999999</v>
      </c>
      <c r="AG15" s="39">
        <v>0</v>
      </c>
    </row>
    <row r="16" spans="1:33" ht="15.75" customHeight="1" x14ac:dyDescent="0.2">
      <c r="A16" s="28" t="s">
        <v>54</v>
      </c>
      <c r="B16" s="28" t="s">
        <v>47</v>
      </c>
      <c r="C16" s="15">
        <f t="shared" si="4"/>
        <v>25.049999999999994</v>
      </c>
      <c r="D16" s="29">
        <v>17</v>
      </c>
      <c r="E16" s="29">
        <v>0</v>
      </c>
      <c r="F16" s="32">
        <v>425.84999999999991</v>
      </c>
      <c r="G16" s="30">
        <v>0</v>
      </c>
      <c r="H16" s="31">
        <f t="shared" si="1"/>
        <v>0</v>
      </c>
      <c r="I16" s="31">
        <f t="shared" si="2"/>
        <v>0.36473024740518944</v>
      </c>
      <c r="J16" s="32">
        <f t="shared" si="5"/>
        <v>155.3203758574999</v>
      </c>
      <c r="K16" s="32">
        <f t="shared" si="3"/>
        <v>9.1364926974999943</v>
      </c>
      <c r="L16" s="29">
        <v>128</v>
      </c>
      <c r="M16" s="33">
        <f t="shared" si="6"/>
        <v>0.1328125</v>
      </c>
      <c r="N16" s="29">
        <v>21</v>
      </c>
      <c r="O16" s="34">
        <f t="shared" ref="O16:P16" si="24">D16/7</f>
        <v>2.4285714285714284</v>
      </c>
      <c r="P16" s="34">
        <f t="shared" si="24"/>
        <v>0</v>
      </c>
      <c r="Q16" s="29">
        <f t="shared" si="8"/>
        <v>8</v>
      </c>
      <c r="R16" s="29"/>
      <c r="S16" s="35">
        <v>2.1630901287553601</v>
      </c>
      <c r="T16" s="28">
        <v>525</v>
      </c>
      <c r="U16" s="36" t="s">
        <v>33</v>
      </c>
      <c r="V16" s="37" t="s">
        <v>33</v>
      </c>
      <c r="W16" s="28">
        <v>0</v>
      </c>
      <c r="X16" s="38">
        <f t="shared" si="9"/>
        <v>0</v>
      </c>
      <c r="Y16" s="39">
        <f t="shared" si="10"/>
        <v>0</v>
      </c>
      <c r="Z16" s="28">
        <v>0</v>
      </c>
      <c r="AA16" s="28" t="s">
        <v>34</v>
      </c>
      <c r="AB16" s="40">
        <f t="shared" si="11"/>
        <v>-0.69</v>
      </c>
      <c r="AC16" s="41">
        <v>0.14667195833333335</v>
      </c>
      <c r="AD16" s="39">
        <f t="shared" si="12"/>
        <v>-3.4409241425000001</v>
      </c>
      <c r="AE16" s="39">
        <v>-5.42</v>
      </c>
      <c r="AF16" s="39">
        <v>-6.5335999999999999</v>
      </c>
      <c r="AG16" s="39">
        <v>0</v>
      </c>
    </row>
    <row r="17" spans="1:33" ht="15.75" customHeight="1" x14ac:dyDescent="0.2">
      <c r="A17" s="28" t="s">
        <v>55</v>
      </c>
      <c r="B17" s="28" t="s">
        <v>47</v>
      </c>
      <c r="C17" s="15">
        <f t="shared" si="4"/>
        <v>24.95</v>
      </c>
      <c r="D17" s="29">
        <v>1</v>
      </c>
      <c r="E17" s="29">
        <v>1</v>
      </c>
      <c r="F17" s="32">
        <v>24.95</v>
      </c>
      <c r="G17" s="30">
        <v>-0.24</v>
      </c>
      <c r="H17" s="31">
        <f t="shared" si="1"/>
        <v>9.6192384769539074E-3</v>
      </c>
      <c r="I17" s="31">
        <f t="shared" si="2"/>
        <v>0.35893758306613238</v>
      </c>
      <c r="J17" s="32">
        <f t="shared" si="5"/>
        <v>8.9554926975000022</v>
      </c>
      <c r="K17" s="32">
        <f t="shared" si="3"/>
        <v>8.9554926975000022</v>
      </c>
      <c r="L17" s="29">
        <v>65</v>
      </c>
      <c r="M17" s="33">
        <f t="shared" si="6"/>
        <v>1.5384615384615385E-2</v>
      </c>
      <c r="N17" s="29">
        <v>16</v>
      </c>
      <c r="O17" s="34">
        <f t="shared" ref="O17:P17" si="25">D17/7</f>
        <v>0.14285714285714285</v>
      </c>
      <c r="P17" s="34">
        <f t="shared" si="25"/>
        <v>0.14285714285714285</v>
      </c>
      <c r="Q17" s="29">
        <f t="shared" si="8"/>
        <v>56</v>
      </c>
      <c r="R17" s="29"/>
      <c r="S17" s="35">
        <v>2.0655737704917998</v>
      </c>
      <c r="T17" s="28">
        <v>525</v>
      </c>
      <c r="U17" s="36" t="s">
        <v>33</v>
      </c>
      <c r="V17" s="37" t="s">
        <v>33</v>
      </c>
      <c r="W17" s="28">
        <v>0</v>
      </c>
      <c r="X17" s="38">
        <f t="shared" si="9"/>
        <v>0</v>
      </c>
      <c r="Y17" s="39">
        <f t="shared" si="10"/>
        <v>0</v>
      </c>
      <c r="Z17" s="28">
        <v>0</v>
      </c>
      <c r="AA17" s="28" t="s">
        <v>34</v>
      </c>
      <c r="AB17" s="40">
        <f t="shared" si="11"/>
        <v>-0.69</v>
      </c>
      <c r="AC17" s="41">
        <v>0.14667195833333335</v>
      </c>
      <c r="AD17" s="39">
        <f t="shared" si="12"/>
        <v>-0.2024073025</v>
      </c>
      <c r="AE17" s="39">
        <v>-5.42</v>
      </c>
      <c r="AF17" s="39">
        <v>-6.3895999999999997</v>
      </c>
      <c r="AG17" s="39">
        <v>0</v>
      </c>
    </row>
    <row r="18" spans="1:33" ht="15.75" customHeight="1" x14ac:dyDescent="0.2">
      <c r="A18" s="28" t="s">
        <v>56</v>
      </c>
      <c r="B18" s="28" t="s">
        <v>47</v>
      </c>
      <c r="C18" s="15">
        <f t="shared" si="4"/>
        <v>24.95</v>
      </c>
      <c r="D18" s="29">
        <v>4</v>
      </c>
      <c r="E18" s="29">
        <v>0</v>
      </c>
      <c r="F18" s="32">
        <v>99.8</v>
      </c>
      <c r="G18" s="30">
        <v>-0.2</v>
      </c>
      <c r="H18" s="31">
        <f t="shared" si="1"/>
        <v>2.0040080160320644E-3</v>
      </c>
      <c r="I18" s="31">
        <f t="shared" si="2"/>
        <v>0.3665528135270541</v>
      </c>
      <c r="J18" s="32">
        <f t="shared" si="5"/>
        <v>36.58197079</v>
      </c>
      <c r="K18" s="32">
        <f t="shared" si="3"/>
        <v>9.1454926974999999</v>
      </c>
      <c r="L18" s="29">
        <v>55</v>
      </c>
      <c r="M18" s="33">
        <f t="shared" si="6"/>
        <v>7.2727272727272724E-2</v>
      </c>
      <c r="N18" s="29">
        <v>12</v>
      </c>
      <c r="O18" s="34">
        <f t="shared" ref="O18:P18" si="26">D18/7</f>
        <v>0.5714285714285714</v>
      </c>
      <c r="P18" s="34">
        <f t="shared" si="26"/>
        <v>0</v>
      </c>
      <c r="Q18" s="29">
        <f t="shared" si="8"/>
        <v>21</v>
      </c>
      <c r="R18" s="29"/>
      <c r="S18" s="35">
        <v>2.0465116279069702</v>
      </c>
      <c r="T18" s="28">
        <v>525</v>
      </c>
      <c r="U18" s="36" t="s">
        <v>33</v>
      </c>
      <c r="V18" s="37" t="s">
        <v>33</v>
      </c>
      <c r="W18" s="28">
        <v>0</v>
      </c>
      <c r="X18" s="38">
        <f t="shared" si="9"/>
        <v>0</v>
      </c>
      <c r="Y18" s="39">
        <f t="shared" si="10"/>
        <v>0</v>
      </c>
      <c r="Z18" s="28">
        <v>0</v>
      </c>
      <c r="AA18" s="28" t="s">
        <v>34</v>
      </c>
      <c r="AB18" s="40">
        <f t="shared" si="11"/>
        <v>-0.69</v>
      </c>
      <c r="AC18" s="41">
        <v>0.14667195833333335</v>
      </c>
      <c r="AD18" s="39">
        <f t="shared" si="12"/>
        <v>-0.80962920999999999</v>
      </c>
      <c r="AE18" s="39">
        <v>-5.42</v>
      </c>
      <c r="AF18" s="39">
        <v>-6.3895999999999997</v>
      </c>
      <c r="AG18" s="39">
        <v>0</v>
      </c>
    </row>
    <row r="19" spans="1:33" ht="15.75" customHeight="1" x14ac:dyDescent="0.2">
      <c r="A19" s="28" t="s">
        <v>57</v>
      </c>
      <c r="B19" s="28" t="s">
        <v>86</v>
      </c>
      <c r="C19" s="15">
        <f t="shared" si="4"/>
        <v>24.95</v>
      </c>
      <c r="D19" s="29">
        <v>2</v>
      </c>
      <c r="E19" s="29">
        <v>0</v>
      </c>
      <c r="F19" s="32">
        <v>49.9</v>
      </c>
      <c r="G19" s="30">
        <v>-0.21000000000000002</v>
      </c>
      <c r="H19" s="31">
        <f t="shared" si="1"/>
        <v>4.2084168336673352E-3</v>
      </c>
      <c r="I19" s="31">
        <f t="shared" si="2"/>
        <v>0.35204058907815627</v>
      </c>
      <c r="J19" s="32">
        <f t="shared" si="5"/>
        <v>17.566825394999999</v>
      </c>
      <c r="K19" s="32">
        <f t="shared" si="3"/>
        <v>8.7834126974999993</v>
      </c>
      <c r="L19" s="29">
        <v>38</v>
      </c>
      <c r="M19" s="33">
        <f t="shared" si="6"/>
        <v>5.2631578947368418E-2</v>
      </c>
      <c r="N19" s="29">
        <v>134</v>
      </c>
      <c r="O19" s="34">
        <f t="shared" ref="O19:P19" si="27">D19/7</f>
        <v>0.2857142857142857</v>
      </c>
      <c r="P19" s="34">
        <f t="shared" si="27"/>
        <v>0</v>
      </c>
      <c r="Q19" s="29">
        <f t="shared" si="8"/>
        <v>469</v>
      </c>
      <c r="R19" s="29"/>
      <c r="S19" s="35">
        <v>1.9037433155080199</v>
      </c>
      <c r="T19" s="28">
        <v>525</v>
      </c>
      <c r="U19" s="36" t="s">
        <v>33</v>
      </c>
      <c r="V19" s="37" t="s">
        <v>33</v>
      </c>
      <c r="W19" s="28">
        <v>0</v>
      </c>
      <c r="X19" s="38">
        <f t="shared" si="9"/>
        <v>0</v>
      </c>
      <c r="Y19" s="39">
        <f t="shared" si="10"/>
        <v>0</v>
      </c>
      <c r="Z19" s="28">
        <v>0</v>
      </c>
      <c r="AA19" s="28" t="s">
        <v>34</v>
      </c>
      <c r="AB19" s="40">
        <f t="shared" si="11"/>
        <v>-0.69</v>
      </c>
      <c r="AC19" s="41">
        <v>0.14667195833333335</v>
      </c>
      <c r="AD19" s="39">
        <f t="shared" si="12"/>
        <v>-0.40481460499999999</v>
      </c>
      <c r="AE19" s="39">
        <v>-5.42</v>
      </c>
      <c r="AF19" s="39">
        <v>-6.6966800000000006</v>
      </c>
      <c r="AG19" s="39">
        <v>0</v>
      </c>
    </row>
    <row r="20" spans="1:33" ht="15.75" customHeight="1" x14ac:dyDescent="0.2">
      <c r="A20" s="28" t="s">
        <v>58</v>
      </c>
      <c r="B20" s="28" t="s">
        <v>87</v>
      </c>
      <c r="C20" s="15" t="str">
        <f t="shared" si="4"/>
        <v xml:space="preserve"> - </v>
      </c>
      <c r="D20" s="29">
        <v>0</v>
      </c>
      <c r="E20" s="29">
        <v>1</v>
      </c>
      <c r="F20" s="32">
        <v>0</v>
      </c>
      <c r="G20" s="30">
        <v>-0.06</v>
      </c>
      <c r="H20" s="31" t="e">
        <f t="shared" si="1"/>
        <v>#DIV/0!</v>
      </c>
      <c r="I20" s="31" t="e">
        <f t="shared" si="2"/>
        <v>#DIV/0!</v>
      </c>
      <c r="J20" s="32">
        <f t="shared" si="5"/>
        <v>-0.06</v>
      </c>
      <c r="K20" s="32" t="e">
        <f t="shared" si="3"/>
        <v>#DIV/0!</v>
      </c>
      <c r="L20" s="29">
        <v>0</v>
      </c>
      <c r="M20" s="33" t="str">
        <f t="shared" si="6"/>
        <v>-</v>
      </c>
      <c r="N20" s="29">
        <v>137</v>
      </c>
      <c r="O20" s="34">
        <f t="shared" ref="O20:P20" si="28">D20/7</f>
        <v>0</v>
      </c>
      <c r="P20" s="34">
        <f t="shared" si="28"/>
        <v>0.14285714285714285</v>
      </c>
      <c r="Q20" s="29">
        <f t="shared" si="8"/>
        <v>959</v>
      </c>
      <c r="R20" s="29"/>
      <c r="S20" s="35">
        <v>1.0179211469534</v>
      </c>
      <c r="T20" s="28">
        <v>525</v>
      </c>
      <c r="U20" s="36" t="s">
        <v>33</v>
      </c>
      <c r="V20" s="37" t="s">
        <v>33</v>
      </c>
      <c r="W20" s="28">
        <v>0</v>
      </c>
      <c r="X20" s="38">
        <f t="shared" si="9"/>
        <v>0</v>
      </c>
      <c r="Y20" s="39">
        <f t="shared" si="10"/>
        <v>0</v>
      </c>
      <c r="Z20" s="28">
        <v>0</v>
      </c>
      <c r="AA20" s="28" t="s">
        <v>34</v>
      </c>
      <c r="AB20" s="40">
        <f t="shared" si="11"/>
        <v>-0.69</v>
      </c>
      <c r="AC20" s="41">
        <v>0.14667195833333335</v>
      </c>
      <c r="AD20" s="39">
        <f t="shared" si="12"/>
        <v>0</v>
      </c>
      <c r="AE20" s="39">
        <v>-5.42</v>
      </c>
      <c r="AF20" s="39">
        <v>-6.6966800000000006</v>
      </c>
      <c r="AG20" s="39">
        <v>0</v>
      </c>
    </row>
    <row r="21" spans="1:33" ht="15.75" customHeight="1" x14ac:dyDescent="0.2">
      <c r="A21" s="28" t="s">
        <v>59</v>
      </c>
      <c r="B21" s="28" t="s">
        <v>88</v>
      </c>
      <c r="C21" s="15">
        <f t="shared" si="4"/>
        <v>21.62</v>
      </c>
      <c r="D21" s="29">
        <v>1</v>
      </c>
      <c r="E21" s="29">
        <v>0</v>
      </c>
      <c r="F21" s="32">
        <v>21.62</v>
      </c>
      <c r="G21" s="30">
        <v>0</v>
      </c>
      <c r="H21" s="31">
        <f t="shared" si="1"/>
        <v>0</v>
      </c>
      <c r="I21" s="31">
        <f t="shared" si="2"/>
        <v>4.6253469010175761E-2</v>
      </c>
      <c r="J21" s="32">
        <v>1</v>
      </c>
      <c r="K21" s="32">
        <f t="shared" si="3"/>
        <v>1</v>
      </c>
      <c r="L21" s="29">
        <v>10</v>
      </c>
      <c r="M21" s="33">
        <f t="shared" si="6"/>
        <v>0.1</v>
      </c>
      <c r="N21" s="29">
        <v>138</v>
      </c>
      <c r="O21" s="34">
        <f t="shared" ref="O21:P21" si="29">D21/7</f>
        <v>0.14285714285714285</v>
      </c>
      <c r="P21" s="34">
        <f t="shared" si="29"/>
        <v>0</v>
      </c>
      <c r="Q21" s="29">
        <f t="shared" si="8"/>
        <v>966</v>
      </c>
      <c r="R21" s="29"/>
      <c r="S21" s="35">
        <v>0.88372093023255804</v>
      </c>
      <c r="T21" s="28">
        <v>525</v>
      </c>
      <c r="U21" s="36" t="s">
        <v>33</v>
      </c>
      <c r="V21" s="37" t="s">
        <v>33</v>
      </c>
      <c r="W21" s="28">
        <v>0</v>
      </c>
      <c r="X21" s="38">
        <f t="shared" si="9"/>
        <v>0</v>
      </c>
      <c r="Y21" s="39">
        <f t="shared" si="10"/>
        <v>0</v>
      </c>
      <c r="Z21" s="28">
        <v>0</v>
      </c>
      <c r="AA21" s="28" t="s">
        <v>34</v>
      </c>
      <c r="AB21" s="40">
        <f t="shared" si="11"/>
        <v>-0.69</v>
      </c>
      <c r="AC21" s="41">
        <v>0.14667195833333335</v>
      </c>
      <c r="AD21" s="39">
        <f t="shared" si="12"/>
        <v>-0.2024073025</v>
      </c>
      <c r="AE21" s="39">
        <v>-5.42</v>
      </c>
      <c r="AF21" s="39">
        <v>-6.6966800000000006</v>
      </c>
      <c r="AG21" s="39">
        <v>0</v>
      </c>
    </row>
    <row r="22" spans="1:33" ht="15.75" customHeight="1" x14ac:dyDescent="0.2">
      <c r="A22" s="28" t="s">
        <v>60</v>
      </c>
      <c r="B22" s="28" t="s">
        <v>47</v>
      </c>
      <c r="C22" s="15">
        <f t="shared" si="4"/>
        <v>20.99</v>
      </c>
      <c r="D22" s="29">
        <v>3</v>
      </c>
      <c r="E22" s="29">
        <v>5</v>
      </c>
      <c r="F22" s="30">
        <v>62.97</v>
      </c>
      <c r="G22" s="30">
        <v>0</v>
      </c>
      <c r="H22" s="31">
        <f t="shared" si="1"/>
        <v>0</v>
      </c>
      <c r="I22" s="31">
        <f t="shared" si="2"/>
        <v>0.26309731765126243</v>
      </c>
      <c r="J22" s="32">
        <f t="shared" ref="J22:J32" si="30">F22*0.85+G22+AF22*D22+D22*AE22+AG22+AD22</f>
        <v>16.567238092499995</v>
      </c>
      <c r="K22" s="32">
        <f t="shared" si="3"/>
        <v>5.5224126974999983</v>
      </c>
      <c r="L22" s="29">
        <v>21</v>
      </c>
      <c r="M22" s="33">
        <f t="shared" si="6"/>
        <v>0.14285714285714285</v>
      </c>
      <c r="N22" s="29">
        <v>117</v>
      </c>
      <c r="O22" s="34">
        <f t="shared" ref="O22:P22" si="31">D22/7</f>
        <v>0.42857142857142855</v>
      </c>
      <c r="P22" s="34">
        <f t="shared" si="31"/>
        <v>0.7142857142857143</v>
      </c>
      <c r="Q22" s="29">
        <f t="shared" si="8"/>
        <v>102</v>
      </c>
      <c r="R22" s="29"/>
      <c r="S22" s="35">
        <v>0.986784140969163</v>
      </c>
      <c r="T22" s="28">
        <v>675</v>
      </c>
      <c r="U22" s="36">
        <v>150</v>
      </c>
      <c r="V22" s="37" t="s">
        <v>89</v>
      </c>
      <c r="W22" s="28">
        <v>0</v>
      </c>
      <c r="X22" s="38">
        <f t="shared" si="9"/>
        <v>0</v>
      </c>
      <c r="Y22" s="39">
        <f t="shared" si="10"/>
        <v>0</v>
      </c>
      <c r="Z22" s="28">
        <v>0</v>
      </c>
      <c r="AA22" s="28" t="s">
        <v>34</v>
      </c>
      <c r="AB22" s="40">
        <f t="shared" si="11"/>
        <v>-0.69</v>
      </c>
      <c r="AC22" s="41">
        <v>0.14667195833333335</v>
      </c>
      <c r="AD22" s="39">
        <f t="shared" si="12"/>
        <v>-0.60722190750000005</v>
      </c>
      <c r="AE22" s="39">
        <v>-5.42</v>
      </c>
      <c r="AF22" s="39">
        <v>-6.6966800000000006</v>
      </c>
      <c r="AG22" s="39">
        <v>0</v>
      </c>
    </row>
    <row r="23" spans="1:33" ht="15.75" customHeight="1" x14ac:dyDescent="0.2">
      <c r="A23" s="28" t="s">
        <v>62</v>
      </c>
      <c r="B23" s="28" t="s">
        <v>90</v>
      </c>
      <c r="C23" s="15">
        <f t="shared" si="4"/>
        <v>20.99</v>
      </c>
      <c r="D23" s="29">
        <v>8</v>
      </c>
      <c r="E23" s="29">
        <v>3</v>
      </c>
      <c r="F23" s="32">
        <v>167.92</v>
      </c>
      <c r="G23" s="30">
        <v>-0.14000000000000001</v>
      </c>
      <c r="H23" s="31">
        <f t="shared" si="1"/>
        <v>8.3373034778465955E-4</v>
      </c>
      <c r="I23" s="31">
        <f t="shared" si="2"/>
        <v>0.26226358730347793</v>
      </c>
      <c r="J23" s="32">
        <f t="shared" si="30"/>
        <v>44.039301580000007</v>
      </c>
      <c r="K23" s="32">
        <f t="shared" si="3"/>
        <v>5.5049126975000009</v>
      </c>
      <c r="L23" s="29">
        <v>24</v>
      </c>
      <c r="M23" s="33">
        <f t="shared" si="6"/>
        <v>0.33333333333333331</v>
      </c>
      <c r="N23" s="29">
        <v>116</v>
      </c>
      <c r="O23" s="34">
        <f t="shared" ref="O23:P23" si="32">D23/7</f>
        <v>1.1428571428571428</v>
      </c>
      <c r="P23" s="34">
        <f t="shared" si="32"/>
        <v>0.42857142857142855</v>
      </c>
      <c r="Q23" s="29">
        <f t="shared" si="8"/>
        <v>73</v>
      </c>
      <c r="R23" s="29"/>
      <c r="S23" s="35">
        <v>1.11415525114155</v>
      </c>
      <c r="T23" s="28">
        <v>500</v>
      </c>
      <c r="U23" s="36" t="s">
        <v>33</v>
      </c>
      <c r="V23" s="37" t="s">
        <v>91</v>
      </c>
      <c r="W23" s="28">
        <v>0</v>
      </c>
      <c r="X23" s="38">
        <f t="shared" si="9"/>
        <v>0</v>
      </c>
      <c r="Y23" s="39">
        <f t="shared" si="10"/>
        <v>0</v>
      </c>
      <c r="Z23" s="28">
        <v>0</v>
      </c>
      <c r="AA23" s="28" t="s">
        <v>34</v>
      </c>
      <c r="AB23" s="40">
        <f t="shared" si="11"/>
        <v>-0.69</v>
      </c>
      <c r="AC23" s="41">
        <v>0.14667195833333335</v>
      </c>
      <c r="AD23" s="39">
        <f t="shared" si="12"/>
        <v>-1.61925842</v>
      </c>
      <c r="AE23" s="39">
        <v>-5.42</v>
      </c>
      <c r="AF23" s="39">
        <v>-6.6966800000000006</v>
      </c>
      <c r="AG23" s="39">
        <v>0</v>
      </c>
    </row>
    <row r="24" spans="1:33" ht="15.75" customHeight="1" x14ac:dyDescent="0.2">
      <c r="A24" s="28" t="s">
        <v>64</v>
      </c>
      <c r="B24" s="28" t="s">
        <v>92</v>
      </c>
      <c r="C24" s="15">
        <f t="shared" si="4"/>
        <v>20.27</v>
      </c>
      <c r="D24" s="29">
        <v>3</v>
      </c>
      <c r="E24" s="29">
        <v>1</v>
      </c>
      <c r="F24" s="32">
        <v>60.81</v>
      </c>
      <c r="G24" s="32">
        <v>-0.16</v>
      </c>
      <c r="H24" s="31">
        <f t="shared" si="1"/>
        <v>2.631146193060352E-3</v>
      </c>
      <c r="I24" s="31">
        <f t="shared" si="2"/>
        <v>0.23961911022035851</v>
      </c>
      <c r="J24" s="32">
        <f t="shared" si="30"/>
        <v>14.571238092500002</v>
      </c>
      <c r="K24" s="32">
        <f t="shared" si="3"/>
        <v>4.8570793641666672</v>
      </c>
      <c r="L24" s="29">
        <v>14</v>
      </c>
      <c r="M24" s="33">
        <f t="shared" si="6"/>
        <v>0.21428571428571427</v>
      </c>
      <c r="N24" s="29">
        <v>113</v>
      </c>
      <c r="O24" s="34">
        <f t="shared" ref="O24:P24" si="33">D24/7</f>
        <v>0.42857142857142855</v>
      </c>
      <c r="P24" s="34">
        <f t="shared" si="33"/>
        <v>0.14285714285714285</v>
      </c>
      <c r="Q24" s="29">
        <f t="shared" si="8"/>
        <v>197</v>
      </c>
      <c r="R24" s="29"/>
      <c r="S24" s="35">
        <v>0.80239520958083799</v>
      </c>
      <c r="T24" s="28">
        <v>950</v>
      </c>
      <c r="U24" s="36" t="s">
        <v>33</v>
      </c>
      <c r="V24" s="37" t="s">
        <v>91</v>
      </c>
      <c r="W24" s="28">
        <v>0</v>
      </c>
      <c r="X24" s="38">
        <f t="shared" si="9"/>
        <v>0</v>
      </c>
      <c r="Y24" s="39">
        <f t="shared" si="10"/>
        <v>0</v>
      </c>
      <c r="Z24" s="28">
        <v>0</v>
      </c>
      <c r="AA24" s="28" t="s">
        <v>34</v>
      </c>
      <c r="AB24" s="40">
        <f t="shared" si="11"/>
        <v>-0.69</v>
      </c>
      <c r="AC24" s="41">
        <v>0.14667195833333335</v>
      </c>
      <c r="AD24" s="39">
        <f t="shared" si="12"/>
        <v>-0.60722190750000005</v>
      </c>
      <c r="AE24" s="39">
        <v>-5.42</v>
      </c>
      <c r="AF24" s="39">
        <v>-6.6966800000000006</v>
      </c>
      <c r="AG24" s="39">
        <v>0</v>
      </c>
    </row>
    <row r="25" spans="1:33" ht="15.75" customHeight="1" x14ac:dyDescent="0.2">
      <c r="A25" s="28" t="s">
        <v>65</v>
      </c>
      <c r="B25" s="14" t="s">
        <v>93</v>
      </c>
      <c r="C25" s="15">
        <f t="shared" si="4"/>
        <v>19.989999999999998</v>
      </c>
      <c r="D25" s="29">
        <v>3</v>
      </c>
      <c r="E25" s="29">
        <v>6</v>
      </c>
      <c r="F25" s="32">
        <v>59.97</v>
      </c>
      <c r="G25" s="32">
        <v>-0.16</v>
      </c>
      <c r="H25" s="31">
        <f t="shared" si="1"/>
        <v>2.6680006670001667E-3</v>
      </c>
      <c r="I25" s="31">
        <f t="shared" si="2"/>
        <v>0.23090341991829255</v>
      </c>
      <c r="J25" s="32">
        <f t="shared" si="30"/>
        <v>13.847278092500003</v>
      </c>
      <c r="K25" s="32">
        <f t="shared" si="3"/>
        <v>4.6157593641666681</v>
      </c>
      <c r="L25" s="29">
        <v>30</v>
      </c>
      <c r="M25" s="33">
        <f t="shared" si="6"/>
        <v>0.1</v>
      </c>
      <c r="N25" s="29">
        <v>105</v>
      </c>
      <c r="O25" s="34">
        <f t="shared" ref="O25:P25" si="34">D25/7</f>
        <v>0.42857142857142855</v>
      </c>
      <c r="P25" s="34">
        <f t="shared" si="34"/>
        <v>0.8571428571428571</v>
      </c>
      <c r="Q25" s="29">
        <f t="shared" si="8"/>
        <v>81</v>
      </c>
      <c r="R25" s="29"/>
      <c r="S25" s="35">
        <v>0.9358974358974359</v>
      </c>
      <c r="T25" s="28">
        <v>950</v>
      </c>
      <c r="U25" s="36" t="s">
        <v>33</v>
      </c>
      <c r="V25" s="37" t="s">
        <v>94</v>
      </c>
      <c r="W25" s="14">
        <v>0</v>
      </c>
      <c r="X25" s="38">
        <f t="shared" si="9"/>
        <v>0</v>
      </c>
      <c r="Y25" s="39">
        <f t="shared" si="10"/>
        <v>0</v>
      </c>
      <c r="Z25" s="14">
        <v>0</v>
      </c>
      <c r="AA25" s="28" t="s">
        <v>34</v>
      </c>
      <c r="AB25" s="40">
        <f t="shared" si="11"/>
        <v>-0.69</v>
      </c>
      <c r="AC25" s="41">
        <v>0.14667195833333335</v>
      </c>
      <c r="AD25" s="39">
        <f t="shared" si="12"/>
        <v>-0.60722190750000005</v>
      </c>
      <c r="AE25" s="39">
        <v>-5.42</v>
      </c>
      <c r="AF25" s="39">
        <v>-6.7</v>
      </c>
      <c r="AG25" s="39">
        <v>0</v>
      </c>
    </row>
    <row r="26" spans="1:33" ht="15.75" customHeight="1" x14ac:dyDescent="0.2">
      <c r="A26" s="14" t="s">
        <v>67</v>
      </c>
      <c r="B26" s="14" t="s">
        <v>95</v>
      </c>
      <c r="C26" s="15">
        <f t="shared" si="4"/>
        <v>17.989999999999998</v>
      </c>
      <c r="D26" s="16">
        <v>12</v>
      </c>
      <c r="E26" s="16">
        <v>5</v>
      </c>
      <c r="F26" s="17">
        <v>215.88</v>
      </c>
      <c r="G26" s="17">
        <v>-0.22</v>
      </c>
      <c r="H26" s="31">
        <f t="shared" si="1"/>
        <v>1.0190846766722254E-3</v>
      </c>
      <c r="I26" s="31">
        <f t="shared" si="2"/>
        <v>0.18964309973133217</v>
      </c>
      <c r="J26" s="32">
        <f t="shared" si="30"/>
        <v>40.940152369999986</v>
      </c>
      <c r="K26" s="32">
        <f t="shared" si="3"/>
        <v>3.4116793641666656</v>
      </c>
      <c r="L26" s="16">
        <v>27</v>
      </c>
      <c r="M26" s="33">
        <f t="shared" si="6"/>
        <v>0.44444444444444442</v>
      </c>
      <c r="N26" s="16">
        <v>93</v>
      </c>
      <c r="O26" s="34">
        <f t="shared" ref="O26:P26" si="35">D26/7</f>
        <v>1.7142857142857142</v>
      </c>
      <c r="P26" s="34">
        <f t="shared" si="35"/>
        <v>0.7142857142857143</v>
      </c>
      <c r="Q26" s="29">
        <f t="shared" si="8"/>
        <v>38</v>
      </c>
      <c r="R26" s="29"/>
      <c r="S26" s="21">
        <v>1.1245551601423489</v>
      </c>
      <c r="T26" s="28">
        <v>950</v>
      </c>
      <c r="U26" s="36">
        <v>150</v>
      </c>
      <c r="V26" s="37" t="s">
        <v>96</v>
      </c>
      <c r="W26" s="14">
        <v>1</v>
      </c>
      <c r="X26" s="38">
        <f t="shared" si="9"/>
        <v>8.3333333333333329E-2</v>
      </c>
      <c r="Y26" s="39">
        <f t="shared" si="10"/>
        <v>0.22</v>
      </c>
      <c r="Z26" s="14">
        <v>0</v>
      </c>
      <c r="AA26" s="28" t="s">
        <v>34</v>
      </c>
      <c r="AB26" s="40">
        <f t="shared" si="11"/>
        <v>-0.69</v>
      </c>
      <c r="AC26" s="41">
        <v>0.14667195833333335</v>
      </c>
      <c r="AD26" s="39">
        <f t="shared" si="12"/>
        <v>-2.4288876300000002</v>
      </c>
      <c r="AE26" s="25">
        <v>-4.95</v>
      </c>
      <c r="AF26" s="25">
        <v>-6.7090800000000002</v>
      </c>
      <c r="AG26" s="25">
        <v>0</v>
      </c>
    </row>
    <row r="27" spans="1:33" ht="15.75" customHeight="1" x14ac:dyDescent="0.2">
      <c r="A27" s="14" t="s">
        <v>69</v>
      </c>
      <c r="B27" s="14" t="s">
        <v>97</v>
      </c>
      <c r="C27" s="15">
        <f t="shared" si="4"/>
        <v>17.990000000000002</v>
      </c>
      <c r="D27" s="16">
        <v>14</v>
      </c>
      <c r="E27" s="16">
        <v>2</v>
      </c>
      <c r="F27" s="17">
        <v>251.86</v>
      </c>
      <c r="G27" s="17">
        <v>0</v>
      </c>
      <c r="H27" s="31">
        <f t="shared" si="1"/>
        <v>0</v>
      </c>
      <c r="I27" s="31">
        <f t="shared" si="2"/>
        <v>0.19066218440800453</v>
      </c>
      <c r="J27" s="32">
        <f t="shared" si="30"/>
        <v>48.020177765000021</v>
      </c>
      <c r="K27" s="32">
        <f t="shared" si="3"/>
        <v>3.4300126975000014</v>
      </c>
      <c r="L27" s="16">
        <v>30</v>
      </c>
      <c r="M27" s="33">
        <f t="shared" si="6"/>
        <v>0.46666666666666667</v>
      </c>
      <c r="N27" s="16">
        <v>75</v>
      </c>
      <c r="O27" s="34">
        <f t="shared" ref="O27:P27" si="36">D27/7</f>
        <v>2</v>
      </c>
      <c r="P27" s="34">
        <f t="shared" si="36"/>
        <v>0.2857142857142857</v>
      </c>
      <c r="Q27" s="29">
        <f t="shared" si="8"/>
        <v>32</v>
      </c>
      <c r="R27" s="29"/>
      <c r="S27" s="21">
        <v>1.517786561264822</v>
      </c>
      <c r="T27" s="28">
        <v>950</v>
      </c>
      <c r="U27" s="36">
        <v>150</v>
      </c>
      <c r="V27" s="37" t="s">
        <v>98</v>
      </c>
      <c r="W27" s="14">
        <v>0</v>
      </c>
      <c r="X27" s="38">
        <f t="shared" si="9"/>
        <v>0</v>
      </c>
      <c r="Y27" s="39">
        <f t="shared" si="10"/>
        <v>0</v>
      </c>
      <c r="Z27" s="14">
        <v>0</v>
      </c>
      <c r="AA27" s="28" t="s">
        <v>34</v>
      </c>
      <c r="AB27" s="40">
        <f t="shared" si="11"/>
        <v>-0.69</v>
      </c>
      <c r="AC27" s="41">
        <v>0.14667195833333335</v>
      </c>
      <c r="AD27" s="39">
        <f t="shared" si="12"/>
        <v>-2.8337022350000001</v>
      </c>
      <c r="AE27" s="25">
        <v>-4.95</v>
      </c>
      <c r="AF27" s="25">
        <v>-6.7090800000000002</v>
      </c>
      <c r="AG27" s="25">
        <v>0</v>
      </c>
    </row>
    <row r="28" spans="1:33" ht="15.75" customHeight="1" x14ac:dyDescent="0.2">
      <c r="A28" s="14" t="s">
        <v>71</v>
      </c>
      <c r="B28" s="14" t="s">
        <v>47</v>
      </c>
      <c r="C28" s="15">
        <f t="shared" si="4"/>
        <v>18.690000000000001</v>
      </c>
      <c r="D28" s="16">
        <v>10</v>
      </c>
      <c r="E28" s="16">
        <v>8</v>
      </c>
      <c r="F28" s="17">
        <v>186.9</v>
      </c>
      <c r="G28" s="17">
        <v>-0.17</v>
      </c>
      <c r="H28" s="31">
        <f t="shared" si="1"/>
        <v>9.0957731407169612E-4</v>
      </c>
      <c r="I28" s="31">
        <f t="shared" si="2"/>
        <v>0.21444690730337088</v>
      </c>
      <c r="J28" s="32">
        <f t="shared" si="30"/>
        <v>40.08012697500002</v>
      </c>
      <c r="K28" s="32">
        <f t="shared" si="3"/>
        <v>4.0080126975000017</v>
      </c>
      <c r="L28" s="16">
        <v>18</v>
      </c>
      <c r="M28" s="33">
        <f t="shared" si="6"/>
        <v>0.55555555555555558</v>
      </c>
      <c r="N28" s="16">
        <v>55</v>
      </c>
      <c r="O28" s="34">
        <f t="shared" ref="O28:P28" si="37">D28/7</f>
        <v>1.4285714285714286</v>
      </c>
      <c r="P28" s="34">
        <f t="shared" si="37"/>
        <v>1.1428571428571428</v>
      </c>
      <c r="Q28" s="29">
        <f t="shared" si="8"/>
        <v>21</v>
      </c>
      <c r="R28" s="29"/>
      <c r="S28" s="21">
        <v>1.2607449856733519</v>
      </c>
      <c r="T28" s="28">
        <v>950</v>
      </c>
      <c r="U28" s="36">
        <v>150</v>
      </c>
      <c r="V28" s="37" t="s">
        <v>98</v>
      </c>
      <c r="W28" s="14">
        <v>0</v>
      </c>
      <c r="X28" s="38">
        <f t="shared" si="9"/>
        <v>0</v>
      </c>
      <c r="Y28" s="39">
        <f t="shared" si="10"/>
        <v>0</v>
      </c>
      <c r="Z28" s="14">
        <v>0</v>
      </c>
      <c r="AA28" s="28" t="s">
        <v>34</v>
      </c>
      <c r="AB28" s="40">
        <f t="shared" si="11"/>
        <v>-0.69</v>
      </c>
      <c r="AC28" s="41">
        <v>0.14667195833333335</v>
      </c>
      <c r="AD28" s="39">
        <f t="shared" si="12"/>
        <v>-2.0240730249999999</v>
      </c>
      <c r="AE28" s="25">
        <v>-4.95</v>
      </c>
      <c r="AF28" s="25">
        <v>-6.7090800000000002</v>
      </c>
      <c r="AG28" s="25">
        <v>0</v>
      </c>
    </row>
    <row r="29" spans="1:33" ht="15.75" customHeight="1" x14ac:dyDescent="0.2">
      <c r="A29" s="28" t="s">
        <v>72</v>
      </c>
      <c r="B29" s="28" t="s">
        <v>99</v>
      </c>
      <c r="C29" s="15">
        <f t="shared" si="4"/>
        <v>18.989999999999998</v>
      </c>
      <c r="D29" s="29">
        <v>2</v>
      </c>
      <c r="E29" s="29">
        <v>6</v>
      </c>
      <c r="F29" s="32">
        <v>37.979999999999997</v>
      </c>
      <c r="G29" s="32">
        <v>-0.23</v>
      </c>
      <c r="H29" s="31">
        <f t="shared" si="1"/>
        <v>6.0558188520273837E-3</v>
      </c>
      <c r="I29" s="31">
        <f t="shared" si="2"/>
        <v>0.17653387345313312</v>
      </c>
      <c r="J29" s="32">
        <f t="shared" si="30"/>
        <v>6.7047565137499952</v>
      </c>
      <c r="K29" s="32">
        <f t="shared" si="3"/>
        <v>3.3523782568749976</v>
      </c>
      <c r="L29" s="29">
        <v>25</v>
      </c>
      <c r="M29" s="33">
        <f t="shared" si="6"/>
        <v>0.08</v>
      </c>
      <c r="N29" s="16">
        <v>48</v>
      </c>
      <c r="O29" s="34">
        <f t="shared" ref="O29:P29" si="38">D29/7</f>
        <v>0.2857142857142857</v>
      </c>
      <c r="P29" s="34">
        <f t="shared" si="38"/>
        <v>0.8571428571428571</v>
      </c>
      <c r="Q29" s="29">
        <f t="shared" si="8"/>
        <v>42</v>
      </c>
      <c r="R29" s="29"/>
      <c r="S29" s="21">
        <v>1.263157894736842</v>
      </c>
      <c r="T29" s="28">
        <v>950</v>
      </c>
      <c r="U29" s="36">
        <v>150</v>
      </c>
      <c r="V29" s="37" t="s">
        <v>100</v>
      </c>
      <c r="W29" s="14">
        <v>0</v>
      </c>
      <c r="X29" s="38">
        <f t="shared" si="9"/>
        <v>0</v>
      </c>
      <c r="Y29" s="39">
        <f t="shared" si="10"/>
        <v>0</v>
      </c>
      <c r="Z29" s="14">
        <v>0</v>
      </c>
      <c r="AA29" s="28" t="s">
        <v>34</v>
      </c>
      <c r="AB29" s="40">
        <f t="shared" si="11"/>
        <v>-0.69</v>
      </c>
      <c r="AC29" s="41">
        <v>0.14667195833333335</v>
      </c>
      <c r="AD29" s="39">
        <f t="shared" si="12"/>
        <v>-0.40481460499999999</v>
      </c>
      <c r="AE29" s="39">
        <v>-4.95</v>
      </c>
      <c r="AF29" s="25">
        <v>-7.5217144406249998</v>
      </c>
      <c r="AG29" s="39">
        <v>0</v>
      </c>
    </row>
    <row r="30" spans="1:33" ht="15.75" customHeight="1" x14ac:dyDescent="0.2">
      <c r="A30" s="14" t="s">
        <v>74</v>
      </c>
      <c r="B30" s="14" t="s">
        <v>101</v>
      </c>
      <c r="C30" s="15">
        <f t="shared" si="4"/>
        <v>18.989999999999998</v>
      </c>
      <c r="D30" s="16">
        <v>2</v>
      </c>
      <c r="E30" s="16">
        <v>2</v>
      </c>
      <c r="F30" s="17">
        <v>37.979999999999997</v>
      </c>
      <c r="G30" s="17">
        <v>-0.08</v>
      </c>
      <c r="H30" s="31">
        <f t="shared" si="1"/>
        <v>2.1063717746182204E-3</v>
      </c>
      <c r="I30" s="31">
        <f t="shared" si="2"/>
        <v>0.19706871130700365</v>
      </c>
      <c r="J30" s="32">
        <f t="shared" si="30"/>
        <v>7.4846696554399976</v>
      </c>
      <c r="K30" s="32">
        <f t="shared" si="3"/>
        <v>3.7423348277199988</v>
      </c>
      <c r="L30" s="16">
        <v>16</v>
      </c>
      <c r="M30" s="33">
        <f t="shared" si="6"/>
        <v>0.125</v>
      </c>
      <c r="N30" s="16">
        <v>43</v>
      </c>
      <c r="O30" s="34">
        <f t="shared" ref="O30:P30" si="39">D30/7</f>
        <v>0.2857142857142857</v>
      </c>
      <c r="P30" s="34">
        <f t="shared" si="39"/>
        <v>0.2857142857142857</v>
      </c>
      <c r="Q30" s="29">
        <f t="shared" si="8"/>
        <v>75</v>
      </c>
      <c r="R30" s="29"/>
      <c r="S30" s="21">
        <v>1.29903536977492</v>
      </c>
      <c r="T30" s="28">
        <v>950</v>
      </c>
      <c r="U30" s="36">
        <v>150</v>
      </c>
      <c r="V30" s="37" t="s">
        <v>100</v>
      </c>
      <c r="W30" s="14">
        <v>0</v>
      </c>
      <c r="X30" s="38">
        <f t="shared" si="9"/>
        <v>0</v>
      </c>
      <c r="Y30" s="39">
        <f t="shared" si="10"/>
        <v>0</v>
      </c>
      <c r="Z30" s="14">
        <v>0</v>
      </c>
      <c r="AA30" s="28" t="s">
        <v>34</v>
      </c>
      <c r="AB30" s="40">
        <f t="shared" si="11"/>
        <v>-0.69</v>
      </c>
      <c r="AC30" s="41">
        <v>0.14667195833333335</v>
      </c>
      <c r="AD30" s="39">
        <f t="shared" si="12"/>
        <v>-0.40481460499999999</v>
      </c>
      <c r="AE30" s="25">
        <v>-4.95</v>
      </c>
      <c r="AF30" s="25">
        <v>-7.2067578697799997</v>
      </c>
      <c r="AG30" s="25">
        <v>0</v>
      </c>
    </row>
    <row r="31" spans="1:33" ht="15.75" customHeight="1" x14ac:dyDescent="0.2">
      <c r="A31" s="14" t="s">
        <v>75</v>
      </c>
      <c r="B31" s="48" t="s">
        <v>102</v>
      </c>
      <c r="C31" s="15">
        <f t="shared" si="4"/>
        <v>18.323333333333331</v>
      </c>
      <c r="D31" s="16">
        <v>6</v>
      </c>
      <c r="E31" s="16">
        <v>4</v>
      </c>
      <c r="F31" s="17">
        <v>109.93999999999998</v>
      </c>
      <c r="G31" s="42">
        <v>-0.08</v>
      </c>
      <c r="H31" s="31">
        <f t="shared" si="1"/>
        <v>7.2766963798435525E-4</v>
      </c>
      <c r="I31" s="31">
        <f t="shared" si="2"/>
        <v>0.17476813685937773</v>
      </c>
      <c r="J31" s="32">
        <f t="shared" si="30"/>
        <v>19.214008966319984</v>
      </c>
      <c r="K31" s="32">
        <f t="shared" si="3"/>
        <v>3.2023348277199974</v>
      </c>
      <c r="L31" s="16">
        <v>25</v>
      </c>
      <c r="M31" s="33">
        <f t="shared" si="6"/>
        <v>0.24</v>
      </c>
      <c r="N31" s="16">
        <v>35</v>
      </c>
      <c r="O31" s="34">
        <f t="shared" ref="O31:P32" si="40">D31/7</f>
        <v>0.8571428571428571</v>
      </c>
      <c r="P31" s="34">
        <f t="shared" si="40"/>
        <v>0.5714285714285714</v>
      </c>
      <c r="Q31" s="29">
        <f t="shared" si="8"/>
        <v>24</v>
      </c>
      <c r="R31" s="29"/>
      <c r="S31" s="21">
        <v>1.6216216216216199</v>
      </c>
      <c r="T31" s="14">
        <v>400</v>
      </c>
      <c r="U31" s="22" t="s">
        <v>33</v>
      </c>
      <c r="V31" s="1" t="s">
        <v>959</v>
      </c>
      <c r="W31" s="14">
        <v>0</v>
      </c>
      <c r="X31" s="38">
        <f t="shared" si="9"/>
        <v>0</v>
      </c>
      <c r="Y31" s="39">
        <f t="shared" si="10"/>
        <v>0</v>
      </c>
      <c r="Z31" s="14">
        <v>0</v>
      </c>
      <c r="AA31" s="14" t="s">
        <v>34</v>
      </c>
      <c r="AB31" s="40">
        <f t="shared" si="11"/>
        <v>-0.69</v>
      </c>
      <c r="AC31" s="27">
        <v>0.14667195833333335</v>
      </c>
      <c r="AD31" s="39">
        <f t="shared" si="12"/>
        <v>-1.2144438150000001</v>
      </c>
      <c r="AE31" s="43">
        <v>-4.95</v>
      </c>
      <c r="AF31" s="43">
        <v>-7.2067578697799997</v>
      </c>
      <c r="AG31" s="25">
        <v>0</v>
      </c>
    </row>
    <row r="32" spans="1:33" s="51" customFormat="1" ht="15.75" customHeight="1" x14ac:dyDescent="0.2">
      <c r="A32" s="51" t="s">
        <v>934</v>
      </c>
      <c r="C32" s="15">
        <f t="shared" si="4"/>
        <v>17.989999999999998</v>
      </c>
      <c r="D32" s="52">
        <v>5</v>
      </c>
      <c r="E32" s="52">
        <v>8</v>
      </c>
      <c r="F32" s="53">
        <v>89.949999999999989</v>
      </c>
      <c r="G32" s="53">
        <v>-0.08</v>
      </c>
      <c r="H32" s="31">
        <f t="shared" si="1"/>
        <v>8.8938299055030582E-4</v>
      </c>
      <c r="I32" s="31">
        <f t="shared" si="2"/>
        <v>0.16210866190772635</v>
      </c>
      <c r="J32" s="32">
        <f t="shared" si="30"/>
        <v>14.581674138599983</v>
      </c>
      <c r="K32" s="32">
        <f t="shared" si="3"/>
        <v>2.9163348277199965</v>
      </c>
      <c r="L32" s="52">
        <v>18</v>
      </c>
      <c r="M32" s="33">
        <f t="shared" si="6"/>
        <v>0.27777777777777779</v>
      </c>
      <c r="N32" s="52">
        <v>22</v>
      </c>
      <c r="O32" s="34">
        <f t="shared" si="40"/>
        <v>0.7142857142857143</v>
      </c>
      <c r="P32" s="34">
        <f t="shared" si="40"/>
        <v>1.1428571428571428</v>
      </c>
      <c r="Q32" s="29">
        <f t="shared" si="8"/>
        <v>11</v>
      </c>
      <c r="R32" s="29" t="str">
        <f ca="1">IFERROR(VLOOKUP($B$2,IMPORTRANGE("https://docs.google.com/spreadsheets/d/1KiWZV1ko8G7lnRucBRBd29jj3Be6ltMfljMDqzOkQmI/edit#gid=1381463014","Lookup!A:F"),6,FALSE),"")</f>
        <v/>
      </c>
      <c r="S32" s="54">
        <v>1.372434017595308</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0.14667195833333335</v>
      </c>
      <c r="AD32" s="39">
        <f t="shared" si="12"/>
        <v>-1.0120365124999999</v>
      </c>
      <c r="AE32" s="58">
        <v>-4.95</v>
      </c>
      <c r="AF32" s="58">
        <v>-7.2067578697799997</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C200" s="45"/>
      <c r="D200" s="45"/>
      <c r="E200" s="45"/>
      <c r="F200" s="45"/>
      <c r="G200" s="45"/>
      <c r="H200" s="45"/>
      <c r="I200" s="45"/>
      <c r="J200" s="45"/>
      <c r="K200" s="45"/>
      <c r="L200" s="45"/>
      <c r="M200" s="45"/>
      <c r="N200" s="45"/>
      <c r="O200" s="45"/>
      <c r="P200" s="45"/>
      <c r="Q200" s="45"/>
      <c r="R200" s="45"/>
      <c r="S200" s="21"/>
    </row>
    <row r="201" spans="1:33" ht="15.75" customHeight="1" x14ac:dyDescent="0.2">
      <c r="C201" s="45"/>
      <c r="D201" s="45"/>
      <c r="E201" s="45"/>
      <c r="F201" s="45"/>
      <c r="G201" s="45"/>
      <c r="H201" s="45"/>
      <c r="I201" s="45"/>
      <c r="J201" s="45"/>
      <c r="K201" s="45"/>
      <c r="L201" s="45"/>
      <c r="M201" s="45"/>
      <c r="N201" s="45"/>
      <c r="O201" s="45"/>
      <c r="P201" s="45"/>
      <c r="Q201" s="45"/>
      <c r="R201" s="45"/>
      <c r="S201" s="21"/>
    </row>
    <row r="202" spans="1:33" ht="15.75" customHeight="1" x14ac:dyDescent="0.2">
      <c r="C202" s="45"/>
      <c r="D202" s="45"/>
      <c r="E202" s="45"/>
      <c r="F202" s="45"/>
      <c r="G202" s="45"/>
      <c r="H202" s="45"/>
      <c r="I202" s="45"/>
      <c r="J202" s="45"/>
      <c r="K202" s="45"/>
      <c r="L202" s="45"/>
      <c r="M202" s="45"/>
      <c r="N202" s="45"/>
      <c r="O202" s="45"/>
      <c r="P202" s="45"/>
      <c r="Q202" s="45"/>
      <c r="R202" s="45"/>
      <c r="S202" s="21"/>
    </row>
    <row r="203" spans="1:33" ht="15.75" customHeight="1" x14ac:dyDescent="0.2">
      <c r="C203" s="45"/>
      <c r="D203" s="45"/>
      <c r="E203" s="45"/>
      <c r="F203" s="45"/>
      <c r="G203" s="45"/>
      <c r="H203" s="45"/>
      <c r="I203" s="45"/>
      <c r="J203" s="45"/>
      <c r="K203" s="45"/>
      <c r="L203" s="45"/>
      <c r="M203" s="45"/>
      <c r="N203" s="45"/>
      <c r="O203" s="45"/>
      <c r="P203" s="45"/>
      <c r="Q203" s="45"/>
      <c r="R203" s="45"/>
      <c r="S203" s="21"/>
    </row>
    <row r="204" spans="1:33" ht="15.75" customHeight="1" x14ac:dyDescent="0.2">
      <c r="C204" s="45"/>
      <c r="D204" s="45"/>
      <c r="E204" s="45"/>
      <c r="F204" s="45"/>
      <c r="G204" s="45"/>
      <c r="H204" s="45"/>
      <c r="I204" s="45"/>
      <c r="J204" s="45"/>
      <c r="K204" s="45"/>
      <c r="L204" s="45"/>
      <c r="M204" s="45"/>
      <c r="N204" s="45"/>
      <c r="O204" s="45"/>
      <c r="P204" s="45"/>
      <c r="Q204" s="45"/>
      <c r="R204" s="45"/>
      <c r="S204" s="21"/>
    </row>
    <row r="205" spans="1:33" ht="15.75" customHeight="1" x14ac:dyDescent="0.2">
      <c r="C205" s="45"/>
      <c r="D205" s="45"/>
      <c r="E205" s="45"/>
      <c r="F205" s="45"/>
      <c r="G205" s="45"/>
      <c r="H205" s="45"/>
      <c r="I205" s="45"/>
      <c r="J205" s="45"/>
      <c r="K205" s="45"/>
      <c r="L205" s="45"/>
      <c r="M205" s="45"/>
      <c r="N205" s="45"/>
      <c r="O205" s="45"/>
      <c r="P205" s="45"/>
      <c r="Q205" s="45"/>
      <c r="R205" s="45"/>
      <c r="S205" s="21"/>
    </row>
    <row r="206" spans="1:33" ht="15.75" customHeight="1" x14ac:dyDescent="0.2">
      <c r="C206" s="45"/>
      <c r="D206" s="45"/>
      <c r="E206" s="45"/>
      <c r="F206" s="45"/>
      <c r="G206" s="45"/>
      <c r="H206" s="45"/>
      <c r="I206" s="45"/>
      <c r="J206" s="45"/>
      <c r="K206" s="45"/>
      <c r="L206" s="45"/>
      <c r="M206" s="45"/>
      <c r="N206" s="45"/>
      <c r="O206" s="45"/>
      <c r="P206" s="45"/>
      <c r="Q206" s="45"/>
      <c r="R206" s="45"/>
      <c r="S206" s="21"/>
    </row>
    <row r="207" spans="1:33" ht="15.75" customHeight="1" x14ac:dyDescent="0.2">
      <c r="C207" s="45"/>
      <c r="D207" s="45"/>
      <c r="E207" s="45"/>
      <c r="F207" s="45"/>
      <c r="G207" s="45"/>
      <c r="H207" s="45"/>
      <c r="I207" s="45"/>
      <c r="J207" s="45"/>
      <c r="K207" s="45"/>
      <c r="L207" s="45"/>
      <c r="M207" s="45"/>
      <c r="N207" s="45"/>
      <c r="O207" s="45"/>
      <c r="P207" s="45"/>
      <c r="Q207" s="45"/>
      <c r="R207" s="45"/>
      <c r="S207" s="21"/>
    </row>
    <row r="208" spans="1:33"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8" customWidth="1"/>
    <col min="22" max="22" width="62"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Prong Dryer Cord - 4 Ft Electric Dryer Power Plug, 30 Amp, 10-30R")</f>
        <v>3 Prong Dryer Cord - 4 Ft Electric Dryer Power Plug, 30 Amp, 10-30R</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Info!B1:BJ5000""),2,FALSE),"""")"),"B089DP9PY7")</f>
        <v>B089DP9PY7</v>
      </c>
      <c r="B2" s="3" t="s">
        <v>103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33" customHeight="1" x14ac:dyDescent="0.2">
      <c r="A3" s="76" t="s">
        <v>30</v>
      </c>
      <c r="B3" s="77"/>
      <c r="C3" s="47">
        <f>((AE32+AF32)/0.85)*-1</f>
        <v>10.886416466823531</v>
      </c>
      <c r="D3" s="5">
        <f>SUM(D4:D99765)</f>
        <v>72</v>
      </c>
      <c r="E3" s="5"/>
      <c r="F3" s="6">
        <f t="shared" ref="F3:G3" si="0">SUM(F4:F99765)</f>
        <v>997.1400000000001</v>
      </c>
      <c r="G3" s="6">
        <f t="shared" si="0"/>
        <v>0</v>
      </c>
      <c r="H3" s="7">
        <f t="shared" ref="H3:H32" si="1">G3/F3*-1</f>
        <v>0</v>
      </c>
      <c r="I3" s="8">
        <f t="shared" ref="I3:I32" si="2">J3/F3</f>
        <v>0.22402888358604664</v>
      </c>
      <c r="J3" s="6">
        <f>SUM(J4:J99765)</f>
        <v>223.38816097899056</v>
      </c>
      <c r="K3" s="6">
        <f t="shared" ref="K3:K32" si="3">J3/D3</f>
        <v>3.1026133469304242</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-5.3458601395326379</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Info!B2:BZ7000""),37,FALSE)),"""")*-1"),-4.3034539968)</f>
        <v>-4.3034539968000001</v>
      </c>
      <c r="AG3" s="6">
        <f>SUM(AG4:AG99765)</f>
        <v>0</v>
      </c>
    </row>
    <row r="4" spans="1:33" ht="15.75" customHeight="1" x14ac:dyDescent="0.2">
      <c r="A4" s="14" t="s">
        <v>31</v>
      </c>
      <c r="B4" s="14" t="s">
        <v>82</v>
      </c>
      <c r="C4" s="15">
        <f t="shared" ref="C4:C32" si="4">IFERROR(F4/D4," - ")</f>
        <v>12.99</v>
      </c>
      <c r="D4" s="16">
        <v>5</v>
      </c>
      <c r="E4" s="16">
        <v>0</v>
      </c>
      <c r="F4" s="17">
        <v>64.95</v>
      </c>
      <c r="G4" s="17">
        <v>0</v>
      </c>
      <c r="H4" s="18">
        <f t="shared" si="1"/>
        <v>0</v>
      </c>
      <c r="I4" s="18">
        <f t="shared" si="2"/>
        <v>0.21149021683346164</v>
      </c>
      <c r="J4" s="17">
        <f t="shared" ref="J4:J32" si="5">F4*0.85+G4+AF4*D4+D4*AE4+AG4+AD4</f>
        <v>13.736289583333335</v>
      </c>
      <c r="K4" s="17">
        <f t="shared" si="3"/>
        <v>2.7472579166666669</v>
      </c>
      <c r="L4" s="16">
        <v>4</v>
      </c>
      <c r="M4" s="19">
        <f t="shared" ref="M4:M32" si="6">IFERROR(D4/L4,"-")</f>
        <v>1.25</v>
      </c>
      <c r="N4" s="16">
        <v>48</v>
      </c>
      <c r="O4" s="20">
        <f t="shared" ref="O4:P4" si="7">D4/7</f>
        <v>0.7142857142857143</v>
      </c>
      <c r="P4" s="20">
        <f t="shared" si="7"/>
        <v>0</v>
      </c>
      <c r="Q4" s="16">
        <f t="shared" ref="Q4:Q32" si="8">ROUNDDOWN(N4/(O4+P4),0)</f>
        <v>67</v>
      </c>
      <c r="R4" s="16"/>
      <c r="S4" s="21">
        <v>1.10144927536231</v>
      </c>
      <c r="T4" s="14">
        <v>0</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5.379861111111111E-2</v>
      </c>
      <c r="AD4" s="25">
        <f t="shared" ref="AD4:AD32" si="12">IFERROR(AB4*AC4*D4*2,0)</f>
        <v>-0.3712104166666666</v>
      </c>
      <c r="AE4" s="25">
        <v>-4.9000000000000004</v>
      </c>
      <c r="AF4" s="25">
        <v>-3.32</v>
      </c>
      <c r="AG4" s="25">
        <v>0</v>
      </c>
    </row>
    <row r="5" spans="1:33" ht="15.75" customHeight="1" x14ac:dyDescent="0.2">
      <c r="A5" s="28" t="s">
        <v>35</v>
      </c>
      <c r="B5" s="14" t="s">
        <v>82</v>
      </c>
      <c r="C5" s="15">
        <f t="shared" si="4"/>
        <v>13.012</v>
      </c>
      <c r="D5" s="29">
        <v>5</v>
      </c>
      <c r="E5" s="29">
        <v>0</v>
      </c>
      <c r="F5" s="30">
        <v>65.06</v>
      </c>
      <c r="G5" s="30">
        <v>0</v>
      </c>
      <c r="H5" s="31">
        <f t="shared" si="1"/>
        <v>0</v>
      </c>
      <c r="I5" s="31">
        <f t="shared" si="2"/>
        <v>0.21256316390717342</v>
      </c>
      <c r="J5" s="32">
        <f t="shared" si="5"/>
        <v>13.829359443800703</v>
      </c>
      <c r="K5" s="32">
        <f t="shared" si="3"/>
        <v>2.7658718887601408</v>
      </c>
      <c r="L5" s="29">
        <v>12</v>
      </c>
      <c r="M5" s="33">
        <f t="shared" si="6"/>
        <v>0.41666666666666669</v>
      </c>
      <c r="N5" s="29">
        <v>40</v>
      </c>
      <c r="O5" s="34">
        <f t="shared" ref="O5:P5" si="13">D5/7</f>
        <v>0.7142857142857143</v>
      </c>
      <c r="P5" s="34">
        <f t="shared" si="13"/>
        <v>0</v>
      </c>
      <c r="Q5" s="29">
        <f t="shared" si="8"/>
        <v>56</v>
      </c>
      <c r="R5" s="29"/>
      <c r="S5" s="35">
        <v>0.96885813148788902</v>
      </c>
      <c r="T5" s="28">
        <v>0</v>
      </c>
      <c r="U5" s="36" t="s">
        <v>33</v>
      </c>
      <c r="V5" s="37" t="s">
        <v>33</v>
      </c>
      <c r="W5" s="28">
        <v>0</v>
      </c>
      <c r="X5" s="38">
        <f t="shared" si="9"/>
        <v>0</v>
      </c>
      <c r="Y5" s="39">
        <f t="shared" si="10"/>
        <v>0</v>
      </c>
      <c r="Z5" s="28">
        <v>0</v>
      </c>
      <c r="AA5" s="28" t="s">
        <v>34</v>
      </c>
      <c r="AB5" s="40">
        <f t="shared" si="11"/>
        <v>-0.69</v>
      </c>
      <c r="AC5" s="41">
        <v>5.3860950173812282E-2</v>
      </c>
      <c r="AD5" s="39">
        <f t="shared" si="12"/>
        <v>-0.37164055619930469</v>
      </c>
      <c r="AE5" s="39">
        <v>-4.9000000000000004</v>
      </c>
      <c r="AF5" s="39">
        <v>-3.32</v>
      </c>
      <c r="AG5" s="39">
        <v>0</v>
      </c>
    </row>
    <row r="6" spans="1:33" ht="15.75" customHeight="1" x14ac:dyDescent="0.2">
      <c r="A6" s="28" t="s">
        <v>37</v>
      </c>
      <c r="B6" s="28" t="s">
        <v>104</v>
      </c>
      <c r="C6" s="15">
        <f t="shared" si="4"/>
        <v>13.126000000000001</v>
      </c>
      <c r="D6" s="29">
        <v>5</v>
      </c>
      <c r="E6" s="29">
        <v>0</v>
      </c>
      <c r="F6" s="30">
        <v>65.63000000000001</v>
      </c>
      <c r="G6" s="30">
        <v>0</v>
      </c>
      <c r="H6" s="31">
        <f t="shared" si="1"/>
        <v>0</v>
      </c>
      <c r="I6" s="31">
        <f t="shared" si="2"/>
        <v>0.21810589034486264</v>
      </c>
      <c r="J6" s="32">
        <f t="shared" si="5"/>
        <v>14.314289583333338</v>
      </c>
      <c r="K6" s="32">
        <f t="shared" si="3"/>
        <v>2.8628579166666674</v>
      </c>
      <c r="L6" s="29">
        <v>16</v>
      </c>
      <c r="M6" s="33">
        <f t="shared" si="6"/>
        <v>0.3125</v>
      </c>
      <c r="N6" s="29">
        <v>34</v>
      </c>
      <c r="O6" s="34">
        <f t="shared" ref="O6:P6" si="14">D6/7</f>
        <v>0.7142857142857143</v>
      </c>
      <c r="P6" s="34">
        <f t="shared" si="14"/>
        <v>0</v>
      </c>
      <c r="Q6" s="29">
        <f t="shared" si="8"/>
        <v>47</v>
      </c>
      <c r="R6" s="29"/>
      <c r="S6" s="35">
        <v>1.07913669064748</v>
      </c>
      <c r="T6" s="28">
        <v>0</v>
      </c>
      <c r="U6" s="36" t="s">
        <v>33</v>
      </c>
      <c r="V6" s="37" t="s">
        <v>39</v>
      </c>
      <c r="W6" s="28">
        <v>0</v>
      </c>
      <c r="X6" s="38">
        <f t="shared" si="9"/>
        <v>0</v>
      </c>
      <c r="Y6" s="39">
        <f t="shared" si="10"/>
        <v>0</v>
      </c>
      <c r="Z6" s="28">
        <v>0</v>
      </c>
      <c r="AA6" s="28" t="s">
        <v>34</v>
      </c>
      <c r="AB6" s="40">
        <f t="shared" si="11"/>
        <v>-0.69</v>
      </c>
      <c r="AC6" s="41">
        <v>5.379861111111111E-2</v>
      </c>
      <c r="AD6" s="39">
        <f t="shared" si="12"/>
        <v>-0.3712104166666666</v>
      </c>
      <c r="AE6" s="39">
        <v>-4.9000000000000004</v>
      </c>
      <c r="AF6" s="39">
        <v>-3.32</v>
      </c>
      <c r="AG6" s="39">
        <v>0</v>
      </c>
    </row>
    <row r="7" spans="1:33" ht="15.75" customHeight="1" x14ac:dyDescent="0.2">
      <c r="A7" s="28" t="s">
        <v>40</v>
      </c>
      <c r="B7" s="28" t="s">
        <v>105</v>
      </c>
      <c r="C7" s="15">
        <f t="shared" si="4"/>
        <v>12.99</v>
      </c>
      <c r="D7" s="29">
        <v>2</v>
      </c>
      <c r="E7" s="29">
        <v>0</v>
      </c>
      <c r="F7" s="30">
        <v>25.98</v>
      </c>
      <c r="G7" s="30">
        <v>0</v>
      </c>
      <c r="H7" s="31">
        <f t="shared" si="1"/>
        <v>0</v>
      </c>
      <c r="I7" s="31">
        <f t="shared" si="2"/>
        <v>0.20027054094865862</v>
      </c>
      <c r="J7" s="32">
        <f t="shared" si="5"/>
        <v>5.2030286538461512</v>
      </c>
      <c r="K7" s="32">
        <f t="shared" si="3"/>
        <v>2.6015143269230756</v>
      </c>
      <c r="L7" s="29">
        <v>8</v>
      </c>
      <c r="M7" s="33">
        <f t="shared" si="6"/>
        <v>0.25</v>
      </c>
      <c r="N7" s="29">
        <v>32</v>
      </c>
      <c r="O7" s="34">
        <f t="shared" ref="O7:P7" si="15">D7/7</f>
        <v>0.2857142857142857</v>
      </c>
      <c r="P7" s="34">
        <f t="shared" si="15"/>
        <v>0</v>
      </c>
      <c r="Q7" s="29">
        <f t="shared" si="8"/>
        <v>112</v>
      </c>
      <c r="R7" s="29"/>
      <c r="S7" s="35">
        <v>1.1206225680933799</v>
      </c>
      <c r="T7" s="28">
        <v>0</v>
      </c>
      <c r="U7" s="36" t="s">
        <v>33</v>
      </c>
      <c r="V7" s="37" t="s">
        <v>39</v>
      </c>
      <c r="W7" s="28">
        <v>0</v>
      </c>
      <c r="X7" s="38">
        <f t="shared" si="9"/>
        <v>0</v>
      </c>
      <c r="Y7" s="39">
        <f t="shared" si="10"/>
        <v>0</v>
      </c>
      <c r="Z7" s="28">
        <v>0</v>
      </c>
      <c r="AA7" s="28" t="s">
        <v>34</v>
      </c>
      <c r="AB7" s="40">
        <f t="shared" si="11"/>
        <v>-0.69</v>
      </c>
      <c r="AC7" s="41">
        <v>5.379861111111111E-2</v>
      </c>
      <c r="AD7" s="39">
        <f t="shared" si="12"/>
        <v>-0.14848416666666664</v>
      </c>
      <c r="AE7" s="39">
        <v>-4.9000000000000004</v>
      </c>
      <c r="AF7" s="39">
        <v>-3.4657435897435898</v>
      </c>
      <c r="AG7" s="39">
        <v>0</v>
      </c>
    </row>
    <row r="8" spans="1:33" ht="15.75" customHeight="1" x14ac:dyDescent="0.2">
      <c r="A8" s="28" t="s">
        <v>42</v>
      </c>
      <c r="B8" s="28" t="s">
        <v>106</v>
      </c>
      <c r="C8" s="15">
        <f t="shared" si="4"/>
        <v>12.99</v>
      </c>
      <c r="D8" s="29">
        <v>7</v>
      </c>
      <c r="E8" s="29">
        <v>0</v>
      </c>
      <c r="F8" s="30">
        <v>90.93</v>
      </c>
      <c r="G8" s="30">
        <v>0</v>
      </c>
      <c r="H8" s="31">
        <f t="shared" si="1"/>
        <v>0</v>
      </c>
      <c r="I8" s="31">
        <f t="shared" si="2"/>
        <v>0.19994287272260711</v>
      </c>
      <c r="J8" s="32">
        <f t="shared" si="5"/>
        <v>18.180805416666665</v>
      </c>
      <c r="K8" s="32">
        <f t="shared" si="3"/>
        <v>2.5972579166666665</v>
      </c>
      <c r="L8" s="29">
        <v>13</v>
      </c>
      <c r="M8" s="33">
        <f t="shared" si="6"/>
        <v>0.53846153846153844</v>
      </c>
      <c r="N8" s="29">
        <v>25</v>
      </c>
      <c r="O8" s="34">
        <f t="shared" ref="O8:P8" si="16">D8/7</f>
        <v>1</v>
      </c>
      <c r="P8" s="34">
        <f t="shared" si="16"/>
        <v>0</v>
      </c>
      <c r="Q8" s="29">
        <f t="shared" si="8"/>
        <v>25</v>
      </c>
      <c r="R8" s="29"/>
      <c r="S8" s="35">
        <v>1.15021459227467</v>
      </c>
      <c r="T8" s="28">
        <v>0</v>
      </c>
      <c r="U8" s="36" t="s">
        <v>33</v>
      </c>
      <c r="V8" s="37" t="s">
        <v>33</v>
      </c>
      <c r="W8" s="28">
        <v>0</v>
      </c>
      <c r="X8" s="38">
        <f t="shared" si="9"/>
        <v>0</v>
      </c>
      <c r="Y8" s="39">
        <f t="shared" si="10"/>
        <v>0</v>
      </c>
      <c r="Z8" s="28">
        <v>0</v>
      </c>
      <c r="AA8" s="28" t="s">
        <v>34</v>
      </c>
      <c r="AB8" s="40">
        <f t="shared" si="11"/>
        <v>-0.69</v>
      </c>
      <c r="AC8" s="41">
        <v>5.379861111111111E-2</v>
      </c>
      <c r="AD8" s="39">
        <f t="shared" si="12"/>
        <v>-0.51969458333333329</v>
      </c>
      <c r="AE8" s="39">
        <v>-4.9000000000000004</v>
      </c>
      <c r="AF8" s="39">
        <v>-3.47</v>
      </c>
      <c r="AG8" s="39">
        <v>0</v>
      </c>
    </row>
    <row r="9" spans="1:33" ht="15.75" customHeight="1" x14ac:dyDescent="0.2">
      <c r="A9" s="28" t="s">
        <v>44</v>
      </c>
      <c r="B9" s="28" t="s">
        <v>107</v>
      </c>
      <c r="C9" s="15">
        <f t="shared" si="4"/>
        <v>14.1675</v>
      </c>
      <c r="D9" s="29">
        <v>4</v>
      </c>
      <c r="E9" s="29">
        <v>0</v>
      </c>
      <c r="F9" s="30">
        <v>56.67</v>
      </c>
      <c r="G9" s="30">
        <v>0</v>
      </c>
      <c r="H9" s="31">
        <f t="shared" si="1"/>
        <v>0</v>
      </c>
      <c r="I9" s="31">
        <f t="shared" si="2"/>
        <v>0.25028244266174382</v>
      </c>
      <c r="J9" s="32">
        <f t="shared" si="5"/>
        <v>14.183506025641021</v>
      </c>
      <c r="K9" s="32">
        <f t="shared" si="3"/>
        <v>3.5458765064102553</v>
      </c>
      <c r="L9" s="29">
        <v>21</v>
      </c>
      <c r="M9" s="33">
        <f t="shared" si="6"/>
        <v>0.19047619047619047</v>
      </c>
      <c r="N9" s="29">
        <v>24</v>
      </c>
      <c r="O9" s="34">
        <f t="shared" ref="O9:P9" si="17">D9/7</f>
        <v>0.5714285714285714</v>
      </c>
      <c r="P9" s="34">
        <f t="shared" si="17"/>
        <v>0</v>
      </c>
      <c r="Q9" s="29">
        <f t="shared" si="8"/>
        <v>42</v>
      </c>
      <c r="R9" s="29"/>
      <c r="S9" s="35">
        <v>1.17209302325581</v>
      </c>
      <c r="T9" s="28">
        <v>0</v>
      </c>
      <c r="U9" s="36" t="s">
        <v>33</v>
      </c>
      <c r="V9" s="37" t="s">
        <v>33</v>
      </c>
      <c r="W9" s="28">
        <v>0</v>
      </c>
      <c r="X9" s="38">
        <f t="shared" si="9"/>
        <v>0</v>
      </c>
      <c r="Y9" s="39">
        <f t="shared" si="10"/>
        <v>0</v>
      </c>
      <c r="Z9" s="28">
        <v>0</v>
      </c>
      <c r="AA9" s="28" t="s">
        <v>34</v>
      </c>
      <c r="AB9" s="40">
        <f t="shared" si="11"/>
        <v>-0.69</v>
      </c>
      <c r="AC9" s="41">
        <v>5.379861111111111E-2</v>
      </c>
      <c r="AD9" s="39">
        <f t="shared" si="12"/>
        <v>-0.29696833333333328</v>
      </c>
      <c r="AE9" s="39">
        <v>-4.9000000000000004</v>
      </c>
      <c r="AF9" s="39">
        <v>-3.5222564102564098</v>
      </c>
      <c r="AG9" s="39">
        <v>0</v>
      </c>
    </row>
    <row r="10" spans="1:33" ht="15.75" customHeight="1" x14ac:dyDescent="0.2">
      <c r="A10" s="28" t="s">
        <v>46</v>
      </c>
      <c r="B10" s="28" t="s">
        <v>108</v>
      </c>
      <c r="C10" s="15">
        <f t="shared" si="4"/>
        <v>14.56</v>
      </c>
      <c r="D10" s="29">
        <v>1</v>
      </c>
      <c r="E10" s="29">
        <v>0</v>
      </c>
      <c r="F10" s="30">
        <v>14.56</v>
      </c>
      <c r="G10" s="30">
        <v>0</v>
      </c>
      <c r="H10" s="31">
        <f t="shared" si="1"/>
        <v>0</v>
      </c>
      <c r="I10" s="31">
        <f t="shared" si="2"/>
        <v>0.26644927928641871</v>
      </c>
      <c r="J10" s="32">
        <f t="shared" si="5"/>
        <v>3.8795015064102567</v>
      </c>
      <c r="K10" s="32">
        <f t="shared" si="3"/>
        <v>3.8795015064102567</v>
      </c>
      <c r="L10" s="29">
        <v>15</v>
      </c>
      <c r="M10" s="33">
        <f t="shared" si="6"/>
        <v>6.6666666666666666E-2</v>
      </c>
      <c r="N10" s="29">
        <v>21</v>
      </c>
      <c r="O10" s="34">
        <f t="shared" ref="O10:P10" si="18">D10/7</f>
        <v>0.14285714285714285</v>
      </c>
      <c r="P10" s="34">
        <f t="shared" si="18"/>
        <v>0</v>
      </c>
      <c r="Q10" s="29">
        <f t="shared" si="8"/>
        <v>147</v>
      </c>
      <c r="R10" s="29"/>
      <c r="S10" s="35">
        <v>1.2040816326530599</v>
      </c>
      <c r="T10" s="28">
        <v>0</v>
      </c>
      <c r="U10" s="36" t="s">
        <v>33</v>
      </c>
      <c r="V10" s="37" t="s">
        <v>33</v>
      </c>
      <c r="W10" s="28">
        <v>0</v>
      </c>
      <c r="X10" s="38">
        <f t="shared" si="9"/>
        <v>0</v>
      </c>
      <c r="Y10" s="39">
        <f t="shared" si="10"/>
        <v>0</v>
      </c>
      <c r="Z10" s="28">
        <v>0</v>
      </c>
      <c r="AA10" s="28" t="s">
        <v>34</v>
      </c>
      <c r="AB10" s="40">
        <f t="shared" si="11"/>
        <v>-0.69</v>
      </c>
      <c r="AC10" s="41">
        <v>5.379861111111111E-2</v>
      </c>
      <c r="AD10" s="39">
        <f t="shared" si="12"/>
        <v>-7.424208333333332E-2</v>
      </c>
      <c r="AE10" s="39">
        <v>-4.9000000000000004</v>
      </c>
      <c r="AF10" s="39">
        <v>-3.5222564102564098</v>
      </c>
      <c r="AG10" s="39">
        <v>0</v>
      </c>
    </row>
    <row r="11" spans="1:33" ht="15.75" customHeight="1" x14ac:dyDescent="0.2">
      <c r="A11" s="28" t="s">
        <v>48</v>
      </c>
      <c r="B11" s="28" t="s">
        <v>47</v>
      </c>
      <c r="C11" s="15">
        <f t="shared" si="4"/>
        <v>15.99</v>
      </c>
      <c r="D11" s="29">
        <v>2</v>
      </c>
      <c r="E11" s="29">
        <v>0</v>
      </c>
      <c r="F11" s="30">
        <v>31.98</v>
      </c>
      <c r="G11" s="30">
        <v>0</v>
      </c>
      <c r="H11" s="31">
        <f t="shared" si="1"/>
        <v>0</v>
      </c>
      <c r="I11" s="31">
        <f t="shared" si="2"/>
        <v>0.31863674211446252</v>
      </c>
      <c r="J11" s="32">
        <f t="shared" si="5"/>
        <v>10.190003012820512</v>
      </c>
      <c r="K11" s="32">
        <f t="shared" si="3"/>
        <v>5.0950015064102558</v>
      </c>
      <c r="L11" s="29">
        <v>7</v>
      </c>
      <c r="M11" s="33">
        <f t="shared" si="6"/>
        <v>0.2857142857142857</v>
      </c>
      <c r="N11" s="29">
        <v>20</v>
      </c>
      <c r="O11" s="34">
        <f t="shared" ref="O11:P11" si="19">D11/7</f>
        <v>0.2857142857142857</v>
      </c>
      <c r="P11" s="34">
        <f t="shared" si="19"/>
        <v>0</v>
      </c>
      <c r="Q11" s="29">
        <f t="shared" si="8"/>
        <v>70</v>
      </c>
      <c r="R11" s="29"/>
      <c r="S11" s="35">
        <v>1.14942528735632</v>
      </c>
      <c r="T11" s="28">
        <v>300</v>
      </c>
      <c r="U11" s="36" t="s">
        <v>33</v>
      </c>
      <c r="V11" s="37" t="s">
        <v>33</v>
      </c>
      <c r="W11" s="28">
        <v>0</v>
      </c>
      <c r="X11" s="38">
        <f t="shared" si="9"/>
        <v>0</v>
      </c>
      <c r="Y11" s="39">
        <f t="shared" si="10"/>
        <v>0</v>
      </c>
      <c r="Z11" s="28">
        <v>0</v>
      </c>
      <c r="AA11" s="28" t="s">
        <v>34</v>
      </c>
      <c r="AB11" s="40">
        <f t="shared" si="11"/>
        <v>-0.69</v>
      </c>
      <c r="AC11" s="41">
        <v>5.379861111111111E-2</v>
      </c>
      <c r="AD11" s="39">
        <f t="shared" si="12"/>
        <v>-0.14848416666666664</v>
      </c>
      <c r="AE11" s="39">
        <v>-4.9000000000000004</v>
      </c>
      <c r="AF11" s="39">
        <v>-3.5222564102564098</v>
      </c>
      <c r="AG11" s="39">
        <v>0</v>
      </c>
    </row>
    <row r="12" spans="1:33" ht="15.75" customHeight="1" x14ac:dyDescent="0.2">
      <c r="A12" s="28" t="s">
        <v>49</v>
      </c>
      <c r="B12" s="28" t="s">
        <v>47</v>
      </c>
      <c r="C12" s="15">
        <f t="shared" si="4"/>
        <v>15.078571428571427</v>
      </c>
      <c r="D12" s="29">
        <v>7</v>
      </c>
      <c r="E12" s="29">
        <v>0</v>
      </c>
      <c r="F12" s="30">
        <v>105.55</v>
      </c>
      <c r="G12" s="30">
        <v>0</v>
      </c>
      <c r="H12" s="31">
        <f t="shared" si="1"/>
        <v>0</v>
      </c>
      <c r="I12" s="31">
        <f t="shared" si="2"/>
        <v>0.28651833770603313</v>
      </c>
      <c r="J12" s="32">
        <f t="shared" si="5"/>
        <v>30.242010544871796</v>
      </c>
      <c r="K12" s="32">
        <f t="shared" si="3"/>
        <v>4.3202872206959713</v>
      </c>
      <c r="L12" s="29">
        <v>10</v>
      </c>
      <c r="M12" s="33">
        <f t="shared" si="6"/>
        <v>0.7</v>
      </c>
      <c r="N12" s="29">
        <v>13</v>
      </c>
      <c r="O12" s="34">
        <f t="shared" ref="O12:P12" si="20">D12/7</f>
        <v>1</v>
      </c>
      <c r="P12" s="34">
        <f t="shared" si="20"/>
        <v>0</v>
      </c>
      <c r="Q12" s="29">
        <f t="shared" si="8"/>
        <v>13</v>
      </c>
      <c r="R12" s="29"/>
      <c r="S12" s="35">
        <v>1.26708074534161</v>
      </c>
      <c r="T12" s="28">
        <v>300</v>
      </c>
      <c r="U12" s="36" t="s">
        <v>33</v>
      </c>
      <c r="V12" s="37" t="s">
        <v>33</v>
      </c>
      <c r="W12" s="28">
        <v>0</v>
      </c>
      <c r="X12" s="38">
        <f t="shared" si="9"/>
        <v>0</v>
      </c>
      <c r="Y12" s="39">
        <f t="shared" si="10"/>
        <v>0</v>
      </c>
      <c r="Z12" s="28">
        <v>0</v>
      </c>
      <c r="AA12" s="28" t="s">
        <v>34</v>
      </c>
      <c r="AB12" s="40">
        <f t="shared" si="11"/>
        <v>-0.69</v>
      </c>
      <c r="AC12" s="41">
        <v>5.379861111111111E-2</v>
      </c>
      <c r="AD12" s="39">
        <f t="shared" si="12"/>
        <v>-0.51969458333333329</v>
      </c>
      <c r="AE12" s="39">
        <v>-4.9000000000000004</v>
      </c>
      <c r="AF12" s="39">
        <v>-3.5222564102564098</v>
      </c>
      <c r="AG12" s="39">
        <v>0</v>
      </c>
    </row>
    <row r="13" spans="1:33" ht="15.75" customHeight="1" x14ac:dyDescent="0.2">
      <c r="A13" s="28" t="s">
        <v>50</v>
      </c>
      <c r="B13" s="28" t="s">
        <v>47</v>
      </c>
      <c r="C13" s="15">
        <f t="shared" si="4"/>
        <v>15.32</v>
      </c>
      <c r="D13" s="29">
        <v>3</v>
      </c>
      <c r="E13" s="29">
        <v>0</v>
      </c>
      <c r="F13" s="32">
        <v>45.96</v>
      </c>
      <c r="G13" s="30">
        <v>0</v>
      </c>
      <c r="H13" s="31">
        <f t="shared" si="1"/>
        <v>0</v>
      </c>
      <c r="I13" s="31">
        <f t="shared" si="2"/>
        <v>0.29345678307223744</v>
      </c>
      <c r="J13" s="32">
        <f t="shared" si="5"/>
        <v>13.487273750000032</v>
      </c>
      <c r="K13" s="32">
        <f t="shared" si="3"/>
        <v>4.495757916666677</v>
      </c>
      <c r="L13" s="29">
        <v>4</v>
      </c>
      <c r="M13" s="33">
        <f t="shared" si="6"/>
        <v>0.75</v>
      </c>
      <c r="N13" s="29">
        <v>9</v>
      </c>
      <c r="O13" s="34">
        <f t="shared" ref="O13:P13" si="21">D13/7</f>
        <v>0.42857142857142855</v>
      </c>
      <c r="P13" s="34">
        <f t="shared" si="21"/>
        <v>0</v>
      </c>
      <c r="Q13" s="29">
        <f t="shared" si="8"/>
        <v>21</v>
      </c>
      <c r="R13" s="29"/>
      <c r="S13" s="35">
        <v>1.3783783783783701</v>
      </c>
      <c r="T13" s="28">
        <v>300</v>
      </c>
      <c r="U13" s="36" t="s">
        <v>33</v>
      </c>
      <c r="V13" s="37" t="s">
        <v>33</v>
      </c>
      <c r="W13" s="28">
        <v>0</v>
      </c>
      <c r="X13" s="38">
        <f t="shared" si="9"/>
        <v>0</v>
      </c>
      <c r="Y13" s="39">
        <f t="shared" si="10"/>
        <v>0</v>
      </c>
      <c r="Z13" s="28">
        <v>0</v>
      </c>
      <c r="AA13" s="28" t="s">
        <v>34</v>
      </c>
      <c r="AB13" s="40">
        <f t="shared" si="11"/>
        <v>-0.69</v>
      </c>
      <c r="AC13" s="41">
        <v>5.379861111111111E-2</v>
      </c>
      <c r="AD13" s="39">
        <f t="shared" si="12"/>
        <v>-0.22272624999999996</v>
      </c>
      <c r="AE13" s="39">
        <v>-4.9000000000000004</v>
      </c>
      <c r="AF13" s="39">
        <v>-3.5519999999999898</v>
      </c>
      <c r="AG13" s="39">
        <v>0</v>
      </c>
    </row>
    <row r="14" spans="1:33" ht="15.75" customHeight="1" x14ac:dyDescent="0.2">
      <c r="A14" s="28" t="s">
        <v>51</v>
      </c>
      <c r="B14" s="28" t="s">
        <v>109</v>
      </c>
      <c r="C14" s="15">
        <f t="shared" si="4"/>
        <v>14.99</v>
      </c>
      <c r="D14" s="29">
        <v>3</v>
      </c>
      <c r="E14" s="29">
        <v>0</v>
      </c>
      <c r="F14" s="32">
        <v>44.97</v>
      </c>
      <c r="G14" s="30">
        <v>0</v>
      </c>
      <c r="H14" s="31">
        <f t="shared" si="1"/>
        <v>0</v>
      </c>
      <c r="I14" s="31">
        <f t="shared" si="2"/>
        <v>0.28120466422059215</v>
      </c>
      <c r="J14" s="32">
        <f t="shared" si="5"/>
        <v>12.645773750000028</v>
      </c>
      <c r="K14" s="32">
        <f t="shared" si="3"/>
        <v>4.2152579166666762</v>
      </c>
      <c r="L14" s="29">
        <v>3</v>
      </c>
      <c r="M14" s="33">
        <f t="shared" si="6"/>
        <v>1</v>
      </c>
      <c r="N14" s="29">
        <v>7</v>
      </c>
      <c r="O14" s="34">
        <f t="shared" ref="O14:P14" si="22">D14/7</f>
        <v>0.42857142857142855</v>
      </c>
      <c r="P14" s="34">
        <f t="shared" si="22"/>
        <v>0</v>
      </c>
      <c r="Q14" s="29">
        <f t="shared" si="8"/>
        <v>16</v>
      </c>
      <c r="R14" s="29"/>
      <c r="S14" s="35">
        <v>1.63779527559055</v>
      </c>
      <c r="T14" s="28">
        <v>300</v>
      </c>
      <c r="U14" s="36" t="s">
        <v>33</v>
      </c>
      <c r="V14" s="37" t="s">
        <v>33</v>
      </c>
      <c r="W14" s="28">
        <v>0</v>
      </c>
      <c r="X14" s="38">
        <f t="shared" si="9"/>
        <v>0</v>
      </c>
      <c r="Y14" s="39">
        <f t="shared" si="10"/>
        <v>0</v>
      </c>
      <c r="Z14" s="28">
        <v>0</v>
      </c>
      <c r="AA14" s="28" t="s">
        <v>34</v>
      </c>
      <c r="AB14" s="40">
        <f t="shared" si="11"/>
        <v>-0.69</v>
      </c>
      <c r="AC14" s="41">
        <v>5.379861111111111E-2</v>
      </c>
      <c r="AD14" s="39">
        <f t="shared" si="12"/>
        <v>-0.22272624999999996</v>
      </c>
      <c r="AE14" s="39">
        <v>-4.9000000000000004</v>
      </c>
      <c r="AF14" s="39">
        <v>-3.5519999999999898</v>
      </c>
      <c r="AG14" s="39">
        <v>0</v>
      </c>
    </row>
    <row r="15" spans="1:33" ht="15.75" customHeight="1" x14ac:dyDescent="0.2">
      <c r="A15" s="28" t="s">
        <v>53</v>
      </c>
      <c r="B15" s="28" t="s">
        <v>47</v>
      </c>
      <c r="C15" s="15">
        <f t="shared" si="4"/>
        <v>14.99</v>
      </c>
      <c r="D15" s="29">
        <v>2</v>
      </c>
      <c r="E15" s="29">
        <v>0</v>
      </c>
      <c r="F15" s="32">
        <v>29.98</v>
      </c>
      <c r="G15" s="30">
        <v>0</v>
      </c>
      <c r="H15" s="31">
        <f t="shared" si="1"/>
        <v>0</v>
      </c>
      <c r="I15" s="31">
        <f t="shared" si="2"/>
        <v>0.28120466422059215</v>
      </c>
      <c r="J15" s="32">
        <f t="shared" si="5"/>
        <v>8.4305158333333523</v>
      </c>
      <c r="K15" s="32">
        <f t="shared" si="3"/>
        <v>4.2152579166666762</v>
      </c>
      <c r="L15" s="29">
        <v>13</v>
      </c>
      <c r="M15" s="33">
        <f t="shared" si="6"/>
        <v>0.15384615384615385</v>
      </c>
      <c r="N15" s="29">
        <v>5</v>
      </c>
      <c r="O15" s="34">
        <f t="shared" ref="O15:P15" si="23">D15/7</f>
        <v>0.2857142857142857</v>
      </c>
      <c r="P15" s="34">
        <f t="shared" si="23"/>
        <v>0</v>
      </c>
      <c r="Q15" s="29">
        <f t="shared" si="8"/>
        <v>17</v>
      </c>
      <c r="R15" s="29"/>
      <c r="S15" s="35">
        <v>1.7435897435897401</v>
      </c>
      <c r="T15" s="28">
        <v>300</v>
      </c>
      <c r="U15" s="36" t="s">
        <v>33</v>
      </c>
      <c r="V15" s="37" t="s">
        <v>33</v>
      </c>
      <c r="W15" s="28">
        <v>0</v>
      </c>
      <c r="X15" s="38">
        <f t="shared" si="9"/>
        <v>0</v>
      </c>
      <c r="Y15" s="39">
        <f t="shared" si="10"/>
        <v>0</v>
      </c>
      <c r="Z15" s="28">
        <v>0</v>
      </c>
      <c r="AA15" s="28" t="s">
        <v>34</v>
      </c>
      <c r="AB15" s="40">
        <f t="shared" si="11"/>
        <v>-0.69</v>
      </c>
      <c r="AC15" s="41">
        <v>5.379861111111111E-2</v>
      </c>
      <c r="AD15" s="39">
        <f t="shared" si="12"/>
        <v>-0.14848416666666664</v>
      </c>
      <c r="AE15" s="39">
        <v>-4.9000000000000004</v>
      </c>
      <c r="AF15" s="39">
        <v>-3.5519999999999898</v>
      </c>
      <c r="AG15" s="39">
        <v>0</v>
      </c>
    </row>
    <row r="16" spans="1:33" ht="15.75" customHeight="1" x14ac:dyDescent="0.2">
      <c r="A16" s="28" t="s">
        <v>54</v>
      </c>
      <c r="B16" s="28" t="s">
        <v>47</v>
      </c>
      <c r="C16" s="15">
        <f t="shared" si="4"/>
        <v>14.99</v>
      </c>
      <c r="D16" s="29">
        <v>5</v>
      </c>
      <c r="E16" s="29">
        <v>0</v>
      </c>
      <c r="F16" s="32">
        <v>74.95</v>
      </c>
      <c r="G16" s="30">
        <v>0</v>
      </c>
      <c r="H16" s="31">
        <f t="shared" si="1"/>
        <v>0</v>
      </c>
      <c r="I16" s="31">
        <f t="shared" si="2"/>
        <v>0.2812046642205922</v>
      </c>
      <c r="J16" s="32">
        <f t="shared" si="5"/>
        <v>21.076289583333388</v>
      </c>
      <c r="K16" s="32">
        <f t="shared" si="3"/>
        <v>4.2152579166666779</v>
      </c>
      <c r="L16" s="29">
        <v>7</v>
      </c>
      <c r="M16" s="33">
        <f t="shared" si="6"/>
        <v>0.7142857142857143</v>
      </c>
      <c r="N16" s="29">
        <v>2</v>
      </c>
      <c r="O16" s="34">
        <f t="shared" ref="O16:P16" si="24">D16/7</f>
        <v>0.7142857142857143</v>
      </c>
      <c r="P16" s="34">
        <f t="shared" si="24"/>
        <v>0</v>
      </c>
      <c r="Q16" s="29">
        <f t="shared" si="8"/>
        <v>2</v>
      </c>
      <c r="R16" s="29"/>
      <c r="S16" s="35">
        <v>1.9047619047619</v>
      </c>
      <c r="T16" s="28">
        <v>300</v>
      </c>
      <c r="U16" s="36" t="s">
        <v>33</v>
      </c>
      <c r="V16" s="37" t="s">
        <v>33</v>
      </c>
      <c r="W16" s="28">
        <v>0</v>
      </c>
      <c r="X16" s="38">
        <f t="shared" si="9"/>
        <v>0</v>
      </c>
      <c r="Y16" s="39">
        <f t="shared" si="10"/>
        <v>0</v>
      </c>
      <c r="Z16" s="28">
        <v>0</v>
      </c>
      <c r="AA16" s="28" t="s">
        <v>34</v>
      </c>
      <c r="AB16" s="40">
        <f t="shared" si="11"/>
        <v>-0.69</v>
      </c>
      <c r="AC16" s="41">
        <v>5.379861111111111E-2</v>
      </c>
      <c r="AD16" s="39">
        <f t="shared" si="12"/>
        <v>-0.3712104166666666</v>
      </c>
      <c r="AE16" s="39">
        <v>-4.9000000000000004</v>
      </c>
      <c r="AF16" s="39">
        <v>-3.5519999999999898</v>
      </c>
      <c r="AG16" s="39">
        <v>0</v>
      </c>
    </row>
    <row r="17" spans="1:33" ht="15.75" customHeight="1" x14ac:dyDescent="0.2">
      <c r="A17" s="28" t="s">
        <v>55</v>
      </c>
      <c r="B17" s="28" t="s">
        <v>52</v>
      </c>
      <c r="C17" s="15">
        <f t="shared" si="4"/>
        <v>15.12</v>
      </c>
      <c r="D17" s="29">
        <v>1</v>
      </c>
      <c r="E17" s="29">
        <v>0</v>
      </c>
      <c r="F17" s="32">
        <v>15.12</v>
      </c>
      <c r="G17" s="30">
        <v>0</v>
      </c>
      <c r="H17" s="31">
        <f t="shared" si="1"/>
        <v>0</v>
      </c>
      <c r="I17" s="31">
        <f t="shared" si="2"/>
        <v>0.28609510030864249</v>
      </c>
      <c r="J17" s="32">
        <f t="shared" si="5"/>
        <v>4.3257579166666744</v>
      </c>
      <c r="K17" s="32">
        <f t="shared" si="3"/>
        <v>4.3257579166666744</v>
      </c>
      <c r="L17" s="29">
        <v>4</v>
      </c>
      <c r="M17" s="33">
        <f t="shared" si="6"/>
        <v>0.25</v>
      </c>
      <c r="N17" s="29">
        <v>0</v>
      </c>
      <c r="O17" s="34">
        <f t="shared" ref="O17:P17" si="25">D17/7</f>
        <v>0.14285714285714285</v>
      </c>
      <c r="P17" s="34">
        <f t="shared" si="25"/>
        <v>0</v>
      </c>
      <c r="Q17" s="29">
        <f t="shared" si="8"/>
        <v>0</v>
      </c>
      <c r="R17" s="29"/>
      <c r="S17" s="35" t="e">
        <v>#N/A</v>
      </c>
      <c r="T17" s="28">
        <v>300</v>
      </c>
      <c r="U17" s="36" t="s">
        <v>33</v>
      </c>
      <c r="V17" s="37" t="s">
        <v>33</v>
      </c>
      <c r="W17" s="28">
        <v>0</v>
      </c>
      <c r="X17" s="38">
        <f t="shared" si="9"/>
        <v>0</v>
      </c>
      <c r="Y17" s="39">
        <f t="shared" si="10"/>
        <v>0</v>
      </c>
      <c r="Z17" s="28">
        <v>0</v>
      </c>
      <c r="AA17" s="28" t="s">
        <v>34</v>
      </c>
      <c r="AB17" s="40">
        <f t="shared" si="11"/>
        <v>-0.69</v>
      </c>
      <c r="AC17" s="41">
        <v>5.379861111111111E-2</v>
      </c>
      <c r="AD17" s="39">
        <f t="shared" si="12"/>
        <v>-7.424208333333332E-2</v>
      </c>
      <c r="AE17" s="39">
        <v>-4.9000000000000004</v>
      </c>
      <c r="AF17" s="39">
        <v>-3.5519999999999898</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0</v>
      </c>
      <c r="O18" s="34">
        <f t="shared" ref="O18:P18" si="26">D18/7</f>
        <v>0</v>
      </c>
      <c r="P18" s="34">
        <f t="shared" si="26"/>
        <v>0</v>
      </c>
      <c r="Q18" s="29" t="e">
        <f t="shared" si="8"/>
        <v>#DIV/0!</v>
      </c>
      <c r="R18" s="29"/>
      <c r="S18" s="35" t="e">
        <v>#N/A</v>
      </c>
      <c r="T18" s="28">
        <v>300</v>
      </c>
      <c r="U18" s="36">
        <v>0</v>
      </c>
      <c r="V18" s="37" t="s">
        <v>110</v>
      </c>
      <c r="W18" s="28">
        <v>0</v>
      </c>
      <c r="X18" s="38">
        <f t="shared" si="9"/>
        <v>0</v>
      </c>
      <c r="Y18" s="39">
        <f t="shared" si="10"/>
        <v>0</v>
      </c>
      <c r="Z18" s="28">
        <v>0</v>
      </c>
      <c r="AA18" s="28" t="e">
        <v>#N/A</v>
      </c>
      <c r="AB18" s="40" t="e">
        <f t="shared" si="11"/>
        <v>#N/A</v>
      </c>
      <c r="AC18" s="41" t="e">
        <v>#N/A</v>
      </c>
      <c r="AD18" s="39">
        <f t="shared" si="12"/>
        <v>0</v>
      </c>
      <c r="AE18" s="39">
        <v>0</v>
      </c>
      <c r="AF18" s="39">
        <v>-3.5519999999999898</v>
      </c>
      <c r="AG18" s="39">
        <v>0</v>
      </c>
    </row>
    <row r="19" spans="1:33" ht="15.75" customHeight="1" x14ac:dyDescent="0.2">
      <c r="A19" s="28" t="s">
        <v>57</v>
      </c>
      <c r="B19" s="28"/>
      <c r="C19" s="15">
        <f t="shared" si="4"/>
        <v>14.99</v>
      </c>
      <c r="D19" s="29">
        <v>2</v>
      </c>
      <c r="E19" s="29">
        <v>0</v>
      </c>
      <c r="F19" s="32">
        <v>29.98</v>
      </c>
      <c r="G19" s="30">
        <v>0</v>
      </c>
      <c r="H19" s="31">
        <f t="shared" si="1"/>
        <v>0</v>
      </c>
      <c r="I19" s="31">
        <f t="shared" si="2"/>
        <v>0.27013061485434747</v>
      </c>
      <c r="J19" s="32">
        <f t="shared" si="5"/>
        <v>8.0985158333333374</v>
      </c>
      <c r="K19" s="32">
        <f t="shared" si="3"/>
        <v>4.0492579166666687</v>
      </c>
      <c r="L19" s="29">
        <v>3</v>
      </c>
      <c r="M19" s="33">
        <f t="shared" si="6"/>
        <v>0.66666666666666663</v>
      </c>
      <c r="N19" s="29">
        <v>2</v>
      </c>
      <c r="O19" s="34">
        <f t="shared" ref="O19:P19" si="27">D19/7</f>
        <v>0.2857142857142857</v>
      </c>
      <c r="P19" s="34">
        <f t="shared" si="27"/>
        <v>0</v>
      </c>
      <c r="Q19" s="29">
        <f t="shared" si="8"/>
        <v>7</v>
      </c>
      <c r="R19" s="29"/>
      <c r="S19" s="35">
        <v>2.3384615384615302</v>
      </c>
      <c r="T19" s="28">
        <v>300</v>
      </c>
      <c r="U19" s="36">
        <v>100</v>
      </c>
      <c r="V19" s="37" t="s">
        <v>110</v>
      </c>
      <c r="W19" s="28">
        <v>0</v>
      </c>
      <c r="X19" s="38">
        <f t="shared" si="9"/>
        <v>0</v>
      </c>
      <c r="Y19" s="39">
        <f t="shared" si="10"/>
        <v>0</v>
      </c>
      <c r="Z19" s="28">
        <v>0</v>
      </c>
      <c r="AA19" s="28" t="s">
        <v>34</v>
      </c>
      <c r="AB19" s="40">
        <f t="shared" si="11"/>
        <v>-0.69</v>
      </c>
      <c r="AC19" s="41">
        <v>5.379861111111111E-2</v>
      </c>
      <c r="AD19" s="39">
        <f t="shared" si="12"/>
        <v>-0.14848416666666664</v>
      </c>
      <c r="AE19" s="39">
        <v>-4.9000000000000004</v>
      </c>
      <c r="AF19" s="39">
        <v>-3.7179999999999991</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300</v>
      </c>
      <c r="U20" s="36">
        <v>100</v>
      </c>
      <c r="V20" s="37" t="s">
        <v>111</v>
      </c>
      <c r="W20" s="28">
        <v>0</v>
      </c>
      <c r="X20" s="38">
        <f t="shared" si="9"/>
        <v>0</v>
      </c>
      <c r="Y20" s="39">
        <f t="shared" si="10"/>
        <v>0</v>
      </c>
      <c r="Z20" s="28">
        <v>0</v>
      </c>
      <c r="AA20" s="28" t="s">
        <v>34</v>
      </c>
      <c r="AB20" s="40">
        <f t="shared" si="11"/>
        <v>-0.69</v>
      </c>
      <c r="AC20" s="41">
        <v>5.379861111111111E-2</v>
      </c>
      <c r="AD20" s="39">
        <f t="shared" si="12"/>
        <v>0</v>
      </c>
      <c r="AE20" s="39">
        <v>-4.9000000000000004</v>
      </c>
      <c r="AF20" s="39">
        <v>-3.7179999999999991</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300</v>
      </c>
      <c r="U21" s="36">
        <v>100</v>
      </c>
      <c r="V21" s="37" t="s">
        <v>112</v>
      </c>
      <c r="W21" s="28">
        <v>0</v>
      </c>
      <c r="X21" s="38">
        <f t="shared" si="9"/>
        <v>0</v>
      </c>
      <c r="Y21" s="39">
        <f t="shared" si="10"/>
        <v>0</v>
      </c>
      <c r="Z21" s="28">
        <v>0</v>
      </c>
      <c r="AA21" s="28" t="s">
        <v>34</v>
      </c>
      <c r="AB21" s="40">
        <f t="shared" si="11"/>
        <v>-0.69</v>
      </c>
      <c r="AC21" s="41">
        <v>5.379861111111111E-2</v>
      </c>
      <c r="AD21" s="39">
        <f t="shared" si="12"/>
        <v>0</v>
      </c>
      <c r="AE21" s="39">
        <v>-4.9000000000000004</v>
      </c>
      <c r="AF21" s="39">
        <v>-3.7179999999999991</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300</v>
      </c>
      <c r="U22" s="36">
        <v>100</v>
      </c>
      <c r="V22" s="37" t="s">
        <v>112</v>
      </c>
      <c r="W22" s="28">
        <v>0</v>
      </c>
      <c r="X22" s="38">
        <f t="shared" si="9"/>
        <v>0</v>
      </c>
      <c r="Y22" s="39">
        <f t="shared" si="10"/>
        <v>0</v>
      </c>
      <c r="Z22" s="28">
        <v>0</v>
      </c>
      <c r="AA22" s="28" t="s">
        <v>34</v>
      </c>
      <c r="AB22" s="40">
        <f t="shared" si="11"/>
        <v>-0.69</v>
      </c>
      <c r="AC22" s="41">
        <v>5.379861111111111E-2</v>
      </c>
      <c r="AD22" s="39">
        <f t="shared" si="12"/>
        <v>0</v>
      </c>
      <c r="AE22" s="39">
        <v>-4.9000000000000004</v>
      </c>
      <c r="AF22" s="39">
        <v>-3.7179999999999991</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300</v>
      </c>
      <c r="U23" s="36">
        <v>100</v>
      </c>
      <c r="V23" s="37" t="s">
        <v>113</v>
      </c>
      <c r="W23" s="28">
        <v>0</v>
      </c>
      <c r="X23" s="38">
        <f t="shared" si="9"/>
        <v>0</v>
      </c>
      <c r="Y23" s="39">
        <f t="shared" si="10"/>
        <v>0</v>
      </c>
      <c r="Z23" s="28">
        <v>0</v>
      </c>
      <c r="AA23" s="28" t="s">
        <v>34</v>
      </c>
      <c r="AB23" s="40">
        <f t="shared" si="11"/>
        <v>-0.69</v>
      </c>
      <c r="AC23" s="41">
        <v>5.379861111111111E-2</v>
      </c>
      <c r="AD23" s="39">
        <f t="shared" si="12"/>
        <v>0</v>
      </c>
      <c r="AE23" s="39">
        <v>-4.9000000000000004</v>
      </c>
      <c r="AF23" s="39">
        <v>-3.7179999999999991</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300</v>
      </c>
      <c r="U24" s="36">
        <v>100</v>
      </c>
      <c r="V24" s="37" t="s">
        <v>113</v>
      </c>
      <c r="W24" s="28">
        <v>0</v>
      </c>
      <c r="X24" s="38">
        <f t="shared" si="9"/>
        <v>0</v>
      </c>
      <c r="Y24" s="39">
        <f t="shared" si="10"/>
        <v>0</v>
      </c>
      <c r="Z24" s="28">
        <v>0</v>
      </c>
      <c r="AA24" s="28" t="s">
        <v>34</v>
      </c>
      <c r="AB24" s="40">
        <f t="shared" si="11"/>
        <v>-0.69</v>
      </c>
      <c r="AC24" s="41">
        <v>5.379861111111111E-2</v>
      </c>
      <c r="AD24" s="39">
        <f t="shared" si="12"/>
        <v>0</v>
      </c>
      <c r="AE24" s="39">
        <v>-4.9000000000000004</v>
      </c>
      <c r="AF24" s="39">
        <v>-3.7179999999999991</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300</v>
      </c>
      <c r="U25" s="36">
        <v>100</v>
      </c>
      <c r="V25" s="37" t="s">
        <v>114</v>
      </c>
      <c r="W25" s="14">
        <v>0</v>
      </c>
      <c r="X25" s="38">
        <f t="shared" si="9"/>
        <v>0</v>
      </c>
      <c r="Y25" s="39">
        <f t="shared" si="10"/>
        <v>0</v>
      </c>
      <c r="Z25" s="14">
        <v>0</v>
      </c>
      <c r="AA25" s="28" t="s">
        <v>34</v>
      </c>
      <c r="AB25" s="40">
        <f t="shared" si="11"/>
        <v>-0.69</v>
      </c>
      <c r="AC25" s="41">
        <v>5.379861111111111E-2</v>
      </c>
      <c r="AD25" s="39">
        <f t="shared" si="12"/>
        <v>0</v>
      </c>
      <c r="AE25" s="39">
        <v>-4.9000000000000004</v>
      </c>
      <c r="AF25" s="39">
        <v>-3.72</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200</v>
      </c>
      <c r="U26" s="36" t="s">
        <v>33</v>
      </c>
      <c r="V26" s="37" t="s">
        <v>33</v>
      </c>
      <c r="W26" s="14">
        <v>0</v>
      </c>
      <c r="X26" s="38">
        <f t="shared" si="9"/>
        <v>0</v>
      </c>
      <c r="Y26" s="39">
        <f t="shared" si="10"/>
        <v>0</v>
      </c>
      <c r="Z26" s="14">
        <v>0</v>
      </c>
      <c r="AA26" s="28" t="s">
        <v>34</v>
      </c>
      <c r="AB26" s="40">
        <f t="shared" si="11"/>
        <v>-0.69</v>
      </c>
      <c r="AC26" s="41">
        <v>5.379861111111111E-2</v>
      </c>
      <c r="AD26" s="39">
        <f t="shared" si="12"/>
        <v>0</v>
      </c>
      <c r="AE26" s="25">
        <v>-4.9000000000000004</v>
      </c>
      <c r="AF26" s="25">
        <v>-3.7295999999999898</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100</v>
      </c>
      <c r="O27" s="34">
        <f t="shared" ref="O27:P27" si="35">D27/7</f>
        <v>0</v>
      </c>
      <c r="P27" s="34">
        <f t="shared" si="35"/>
        <v>0</v>
      </c>
      <c r="Q27" s="29" t="e">
        <f t="shared" si="8"/>
        <v>#DIV/0!</v>
      </c>
      <c r="R27" s="29"/>
      <c r="S27" s="21">
        <v>0.3669724770642202</v>
      </c>
      <c r="T27" s="28">
        <v>200</v>
      </c>
      <c r="U27" s="36" t="s">
        <v>33</v>
      </c>
      <c r="V27" s="37" t="s">
        <v>33</v>
      </c>
      <c r="W27" s="14">
        <v>0</v>
      </c>
      <c r="X27" s="38">
        <f t="shared" si="9"/>
        <v>0</v>
      </c>
      <c r="Y27" s="39">
        <f t="shared" si="10"/>
        <v>0</v>
      </c>
      <c r="Z27" s="14">
        <v>0</v>
      </c>
      <c r="AA27" s="28" t="s">
        <v>34</v>
      </c>
      <c r="AB27" s="40">
        <f t="shared" si="11"/>
        <v>-0.69</v>
      </c>
      <c r="AC27" s="41">
        <v>5.379861111111111E-2</v>
      </c>
      <c r="AD27" s="39">
        <f t="shared" si="12"/>
        <v>0</v>
      </c>
      <c r="AE27" s="25">
        <v>-4.9000000000000004</v>
      </c>
      <c r="AF27" s="25">
        <v>-4.3385999999999996</v>
      </c>
      <c r="AG27" s="25">
        <v>0</v>
      </c>
    </row>
    <row r="28" spans="1:33" ht="15.75" customHeight="1" x14ac:dyDescent="0.2">
      <c r="A28" s="14" t="s">
        <v>71</v>
      </c>
      <c r="B28" s="14" t="s">
        <v>115</v>
      </c>
      <c r="C28" s="15">
        <f t="shared" si="4"/>
        <v>14.99</v>
      </c>
      <c r="D28" s="16">
        <v>2</v>
      </c>
      <c r="E28" s="16">
        <v>0</v>
      </c>
      <c r="F28" s="17">
        <v>29.98</v>
      </c>
      <c r="G28" s="17">
        <v>0</v>
      </c>
      <c r="H28" s="31">
        <f t="shared" si="1"/>
        <v>0</v>
      </c>
      <c r="I28" s="31">
        <f t="shared" si="2"/>
        <v>0.22539412386035138</v>
      </c>
      <c r="J28" s="32">
        <f t="shared" si="5"/>
        <v>6.7573158333333341</v>
      </c>
      <c r="K28" s="32">
        <f t="shared" si="3"/>
        <v>3.378657916666667</v>
      </c>
      <c r="L28" s="16">
        <v>1</v>
      </c>
      <c r="M28" s="33">
        <f t="shared" si="6"/>
        <v>2</v>
      </c>
      <c r="N28" s="16">
        <v>99</v>
      </c>
      <c r="O28" s="34">
        <f t="shared" ref="O28:P28" si="36">D28/7</f>
        <v>0.2857142857142857</v>
      </c>
      <c r="P28" s="34">
        <f t="shared" si="36"/>
        <v>0</v>
      </c>
      <c r="Q28" s="29">
        <f t="shared" si="8"/>
        <v>346</v>
      </c>
      <c r="R28" s="29"/>
      <c r="S28" s="21">
        <v>0.3364485981308411</v>
      </c>
      <c r="T28" s="28">
        <v>200</v>
      </c>
      <c r="U28" s="36" t="s">
        <v>33</v>
      </c>
      <c r="V28" s="37" t="s">
        <v>33</v>
      </c>
      <c r="W28" s="14">
        <v>0</v>
      </c>
      <c r="X28" s="38">
        <f t="shared" si="9"/>
        <v>0</v>
      </c>
      <c r="Y28" s="39">
        <f t="shared" si="10"/>
        <v>0</v>
      </c>
      <c r="Z28" s="14">
        <v>0</v>
      </c>
      <c r="AA28" s="28" t="s">
        <v>34</v>
      </c>
      <c r="AB28" s="40">
        <f t="shared" si="11"/>
        <v>-0.69</v>
      </c>
      <c r="AC28" s="41">
        <v>5.379861111111111E-2</v>
      </c>
      <c r="AD28" s="39">
        <f t="shared" si="12"/>
        <v>-0.14848416666666664</v>
      </c>
      <c r="AE28" s="25">
        <v>-4.95</v>
      </c>
      <c r="AF28" s="25">
        <v>-4.3385999999999996</v>
      </c>
      <c r="AG28" s="25">
        <v>0</v>
      </c>
    </row>
    <row r="29" spans="1:33" ht="15.75" customHeight="1" x14ac:dyDescent="0.2">
      <c r="A29" s="28" t="s">
        <v>72</v>
      </c>
      <c r="B29" s="28" t="s">
        <v>116</v>
      </c>
      <c r="C29" s="15">
        <f t="shared" si="4"/>
        <v>13.99</v>
      </c>
      <c r="D29" s="29">
        <v>3</v>
      </c>
      <c r="E29" s="29">
        <v>0</v>
      </c>
      <c r="F29" s="32">
        <v>41.97</v>
      </c>
      <c r="G29" s="32">
        <v>0</v>
      </c>
      <c r="H29" s="31">
        <f t="shared" si="1"/>
        <v>0</v>
      </c>
      <c r="I29" s="31">
        <f t="shared" si="2"/>
        <v>0.18074752799618762</v>
      </c>
      <c r="J29" s="32">
        <f t="shared" si="5"/>
        <v>7.5859737499999946</v>
      </c>
      <c r="K29" s="32">
        <f t="shared" si="3"/>
        <v>2.5286579166666647</v>
      </c>
      <c r="L29" s="29">
        <v>6</v>
      </c>
      <c r="M29" s="33">
        <f t="shared" si="6"/>
        <v>0.5</v>
      </c>
      <c r="N29" s="16">
        <v>77</v>
      </c>
      <c r="O29" s="34">
        <f t="shared" ref="O29:P29" si="37">D29/7</f>
        <v>0.42857142857142855</v>
      </c>
      <c r="P29" s="34">
        <f t="shared" si="37"/>
        <v>0</v>
      </c>
      <c r="Q29" s="29">
        <f t="shared" si="8"/>
        <v>179</v>
      </c>
      <c r="R29" s="29"/>
      <c r="S29" s="21">
        <v>0.48</v>
      </c>
      <c r="T29" s="28">
        <v>200</v>
      </c>
      <c r="U29" s="36" t="s">
        <v>33</v>
      </c>
      <c r="V29" s="37" t="s">
        <v>33</v>
      </c>
      <c r="W29" s="14">
        <v>0</v>
      </c>
      <c r="X29" s="38">
        <f t="shared" si="9"/>
        <v>0</v>
      </c>
      <c r="Y29" s="39">
        <f t="shared" si="10"/>
        <v>0</v>
      </c>
      <c r="Z29" s="14">
        <v>0</v>
      </c>
      <c r="AA29" s="28" t="s">
        <v>34</v>
      </c>
      <c r="AB29" s="40">
        <f t="shared" si="11"/>
        <v>-0.69</v>
      </c>
      <c r="AC29" s="41">
        <v>5.379861111111111E-2</v>
      </c>
      <c r="AD29" s="39">
        <f t="shared" si="12"/>
        <v>-0.22272624999999996</v>
      </c>
      <c r="AE29" s="39">
        <v>-4.95</v>
      </c>
      <c r="AF29" s="25">
        <v>-4.3385999999999996</v>
      </c>
      <c r="AG29" s="39">
        <v>0</v>
      </c>
    </row>
    <row r="30" spans="1:33" ht="15.75" customHeight="1" x14ac:dyDescent="0.2">
      <c r="A30" s="14" t="s">
        <v>74</v>
      </c>
      <c r="B30" s="14" t="s">
        <v>117</v>
      </c>
      <c r="C30" s="15">
        <f t="shared" si="4"/>
        <v>13.99</v>
      </c>
      <c r="D30" s="16">
        <v>2</v>
      </c>
      <c r="E30" s="16">
        <v>0</v>
      </c>
      <c r="F30" s="17">
        <v>27.98</v>
      </c>
      <c r="G30" s="17">
        <v>0</v>
      </c>
      <c r="H30" s="31">
        <f t="shared" si="1"/>
        <v>0</v>
      </c>
      <c r="I30" s="31">
        <f t="shared" si="2"/>
        <v>0.1832597512413629</v>
      </c>
      <c r="J30" s="32">
        <f t="shared" si="5"/>
        <v>5.1276078397333338</v>
      </c>
      <c r="K30" s="32">
        <f t="shared" si="3"/>
        <v>2.5638039198666669</v>
      </c>
      <c r="L30" s="16">
        <v>8</v>
      </c>
      <c r="M30" s="33">
        <f t="shared" si="6"/>
        <v>0.25</v>
      </c>
      <c r="N30" s="16">
        <v>84</v>
      </c>
      <c r="O30" s="34">
        <f t="shared" ref="O30:P30" si="38">D30/7</f>
        <v>0.2857142857142857</v>
      </c>
      <c r="P30" s="34">
        <f t="shared" si="38"/>
        <v>0</v>
      </c>
      <c r="Q30" s="29">
        <f t="shared" si="8"/>
        <v>294</v>
      </c>
      <c r="R30" s="29"/>
      <c r="S30" s="21">
        <v>0.32941176470588229</v>
      </c>
      <c r="T30" s="28">
        <v>200</v>
      </c>
      <c r="U30" s="36" t="s">
        <v>33</v>
      </c>
      <c r="V30" s="37" t="s">
        <v>33</v>
      </c>
      <c r="W30" s="14">
        <v>0</v>
      </c>
      <c r="X30" s="38">
        <f t="shared" si="9"/>
        <v>0</v>
      </c>
      <c r="Y30" s="39">
        <f t="shared" si="10"/>
        <v>0</v>
      </c>
      <c r="Z30" s="14">
        <v>0</v>
      </c>
      <c r="AA30" s="28" t="s">
        <v>34</v>
      </c>
      <c r="AB30" s="40">
        <f t="shared" si="11"/>
        <v>-0.69</v>
      </c>
      <c r="AC30" s="41">
        <v>5.379861111111111E-2</v>
      </c>
      <c r="AD30" s="39">
        <f t="shared" si="12"/>
        <v>-0.14848416666666664</v>
      </c>
      <c r="AE30" s="25">
        <v>-4.95</v>
      </c>
      <c r="AF30" s="25">
        <v>-4.3034539968000001</v>
      </c>
      <c r="AG30" s="25">
        <v>0</v>
      </c>
    </row>
    <row r="31" spans="1:33" ht="15.75" customHeight="1" x14ac:dyDescent="0.2">
      <c r="A31" s="14" t="s">
        <v>75</v>
      </c>
      <c r="B31" s="14"/>
      <c r="C31" s="15">
        <f t="shared" si="4"/>
        <v>13.006666666666668</v>
      </c>
      <c r="D31" s="16">
        <v>3</v>
      </c>
      <c r="E31" s="16">
        <v>0</v>
      </c>
      <c r="F31" s="17">
        <v>39.020000000000003</v>
      </c>
      <c r="G31" s="42">
        <v>0</v>
      </c>
      <c r="H31" s="31">
        <f t="shared" si="1"/>
        <v>0</v>
      </c>
      <c r="I31" s="31">
        <f t="shared" si="2"/>
        <v>0.1328526847667863</v>
      </c>
      <c r="J31" s="32">
        <f t="shared" si="5"/>
        <v>5.1839117596000017</v>
      </c>
      <c r="K31" s="32">
        <f t="shared" si="3"/>
        <v>1.7279705865333339</v>
      </c>
      <c r="L31" s="16">
        <v>3</v>
      </c>
      <c r="M31" s="33">
        <f t="shared" si="6"/>
        <v>1</v>
      </c>
      <c r="N31" s="16">
        <v>91</v>
      </c>
      <c r="O31" s="34">
        <f t="shared" ref="O31:P32" si="39">D31/7</f>
        <v>0.42857142857142855</v>
      </c>
      <c r="P31" s="34">
        <f t="shared" si="39"/>
        <v>0</v>
      </c>
      <c r="Q31" s="29">
        <f t="shared" si="8"/>
        <v>212</v>
      </c>
      <c r="R31" s="29"/>
      <c r="S31" s="21">
        <v>0.39130434782608697</v>
      </c>
      <c r="T31" s="14">
        <v>200</v>
      </c>
      <c r="U31" s="22" t="s">
        <v>33</v>
      </c>
      <c r="V31" s="1" t="s">
        <v>935</v>
      </c>
      <c r="W31" s="14">
        <v>0</v>
      </c>
      <c r="X31" s="38">
        <f t="shared" si="9"/>
        <v>0</v>
      </c>
      <c r="Y31" s="39">
        <f t="shared" si="10"/>
        <v>0</v>
      </c>
      <c r="Z31" s="14">
        <v>0</v>
      </c>
      <c r="AA31" s="14" t="s">
        <v>34</v>
      </c>
      <c r="AB31" s="40">
        <f t="shared" si="11"/>
        <v>-0.69</v>
      </c>
      <c r="AC31" s="27">
        <v>5.379861111111111E-2</v>
      </c>
      <c r="AD31" s="39">
        <f t="shared" si="12"/>
        <v>-0.22272624999999996</v>
      </c>
      <c r="AE31" s="43">
        <v>-4.95</v>
      </c>
      <c r="AF31" s="43">
        <v>-4.3034539968000001</v>
      </c>
      <c r="AG31" s="25">
        <v>0</v>
      </c>
    </row>
    <row r="32" spans="1:33" s="51" customFormat="1" ht="15.75" customHeight="1" x14ac:dyDescent="0.2">
      <c r="A32" s="51" t="s">
        <v>934</v>
      </c>
      <c r="C32" s="15">
        <f t="shared" si="4"/>
        <v>11.99</v>
      </c>
      <c r="D32" s="52">
        <v>8</v>
      </c>
      <c r="E32" s="52">
        <v>0</v>
      </c>
      <c r="F32" s="53">
        <v>95.92</v>
      </c>
      <c r="G32" s="53">
        <v>0</v>
      </c>
      <c r="H32" s="31">
        <f t="shared" si="1"/>
        <v>0</v>
      </c>
      <c r="I32" s="31">
        <f t="shared" si="2"/>
        <v>7.204369640255763E-2</v>
      </c>
      <c r="J32" s="32">
        <f t="shared" si="5"/>
        <v>6.9104313589333284</v>
      </c>
      <c r="K32" s="32">
        <f t="shared" si="3"/>
        <v>0.86380391986666605</v>
      </c>
      <c r="L32" s="52">
        <v>5</v>
      </c>
      <c r="M32" s="33">
        <f t="shared" si="6"/>
        <v>1.6</v>
      </c>
      <c r="N32" s="52">
        <v>85</v>
      </c>
      <c r="O32" s="34">
        <f t="shared" si="39"/>
        <v>1.1428571428571428</v>
      </c>
      <c r="P32" s="34">
        <f t="shared" si="39"/>
        <v>0</v>
      </c>
      <c r="Q32" s="29">
        <f t="shared" si="8"/>
        <v>74</v>
      </c>
      <c r="R32" s="29" t="str">
        <f ca="1">IFERROR(VLOOKUP($B$2,IMPORTRANGE("https://docs.google.com/spreadsheets/d/1KiWZV1ko8G7lnRucBRBd29jj3Be6ltMfljMDqzOkQmI/edit#gid=1381463014","Lookup!A:F"),6,FALSE),"")</f>
        <v/>
      </c>
      <c r="S32" s="54">
        <v>0.34224598930481281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5.379861111111111E-2</v>
      </c>
      <c r="AD32" s="39">
        <f t="shared" si="12"/>
        <v>-0.59393666666666656</v>
      </c>
      <c r="AE32" s="58">
        <v>-4.95</v>
      </c>
      <c r="AF32" s="58">
        <v>-4.3034539968000001</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6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Prong Dryer Cord - 6 Ft Electric Dryer Power Plug, 30 Amp, 10-30R")</f>
        <v>3 Prong Dryer Cord - 6 Ft Electric Dryer Power Plug, 30 Amp, 10-30R</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Info!B1:BJ5000""),2,FALSE),"""")"),"B089DR6CJW")</f>
        <v>B089DR6CJW</v>
      </c>
      <c r="B2" s="3" t="s">
        <v>118</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36" customHeight="1" x14ac:dyDescent="0.2">
      <c r="A3" s="76" t="s">
        <v>30</v>
      </c>
      <c r="B3" s="77"/>
      <c r="C3" s="47">
        <f>((AE32+AF32)/0.85)*-1</f>
        <v>12.317014497882353</v>
      </c>
      <c r="D3" s="5">
        <f>SUM(D4:D99765)</f>
        <v>90</v>
      </c>
      <c r="E3" s="5"/>
      <c r="F3" s="6">
        <f t="shared" ref="F3:G3" si="0">SUM(F4:F99765)</f>
        <v>1711.7</v>
      </c>
      <c r="G3" s="6">
        <f t="shared" si="0"/>
        <v>0</v>
      </c>
      <c r="H3" s="7">
        <f t="shared" ref="H3:H32" si="1">G3/F3*-1</f>
        <v>0</v>
      </c>
      <c r="I3" s="8">
        <f t="shared" ref="I3:I32" si="2">J3/F3</f>
        <v>0.33904438368316481</v>
      </c>
      <c r="J3" s="6">
        <f>SUM(J4:J99765)</f>
        <v>580.34227155047324</v>
      </c>
      <c r="K3" s="6">
        <f t="shared" ref="K3:K32" si="3">J3/D3</f>
        <v>6.448247461671925</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1.5 - Nov
1.5 - Dec
1 - Jan
1 - Feb")</f>
        <v>1 - March
1 - April
1 - May
1 - June
1 - July
1 - Aug
1 - Sept
1 - Oct
1.5 - Nov
1.5 -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-7.242855349875434</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Info!B2:BZ7000""),37,FALSE)),"""")*-1"),-5.5194623232)</f>
        <v>-5.5194623232</v>
      </c>
      <c r="AG3" s="6">
        <f>SUM(AG4:AG99765)</f>
        <v>0</v>
      </c>
    </row>
    <row r="4" spans="1:33" ht="15.75" customHeight="1" x14ac:dyDescent="0.2">
      <c r="A4" s="14" t="s">
        <v>31</v>
      </c>
      <c r="B4" s="14" t="s">
        <v>119</v>
      </c>
      <c r="C4" s="15">
        <f t="shared" ref="C4:C32" si="4">IFERROR(F4/D4," - ")</f>
        <v>16.989999999999998</v>
      </c>
      <c r="D4" s="16">
        <v>1</v>
      </c>
      <c r="E4" s="16">
        <v>0</v>
      </c>
      <c r="F4" s="17">
        <v>16.989999999999998</v>
      </c>
      <c r="G4" s="17">
        <v>0</v>
      </c>
      <c r="H4" s="18">
        <f t="shared" si="1"/>
        <v>0</v>
      </c>
      <c r="I4" s="18">
        <f t="shared" si="2"/>
        <v>0.30612289427604461</v>
      </c>
      <c r="J4" s="17">
        <f t="shared" ref="J4:J32" si="5">F4*0.85+G4+AF4*D4+D4*AE4+AG4+AD4</f>
        <v>5.2010279737499978</v>
      </c>
      <c r="K4" s="17">
        <f t="shared" si="3"/>
        <v>5.2010279737499978</v>
      </c>
      <c r="L4" s="16">
        <v>8</v>
      </c>
      <c r="M4" s="19">
        <f t="shared" ref="M4:M32" si="6">IFERROR(D4/L4,"-")</f>
        <v>0.125</v>
      </c>
      <c r="N4" s="16">
        <v>62</v>
      </c>
      <c r="O4" s="20">
        <f t="shared" ref="O4:P4" si="7">D4/7</f>
        <v>0.14285714285714285</v>
      </c>
      <c r="P4" s="20">
        <f t="shared" si="7"/>
        <v>0</v>
      </c>
      <c r="Q4" s="16">
        <f t="shared" ref="Q4:Q32" si="8">ROUNDDOWN(N4/(O4+P4),0)</f>
        <v>434</v>
      </c>
      <c r="R4" s="16"/>
      <c r="S4" s="21">
        <v>0.86315789473684201</v>
      </c>
      <c r="T4" s="14">
        <v>0</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5.8313062499999999E-2</v>
      </c>
      <c r="AD4" s="25">
        <f t="shared" ref="AD4:AD32" si="12">IFERROR(AB4*AC4*D4*2,0)</f>
        <v>-8.0472026249999995E-2</v>
      </c>
      <c r="AE4" s="25">
        <v>-4.9000000000000004</v>
      </c>
      <c r="AF4" s="25">
        <v>-4.26</v>
      </c>
      <c r="AG4" s="25">
        <v>0</v>
      </c>
    </row>
    <row r="5" spans="1:33" ht="15.75" customHeight="1" x14ac:dyDescent="0.2">
      <c r="A5" s="28" t="s">
        <v>35</v>
      </c>
      <c r="B5" s="28" t="s">
        <v>120</v>
      </c>
      <c r="C5" s="15">
        <f t="shared" si="4"/>
        <v>16.0275</v>
      </c>
      <c r="D5" s="29">
        <v>4</v>
      </c>
      <c r="E5" s="29">
        <v>0</v>
      </c>
      <c r="F5" s="30">
        <v>64.11</v>
      </c>
      <c r="G5" s="30">
        <v>0</v>
      </c>
      <c r="H5" s="31">
        <f t="shared" si="1"/>
        <v>0</v>
      </c>
      <c r="I5" s="31">
        <f t="shared" si="2"/>
        <v>0.27345560610863456</v>
      </c>
      <c r="J5" s="32">
        <f t="shared" si="5"/>
        <v>17.531238907624562</v>
      </c>
      <c r="K5" s="32">
        <f t="shared" si="3"/>
        <v>4.3828097269061406</v>
      </c>
      <c r="L5" s="29">
        <v>16</v>
      </c>
      <c r="M5" s="33">
        <f t="shared" si="6"/>
        <v>0.25</v>
      </c>
      <c r="N5" s="29">
        <v>58</v>
      </c>
      <c r="O5" s="34">
        <f t="shared" ref="O5:P5" si="13">D5/7</f>
        <v>0.5714285714285714</v>
      </c>
      <c r="P5" s="34">
        <f t="shared" si="13"/>
        <v>0</v>
      </c>
      <c r="Q5" s="29">
        <f t="shared" si="8"/>
        <v>101</v>
      </c>
      <c r="R5" s="29"/>
      <c r="S5" s="35">
        <v>0.837209302325581</v>
      </c>
      <c r="T5" s="28">
        <v>0</v>
      </c>
      <c r="U5" s="36" t="s">
        <v>33</v>
      </c>
      <c r="V5" s="37" t="s">
        <v>33</v>
      </c>
      <c r="W5" s="28">
        <v>0</v>
      </c>
      <c r="X5" s="38">
        <f t="shared" si="9"/>
        <v>0</v>
      </c>
      <c r="Y5" s="39">
        <f t="shared" si="10"/>
        <v>0</v>
      </c>
      <c r="Z5" s="28">
        <v>0</v>
      </c>
      <c r="AA5" s="28" t="s">
        <v>34</v>
      </c>
      <c r="AB5" s="40">
        <f t="shared" si="11"/>
        <v>-0.69</v>
      </c>
      <c r="AC5" s="41">
        <v>5.8380632676709156E-2</v>
      </c>
      <c r="AD5" s="39">
        <f t="shared" si="12"/>
        <v>-0.32226109237543449</v>
      </c>
      <c r="AE5" s="39">
        <v>-4.9000000000000004</v>
      </c>
      <c r="AF5" s="39">
        <v>-4.26</v>
      </c>
      <c r="AG5" s="39">
        <v>0</v>
      </c>
    </row>
    <row r="6" spans="1:33" ht="15.75" customHeight="1" x14ac:dyDescent="0.2">
      <c r="A6" s="28" t="s">
        <v>37</v>
      </c>
      <c r="B6" s="28" t="s">
        <v>82</v>
      </c>
      <c r="C6" s="15">
        <f t="shared" si="4"/>
        <v>13.483333333333333</v>
      </c>
      <c r="D6" s="29">
        <v>9</v>
      </c>
      <c r="E6" s="29">
        <v>0</v>
      </c>
      <c r="F6" s="30">
        <v>121.35</v>
      </c>
      <c r="G6" s="30">
        <v>0</v>
      </c>
      <c r="H6" s="31">
        <f t="shared" si="1"/>
        <v>0</v>
      </c>
      <c r="I6" s="31">
        <f t="shared" si="2"/>
        <v>0.16467450979604453</v>
      </c>
      <c r="J6" s="32">
        <f t="shared" si="5"/>
        <v>19.983251763750005</v>
      </c>
      <c r="K6" s="32">
        <f t="shared" si="3"/>
        <v>2.2203613070833339</v>
      </c>
      <c r="L6" s="29">
        <v>26</v>
      </c>
      <c r="M6" s="33">
        <f t="shared" si="6"/>
        <v>0.34615384615384615</v>
      </c>
      <c r="N6" s="29">
        <v>51</v>
      </c>
      <c r="O6" s="34">
        <f t="shared" ref="O6:P6" si="14">D6/7</f>
        <v>1.2857142857142858</v>
      </c>
      <c r="P6" s="34">
        <f t="shared" si="14"/>
        <v>0</v>
      </c>
      <c r="Q6" s="29">
        <f t="shared" si="8"/>
        <v>39</v>
      </c>
      <c r="R6" s="29"/>
      <c r="S6" s="35">
        <v>0.823880597014925</v>
      </c>
      <c r="T6" s="28">
        <v>0</v>
      </c>
      <c r="U6" s="36" t="s">
        <v>33</v>
      </c>
      <c r="V6" s="37" t="s">
        <v>39</v>
      </c>
      <c r="W6" s="28">
        <v>0</v>
      </c>
      <c r="X6" s="38">
        <f t="shared" si="9"/>
        <v>0</v>
      </c>
      <c r="Y6" s="39">
        <f t="shared" si="10"/>
        <v>0</v>
      </c>
      <c r="Z6" s="28">
        <v>0</v>
      </c>
      <c r="AA6" s="28" t="s">
        <v>34</v>
      </c>
      <c r="AB6" s="40">
        <f t="shared" si="11"/>
        <v>-0.69</v>
      </c>
      <c r="AC6" s="41">
        <v>5.8313062499999999E-2</v>
      </c>
      <c r="AD6" s="39">
        <f t="shared" si="12"/>
        <v>-0.72424823625000001</v>
      </c>
      <c r="AE6" s="39">
        <v>-4.9000000000000004</v>
      </c>
      <c r="AF6" s="39">
        <v>-4.26</v>
      </c>
      <c r="AG6" s="39">
        <v>0</v>
      </c>
    </row>
    <row r="7" spans="1:33" ht="15.75" customHeight="1" x14ac:dyDescent="0.2">
      <c r="A7" s="28" t="s">
        <v>40</v>
      </c>
      <c r="B7" s="28" t="s">
        <v>121</v>
      </c>
      <c r="C7" s="15">
        <f t="shared" si="4"/>
        <v>12.401000000000003</v>
      </c>
      <c r="D7" s="29">
        <v>20</v>
      </c>
      <c r="E7" s="29">
        <v>0</v>
      </c>
      <c r="F7" s="30">
        <v>248.02000000000007</v>
      </c>
      <c r="G7" s="30">
        <v>0</v>
      </c>
      <c r="H7" s="31">
        <f t="shared" si="1"/>
        <v>0</v>
      </c>
      <c r="I7" s="31">
        <f t="shared" si="2"/>
        <v>8.9866079816247502E-2</v>
      </c>
      <c r="J7" s="32">
        <f t="shared" si="5"/>
        <v>22.288585116025711</v>
      </c>
      <c r="K7" s="32">
        <f t="shared" si="3"/>
        <v>1.1144292558012856</v>
      </c>
      <c r="L7" s="29">
        <v>31</v>
      </c>
      <c r="M7" s="33">
        <f t="shared" si="6"/>
        <v>0.64516129032258063</v>
      </c>
      <c r="N7" s="29">
        <v>32</v>
      </c>
      <c r="O7" s="34">
        <f t="shared" ref="O7:P7" si="15">D7/7</f>
        <v>2.8571428571428572</v>
      </c>
      <c r="P7" s="34">
        <f t="shared" si="15"/>
        <v>0</v>
      </c>
      <c r="Q7" s="29">
        <f t="shared" si="8"/>
        <v>11</v>
      </c>
      <c r="R7" s="29"/>
      <c r="S7" s="35">
        <v>1</v>
      </c>
      <c r="T7" s="28">
        <v>0</v>
      </c>
      <c r="U7" s="36" t="s">
        <v>33</v>
      </c>
      <c r="V7" s="37" t="s">
        <v>39</v>
      </c>
      <c r="W7" s="28">
        <v>0</v>
      </c>
      <c r="X7" s="38">
        <f t="shared" si="9"/>
        <v>0</v>
      </c>
      <c r="Y7" s="39">
        <f t="shared" si="10"/>
        <v>0</v>
      </c>
      <c r="Z7" s="28">
        <v>0</v>
      </c>
      <c r="AA7" s="28" t="s">
        <v>34</v>
      </c>
      <c r="AB7" s="40">
        <f t="shared" si="11"/>
        <v>-0.69</v>
      </c>
      <c r="AC7" s="41">
        <v>5.8313062499999999E-2</v>
      </c>
      <c r="AD7" s="39">
        <f t="shared" si="12"/>
        <v>-1.6094405249999999</v>
      </c>
      <c r="AE7" s="39">
        <v>-4.9000000000000004</v>
      </c>
      <c r="AF7" s="39">
        <v>-4.4459487179487178</v>
      </c>
      <c r="AG7" s="39">
        <v>0</v>
      </c>
    </row>
    <row r="8" spans="1:33" ht="15.75" customHeight="1" x14ac:dyDescent="0.2">
      <c r="A8" s="28" t="s">
        <v>42</v>
      </c>
      <c r="B8" s="28" t="s">
        <v>122</v>
      </c>
      <c r="C8" s="15">
        <f t="shared" si="4"/>
        <v>17.298000000000002</v>
      </c>
      <c r="D8" s="29">
        <v>5</v>
      </c>
      <c r="E8" s="29">
        <v>0</v>
      </c>
      <c r="F8" s="30">
        <v>86.490000000000009</v>
      </c>
      <c r="G8" s="30">
        <v>0</v>
      </c>
      <c r="H8" s="31">
        <f t="shared" si="1"/>
        <v>0</v>
      </c>
      <c r="I8" s="31">
        <f t="shared" si="2"/>
        <v>0.30482298379870509</v>
      </c>
      <c r="J8" s="32">
        <f t="shared" si="5"/>
        <v>26.364139868750009</v>
      </c>
      <c r="K8" s="32">
        <f t="shared" si="3"/>
        <v>5.2728279737500019</v>
      </c>
      <c r="L8" s="29">
        <v>16</v>
      </c>
      <c r="M8" s="33">
        <f t="shared" si="6"/>
        <v>0.3125</v>
      </c>
      <c r="N8" s="29">
        <v>26</v>
      </c>
      <c r="O8" s="34">
        <f t="shared" ref="O8:P8" si="16">D8/7</f>
        <v>0.7142857142857143</v>
      </c>
      <c r="P8" s="34">
        <f t="shared" si="16"/>
        <v>0</v>
      </c>
      <c r="Q8" s="29">
        <f t="shared" si="8"/>
        <v>36</v>
      </c>
      <c r="R8" s="29"/>
      <c r="S8" s="35">
        <v>1.1895910780669099</v>
      </c>
      <c r="T8" s="28">
        <v>0</v>
      </c>
      <c r="U8" s="36" t="s">
        <v>33</v>
      </c>
      <c r="V8" s="37" t="s">
        <v>33</v>
      </c>
      <c r="W8" s="28">
        <v>0</v>
      </c>
      <c r="X8" s="38">
        <f t="shared" si="9"/>
        <v>0</v>
      </c>
      <c r="Y8" s="39">
        <f t="shared" si="10"/>
        <v>0</v>
      </c>
      <c r="Z8" s="28">
        <v>0</v>
      </c>
      <c r="AA8" s="28" t="s">
        <v>34</v>
      </c>
      <c r="AB8" s="40">
        <f t="shared" si="11"/>
        <v>-0.69</v>
      </c>
      <c r="AC8" s="41">
        <v>5.8313062499999999E-2</v>
      </c>
      <c r="AD8" s="39">
        <f t="shared" si="12"/>
        <v>-0.40236013124999997</v>
      </c>
      <c r="AE8" s="39">
        <v>-4.9000000000000004</v>
      </c>
      <c r="AF8" s="39">
        <v>-4.45</v>
      </c>
      <c r="AG8" s="39">
        <v>0</v>
      </c>
    </row>
    <row r="9" spans="1:33" ht="15.75" customHeight="1" x14ac:dyDescent="0.2">
      <c r="A9" s="28" t="s">
        <v>44</v>
      </c>
      <c r="B9" s="28" t="s">
        <v>123</v>
      </c>
      <c r="C9" s="15">
        <f t="shared" si="4"/>
        <v>20.151111111111106</v>
      </c>
      <c r="D9" s="29">
        <v>9</v>
      </c>
      <c r="E9" s="29">
        <v>0</v>
      </c>
      <c r="F9" s="30">
        <v>181.35999999999996</v>
      </c>
      <c r="G9" s="30">
        <v>0</v>
      </c>
      <c r="H9" s="31">
        <f t="shared" si="1"/>
        <v>0</v>
      </c>
      <c r="I9" s="31">
        <f t="shared" si="2"/>
        <v>0.37863525708694556</v>
      </c>
      <c r="J9" s="32">
        <f t="shared" si="5"/>
        <v>68.669290225288435</v>
      </c>
      <c r="K9" s="32">
        <f t="shared" si="3"/>
        <v>7.6299211361431594</v>
      </c>
      <c r="L9" s="29">
        <v>23</v>
      </c>
      <c r="M9" s="33">
        <f t="shared" si="6"/>
        <v>0.39130434782608697</v>
      </c>
      <c r="N9" s="29">
        <v>16</v>
      </c>
      <c r="O9" s="34">
        <f t="shared" ref="O9:P9" si="17">D9/7</f>
        <v>1.2857142857142858</v>
      </c>
      <c r="P9" s="34">
        <f t="shared" si="17"/>
        <v>0</v>
      </c>
      <c r="Q9" s="29">
        <f t="shared" si="8"/>
        <v>12</v>
      </c>
      <c r="R9" s="29"/>
      <c r="S9" s="35">
        <v>1.2440944881889699</v>
      </c>
      <c r="T9" s="28">
        <v>0</v>
      </c>
      <c r="U9" s="36" t="s">
        <v>33</v>
      </c>
      <c r="V9" s="37" t="s">
        <v>33</v>
      </c>
      <c r="W9" s="28">
        <v>0</v>
      </c>
      <c r="X9" s="38">
        <f t="shared" si="9"/>
        <v>0</v>
      </c>
      <c r="Y9" s="39">
        <f t="shared" si="10"/>
        <v>0</v>
      </c>
      <c r="Z9" s="28">
        <v>0</v>
      </c>
      <c r="AA9" s="28" t="s">
        <v>34</v>
      </c>
      <c r="AB9" s="40">
        <f t="shared" si="11"/>
        <v>-0.69</v>
      </c>
      <c r="AC9" s="41">
        <v>5.8313062499999999E-2</v>
      </c>
      <c r="AD9" s="39">
        <f t="shared" si="12"/>
        <v>-0.72424823625000001</v>
      </c>
      <c r="AE9" s="39">
        <v>-4.9000000000000004</v>
      </c>
      <c r="AF9" s="39">
        <v>-4.5180512820512799</v>
      </c>
      <c r="AG9" s="39">
        <v>0</v>
      </c>
    </row>
    <row r="10" spans="1:33" ht="15.75" customHeight="1" x14ac:dyDescent="0.2">
      <c r="A10" s="28" t="s">
        <v>46</v>
      </c>
      <c r="B10" s="28" t="s">
        <v>124</v>
      </c>
      <c r="C10" s="15">
        <f t="shared" si="4"/>
        <v>21.945714285714285</v>
      </c>
      <c r="D10" s="29">
        <v>7</v>
      </c>
      <c r="E10" s="29">
        <v>0</v>
      </c>
      <c r="F10" s="30">
        <v>153.62</v>
      </c>
      <c r="G10" s="30">
        <v>0</v>
      </c>
      <c r="H10" s="31">
        <f t="shared" si="1"/>
        <v>0</v>
      </c>
      <c r="I10" s="31">
        <f t="shared" si="2"/>
        <v>0.41718094546212092</v>
      </c>
      <c r="J10" s="32">
        <f t="shared" si="5"/>
        <v>64.087336841891016</v>
      </c>
      <c r="K10" s="32">
        <f t="shared" si="3"/>
        <v>9.1553338345558597</v>
      </c>
      <c r="L10" s="29">
        <v>31</v>
      </c>
      <c r="M10" s="33">
        <f t="shared" si="6"/>
        <v>0.22580645161290322</v>
      </c>
      <c r="N10" s="29">
        <v>9</v>
      </c>
      <c r="O10" s="34">
        <f t="shared" ref="O10:P10" si="18">D10/7</f>
        <v>1</v>
      </c>
      <c r="P10" s="34">
        <f t="shared" si="18"/>
        <v>0</v>
      </c>
      <c r="Q10" s="29">
        <f t="shared" si="8"/>
        <v>9</v>
      </c>
      <c r="R10" s="29"/>
      <c r="S10" s="35">
        <v>1.42105263157894</v>
      </c>
      <c r="T10" s="28">
        <v>0</v>
      </c>
      <c r="U10" s="36" t="s">
        <v>33</v>
      </c>
      <c r="V10" s="37" t="s">
        <v>33</v>
      </c>
      <c r="W10" s="28">
        <v>0</v>
      </c>
      <c r="X10" s="38">
        <f t="shared" si="9"/>
        <v>0</v>
      </c>
      <c r="Y10" s="39">
        <f t="shared" si="10"/>
        <v>0</v>
      </c>
      <c r="Z10" s="28">
        <v>0</v>
      </c>
      <c r="AA10" s="28" t="s">
        <v>34</v>
      </c>
      <c r="AB10" s="40">
        <f t="shared" si="11"/>
        <v>-0.69</v>
      </c>
      <c r="AC10" s="41">
        <v>5.8313062499999999E-2</v>
      </c>
      <c r="AD10" s="39">
        <f t="shared" si="12"/>
        <v>-0.56330418374999991</v>
      </c>
      <c r="AE10" s="39">
        <v>-4.9000000000000004</v>
      </c>
      <c r="AF10" s="39">
        <v>-4.5180512820512799</v>
      </c>
      <c r="AG10" s="39">
        <v>0</v>
      </c>
    </row>
    <row r="11" spans="1:33" ht="15.75" customHeight="1" x14ac:dyDescent="0.2">
      <c r="A11" s="28" t="s">
        <v>48</v>
      </c>
      <c r="B11" s="28" t="s">
        <v>47</v>
      </c>
      <c r="C11" s="15">
        <f t="shared" si="4"/>
        <v>24.67</v>
      </c>
      <c r="D11" s="29">
        <v>1</v>
      </c>
      <c r="E11" s="29">
        <v>0</v>
      </c>
      <c r="F11" s="30">
        <v>24.67</v>
      </c>
      <c r="G11" s="30">
        <v>0</v>
      </c>
      <c r="H11" s="31">
        <f t="shared" si="1"/>
        <v>0</v>
      </c>
      <c r="I11" s="31">
        <f t="shared" si="2"/>
        <v>0.46497676091198709</v>
      </c>
      <c r="J11" s="32">
        <f t="shared" si="5"/>
        <v>11.470976691698722</v>
      </c>
      <c r="K11" s="32">
        <f t="shared" si="3"/>
        <v>11.470976691698722</v>
      </c>
      <c r="L11" s="29">
        <v>14</v>
      </c>
      <c r="M11" s="33">
        <f t="shared" si="6"/>
        <v>7.1428571428571425E-2</v>
      </c>
      <c r="N11" s="29">
        <v>9</v>
      </c>
      <c r="O11" s="34">
        <f t="shared" ref="O11:P11" si="19">D11/7</f>
        <v>0.14285714285714285</v>
      </c>
      <c r="P11" s="34">
        <f t="shared" si="19"/>
        <v>0</v>
      </c>
      <c r="Q11" s="29">
        <f t="shared" si="8"/>
        <v>63</v>
      </c>
      <c r="R11" s="29"/>
      <c r="S11" s="35">
        <v>1.52</v>
      </c>
      <c r="T11" s="28">
        <v>300</v>
      </c>
      <c r="U11" s="36" t="s">
        <v>33</v>
      </c>
      <c r="V11" s="37" t="s">
        <v>33</v>
      </c>
      <c r="W11" s="28">
        <v>0</v>
      </c>
      <c r="X11" s="38">
        <f t="shared" si="9"/>
        <v>0</v>
      </c>
      <c r="Y11" s="39">
        <f t="shared" si="10"/>
        <v>0</v>
      </c>
      <c r="Z11" s="28">
        <v>0</v>
      </c>
      <c r="AA11" s="28" t="s">
        <v>34</v>
      </c>
      <c r="AB11" s="40">
        <f t="shared" si="11"/>
        <v>-0.69</v>
      </c>
      <c r="AC11" s="41">
        <v>5.8313062499999999E-2</v>
      </c>
      <c r="AD11" s="39">
        <f t="shared" si="12"/>
        <v>-8.0472026249999995E-2</v>
      </c>
      <c r="AE11" s="39">
        <v>-4.9000000000000004</v>
      </c>
      <c r="AF11" s="39">
        <v>-4.5180512820512799</v>
      </c>
      <c r="AG11" s="39">
        <v>0</v>
      </c>
    </row>
    <row r="12" spans="1:33" ht="15.75" customHeight="1" x14ac:dyDescent="0.2">
      <c r="A12" s="28" t="s">
        <v>49</v>
      </c>
      <c r="B12" s="28" t="s">
        <v>47</v>
      </c>
      <c r="C12" s="15">
        <f t="shared" si="4"/>
        <v>18.502500000000001</v>
      </c>
      <c r="D12" s="29">
        <v>4</v>
      </c>
      <c r="E12" s="29">
        <v>0</v>
      </c>
      <c r="F12" s="30">
        <v>74.010000000000005</v>
      </c>
      <c r="G12" s="30">
        <v>0</v>
      </c>
      <c r="H12" s="31">
        <f t="shared" si="1"/>
        <v>0</v>
      </c>
      <c r="I12" s="31">
        <f t="shared" si="2"/>
        <v>0.33663568121598275</v>
      </c>
      <c r="J12" s="32">
        <f t="shared" si="5"/>
        <v>24.914406766794883</v>
      </c>
      <c r="K12" s="32">
        <f t="shared" si="3"/>
        <v>6.2286016916987208</v>
      </c>
      <c r="L12" s="29">
        <v>8</v>
      </c>
      <c r="M12" s="33">
        <f t="shared" si="6"/>
        <v>0.5</v>
      </c>
      <c r="N12" s="29">
        <v>6</v>
      </c>
      <c r="O12" s="34">
        <f t="shared" ref="O12:P12" si="20">D12/7</f>
        <v>0.5714285714285714</v>
      </c>
      <c r="P12" s="34">
        <f t="shared" si="20"/>
        <v>0</v>
      </c>
      <c r="Q12" s="29">
        <f t="shared" si="8"/>
        <v>10</v>
      </c>
      <c r="R12" s="29"/>
      <c r="S12" s="35">
        <v>1.6271186440677901</v>
      </c>
      <c r="T12" s="28">
        <v>300</v>
      </c>
      <c r="U12" s="36" t="s">
        <v>33</v>
      </c>
      <c r="V12" s="37" t="s">
        <v>33</v>
      </c>
      <c r="W12" s="28">
        <v>0</v>
      </c>
      <c r="X12" s="38">
        <f t="shared" si="9"/>
        <v>0</v>
      </c>
      <c r="Y12" s="39">
        <f t="shared" si="10"/>
        <v>0</v>
      </c>
      <c r="Z12" s="28">
        <v>0</v>
      </c>
      <c r="AA12" s="28" t="s">
        <v>34</v>
      </c>
      <c r="AB12" s="40">
        <f t="shared" si="11"/>
        <v>-0.69</v>
      </c>
      <c r="AC12" s="41">
        <v>5.8313062499999999E-2</v>
      </c>
      <c r="AD12" s="39">
        <f t="shared" si="12"/>
        <v>-0.32188810499999998</v>
      </c>
      <c r="AE12" s="39">
        <v>-4.9000000000000004</v>
      </c>
      <c r="AF12" s="39">
        <v>-4.5180512820512799</v>
      </c>
      <c r="AG12" s="39">
        <v>0</v>
      </c>
    </row>
    <row r="13" spans="1:33" ht="15.75" customHeight="1" x14ac:dyDescent="0.2">
      <c r="A13" s="28" t="s">
        <v>50</v>
      </c>
      <c r="B13" s="28" t="s">
        <v>47</v>
      </c>
      <c r="C13" s="15">
        <f t="shared" si="4"/>
        <v>24.67</v>
      </c>
      <c r="D13" s="29">
        <v>1</v>
      </c>
      <c r="E13" s="29">
        <v>0</v>
      </c>
      <c r="F13" s="32">
        <v>24.67</v>
      </c>
      <c r="G13" s="30">
        <v>0</v>
      </c>
      <c r="H13" s="31">
        <f t="shared" si="1"/>
        <v>0</v>
      </c>
      <c r="I13" s="31">
        <f t="shared" si="2"/>
        <v>0.46343850724564239</v>
      </c>
      <c r="J13" s="32">
        <f t="shared" si="5"/>
        <v>11.433027973749999</v>
      </c>
      <c r="K13" s="32">
        <f t="shared" si="3"/>
        <v>11.433027973749999</v>
      </c>
      <c r="L13" s="29">
        <v>11</v>
      </c>
      <c r="M13" s="33">
        <f t="shared" si="6"/>
        <v>9.0909090909090912E-2</v>
      </c>
      <c r="N13" s="29">
        <v>4</v>
      </c>
      <c r="O13" s="34">
        <f t="shared" ref="O13:P13" si="21">D13/7</f>
        <v>0.14285714285714285</v>
      </c>
      <c r="P13" s="34">
        <f t="shared" si="21"/>
        <v>0</v>
      </c>
      <c r="Q13" s="29">
        <f t="shared" si="8"/>
        <v>28</v>
      </c>
      <c r="R13" s="29"/>
      <c r="S13" s="35">
        <v>1.6685714285714199</v>
      </c>
      <c r="T13" s="28">
        <v>300</v>
      </c>
      <c r="U13" s="36" t="s">
        <v>33</v>
      </c>
      <c r="V13" s="37" t="s">
        <v>33</v>
      </c>
      <c r="W13" s="28">
        <v>0</v>
      </c>
      <c r="X13" s="38">
        <f t="shared" si="9"/>
        <v>0</v>
      </c>
      <c r="Y13" s="39">
        <f t="shared" si="10"/>
        <v>0</v>
      </c>
      <c r="Z13" s="28">
        <v>0</v>
      </c>
      <c r="AA13" s="28" t="s">
        <v>34</v>
      </c>
      <c r="AB13" s="40">
        <f t="shared" si="11"/>
        <v>-0.69</v>
      </c>
      <c r="AC13" s="41">
        <v>5.8313062499999999E-2</v>
      </c>
      <c r="AD13" s="39">
        <f t="shared" si="12"/>
        <v>-8.0472026249999995E-2</v>
      </c>
      <c r="AE13" s="39">
        <v>-4.9000000000000004</v>
      </c>
      <c r="AF13" s="39">
        <v>-4.556</v>
      </c>
      <c r="AG13" s="39">
        <v>0</v>
      </c>
    </row>
    <row r="14" spans="1:33" ht="15.75" customHeight="1" x14ac:dyDescent="0.2">
      <c r="A14" s="28" t="s">
        <v>51</v>
      </c>
      <c r="B14" s="28" t="s">
        <v>109</v>
      </c>
      <c r="C14" s="15">
        <f t="shared" si="4"/>
        <v>24.67</v>
      </c>
      <c r="D14" s="29">
        <v>1</v>
      </c>
      <c r="E14" s="29">
        <v>0</v>
      </c>
      <c r="F14" s="32">
        <v>24.67</v>
      </c>
      <c r="G14" s="30">
        <v>0</v>
      </c>
      <c r="H14" s="31">
        <f t="shared" si="1"/>
        <v>0</v>
      </c>
      <c r="I14" s="31">
        <f t="shared" si="2"/>
        <v>0.46343850724564239</v>
      </c>
      <c r="J14" s="32">
        <f t="shared" si="5"/>
        <v>11.433027973749999</v>
      </c>
      <c r="K14" s="32">
        <f t="shared" si="3"/>
        <v>11.433027973749999</v>
      </c>
      <c r="L14" s="29">
        <v>0</v>
      </c>
      <c r="M14" s="33" t="str">
        <f t="shared" si="6"/>
        <v>-</v>
      </c>
      <c r="N14" s="29">
        <v>3</v>
      </c>
      <c r="O14" s="34">
        <f t="shared" ref="O14:P14" si="22">D14/7</f>
        <v>0.14285714285714285</v>
      </c>
      <c r="P14" s="34">
        <f t="shared" si="22"/>
        <v>0</v>
      </c>
      <c r="Q14" s="29">
        <f t="shared" si="8"/>
        <v>21</v>
      </c>
      <c r="R14" s="29"/>
      <c r="S14" s="35">
        <v>1.8013245033112499</v>
      </c>
      <c r="T14" s="28">
        <v>300</v>
      </c>
      <c r="U14" s="36" t="s">
        <v>33</v>
      </c>
      <c r="V14" s="37" t="s">
        <v>33</v>
      </c>
      <c r="W14" s="28">
        <v>0</v>
      </c>
      <c r="X14" s="38">
        <f t="shared" si="9"/>
        <v>0</v>
      </c>
      <c r="Y14" s="39">
        <f t="shared" si="10"/>
        <v>0</v>
      </c>
      <c r="Z14" s="28">
        <v>0</v>
      </c>
      <c r="AA14" s="28" t="s">
        <v>34</v>
      </c>
      <c r="AB14" s="40">
        <f t="shared" si="11"/>
        <v>-0.69</v>
      </c>
      <c r="AC14" s="41">
        <v>5.8313062499999999E-2</v>
      </c>
      <c r="AD14" s="39">
        <f t="shared" si="12"/>
        <v>-8.0472026249999995E-2</v>
      </c>
      <c r="AE14" s="39">
        <v>-4.9000000000000004</v>
      </c>
      <c r="AF14" s="39">
        <v>-4.556</v>
      </c>
      <c r="AG14" s="39">
        <v>0</v>
      </c>
    </row>
    <row r="15" spans="1:33" ht="15.75" customHeight="1" x14ac:dyDescent="0.2">
      <c r="A15" s="28" t="s">
        <v>53</v>
      </c>
      <c r="B15" s="28" t="s">
        <v>47</v>
      </c>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4</v>
      </c>
      <c r="O15" s="34">
        <f t="shared" ref="O15:P15" si="23">D15/7</f>
        <v>0</v>
      </c>
      <c r="P15" s="34">
        <f t="shared" si="23"/>
        <v>0</v>
      </c>
      <c r="Q15" s="29" t="e">
        <f t="shared" si="8"/>
        <v>#DIV/0!</v>
      </c>
      <c r="R15" s="29"/>
      <c r="S15" s="35">
        <v>1.9236641221374</v>
      </c>
      <c r="T15" s="28">
        <v>300</v>
      </c>
      <c r="U15" s="36" t="s">
        <v>33</v>
      </c>
      <c r="V15" s="37" t="s">
        <v>33</v>
      </c>
      <c r="W15" s="28">
        <v>0</v>
      </c>
      <c r="X15" s="38">
        <f t="shared" si="9"/>
        <v>0</v>
      </c>
      <c r="Y15" s="39">
        <f t="shared" si="10"/>
        <v>0</v>
      </c>
      <c r="Z15" s="28">
        <v>0</v>
      </c>
      <c r="AA15" s="28" t="s">
        <v>34</v>
      </c>
      <c r="AB15" s="40">
        <f t="shared" si="11"/>
        <v>-0.69</v>
      </c>
      <c r="AC15" s="41">
        <v>5.8313062499999999E-2</v>
      </c>
      <c r="AD15" s="39">
        <f t="shared" si="12"/>
        <v>0</v>
      </c>
      <c r="AE15" s="39">
        <v>-4.9000000000000004</v>
      </c>
      <c r="AF15" s="39">
        <v>-4.556</v>
      </c>
      <c r="AG15" s="39">
        <v>0</v>
      </c>
    </row>
    <row r="16" spans="1:33" ht="15.75" customHeight="1" x14ac:dyDescent="0.2">
      <c r="A16" s="28" t="s">
        <v>54</v>
      </c>
      <c r="B16" s="28" t="s">
        <v>47</v>
      </c>
      <c r="C16" s="15">
        <f t="shared" si="4"/>
        <v>25.716666666666669</v>
      </c>
      <c r="D16" s="29">
        <v>3</v>
      </c>
      <c r="E16" s="29">
        <v>0</v>
      </c>
      <c r="F16" s="32">
        <v>77.150000000000006</v>
      </c>
      <c r="G16" s="30">
        <v>0</v>
      </c>
      <c r="H16" s="31">
        <f t="shared" si="1"/>
        <v>0</v>
      </c>
      <c r="I16" s="31">
        <f t="shared" si="2"/>
        <v>0.4791715349481529</v>
      </c>
      <c r="J16" s="32">
        <f t="shared" si="5"/>
        <v>36.968083921249999</v>
      </c>
      <c r="K16" s="32">
        <f t="shared" si="3"/>
        <v>12.322694640416666</v>
      </c>
      <c r="L16" s="29">
        <v>4</v>
      </c>
      <c r="M16" s="33">
        <f t="shared" si="6"/>
        <v>0.75</v>
      </c>
      <c r="N16" s="29">
        <v>2</v>
      </c>
      <c r="O16" s="34">
        <f t="shared" ref="O16:P16" si="24">D16/7</f>
        <v>0.42857142857142855</v>
      </c>
      <c r="P16" s="34">
        <f t="shared" si="24"/>
        <v>0</v>
      </c>
      <c r="Q16" s="29">
        <f t="shared" si="8"/>
        <v>4</v>
      </c>
      <c r="R16" s="29"/>
      <c r="S16" s="35">
        <v>2.4150943396226401</v>
      </c>
      <c r="T16" s="28">
        <v>300</v>
      </c>
      <c r="U16" s="36" t="s">
        <v>33</v>
      </c>
      <c r="V16" s="37" t="s">
        <v>33</v>
      </c>
      <c r="W16" s="28">
        <v>0</v>
      </c>
      <c r="X16" s="38">
        <f t="shared" si="9"/>
        <v>0</v>
      </c>
      <c r="Y16" s="39">
        <f t="shared" si="10"/>
        <v>0</v>
      </c>
      <c r="Z16" s="28">
        <v>0</v>
      </c>
      <c r="AA16" s="28" t="s">
        <v>34</v>
      </c>
      <c r="AB16" s="40">
        <f t="shared" si="11"/>
        <v>-0.69</v>
      </c>
      <c r="AC16" s="41">
        <v>5.8313062499999999E-2</v>
      </c>
      <c r="AD16" s="39">
        <f t="shared" si="12"/>
        <v>-0.24141607874999998</v>
      </c>
      <c r="AE16" s="39">
        <v>-4.9000000000000004</v>
      </c>
      <c r="AF16" s="39">
        <v>-4.556</v>
      </c>
      <c r="AG16" s="39">
        <v>0</v>
      </c>
    </row>
    <row r="17" spans="1:33" ht="15.75" customHeight="1" x14ac:dyDescent="0.2">
      <c r="A17" s="28" t="s">
        <v>55</v>
      </c>
      <c r="B17" s="28" t="s">
        <v>52</v>
      </c>
      <c r="C17" s="15">
        <f t="shared" si="4"/>
        <v>26.03</v>
      </c>
      <c r="D17" s="29">
        <v>1</v>
      </c>
      <c r="E17" s="29">
        <v>0</v>
      </c>
      <c r="F17" s="32">
        <v>26.03</v>
      </c>
      <c r="G17" s="30">
        <v>0</v>
      </c>
      <c r="H17" s="31">
        <f t="shared" si="1"/>
        <v>0</v>
      </c>
      <c r="I17" s="31">
        <f t="shared" si="2"/>
        <v>0.48363534282558573</v>
      </c>
      <c r="J17" s="32">
        <f t="shared" si="5"/>
        <v>12.589027973749998</v>
      </c>
      <c r="K17" s="32">
        <f t="shared" si="3"/>
        <v>12.589027973749998</v>
      </c>
      <c r="L17" s="29">
        <v>0</v>
      </c>
      <c r="M17" s="33" t="str">
        <f t="shared" si="6"/>
        <v>-</v>
      </c>
      <c r="N17" s="29">
        <v>0</v>
      </c>
      <c r="O17" s="34">
        <f t="shared" ref="O17:P17" si="25">D17/7</f>
        <v>0.14285714285714285</v>
      </c>
      <c r="P17" s="34">
        <f t="shared" si="25"/>
        <v>0</v>
      </c>
      <c r="Q17" s="29">
        <f t="shared" si="8"/>
        <v>0</v>
      </c>
      <c r="R17" s="29"/>
      <c r="S17" s="35" t="e">
        <v>#N/A</v>
      </c>
      <c r="T17" s="28">
        <v>300</v>
      </c>
      <c r="U17" s="36" t="s">
        <v>33</v>
      </c>
      <c r="V17" s="37" t="s">
        <v>33</v>
      </c>
      <c r="W17" s="28">
        <v>0</v>
      </c>
      <c r="X17" s="38">
        <f t="shared" si="9"/>
        <v>0</v>
      </c>
      <c r="Y17" s="39">
        <f t="shared" si="10"/>
        <v>0</v>
      </c>
      <c r="Z17" s="28">
        <v>0</v>
      </c>
      <c r="AA17" s="28" t="s">
        <v>34</v>
      </c>
      <c r="AB17" s="40">
        <f t="shared" si="11"/>
        <v>-0.69</v>
      </c>
      <c r="AC17" s="41">
        <v>5.8313062499999999E-2</v>
      </c>
      <c r="AD17" s="39">
        <f t="shared" si="12"/>
        <v>-8.0472026249999995E-2</v>
      </c>
      <c r="AE17" s="39">
        <v>-4.9000000000000004</v>
      </c>
      <c r="AF17" s="39">
        <v>-4.556</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1</v>
      </c>
      <c r="O18" s="34">
        <f t="shared" ref="O18:P18" si="26">D18/7</f>
        <v>0</v>
      </c>
      <c r="P18" s="34">
        <f t="shared" si="26"/>
        <v>0</v>
      </c>
      <c r="Q18" s="29" t="e">
        <f t="shared" si="8"/>
        <v>#DIV/0!</v>
      </c>
      <c r="R18" s="29"/>
      <c r="S18" s="35">
        <v>2.7111111111111099</v>
      </c>
      <c r="T18" s="28">
        <v>300</v>
      </c>
      <c r="U18" s="36">
        <v>0</v>
      </c>
      <c r="V18" s="37" t="s">
        <v>110</v>
      </c>
      <c r="W18" s="28">
        <v>0</v>
      </c>
      <c r="X18" s="38">
        <f t="shared" si="9"/>
        <v>0</v>
      </c>
      <c r="Y18" s="39">
        <f t="shared" si="10"/>
        <v>0</v>
      </c>
      <c r="Z18" s="28">
        <v>0</v>
      </c>
      <c r="AA18" s="28" t="s">
        <v>34</v>
      </c>
      <c r="AB18" s="40">
        <f t="shared" si="11"/>
        <v>-0.69</v>
      </c>
      <c r="AC18" s="41">
        <v>5.8313062499999999E-2</v>
      </c>
      <c r="AD18" s="39">
        <f t="shared" si="12"/>
        <v>0</v>
      </c>
      <c r="AE18" s="39">
        <v>-4.9000000000000004</v>
      </c>
      <c r="AF18" s="39">
        <v>-4.556</v>
      </c>
      <c r="AG18" s="39">
        <v>0</v>
      </c>
    </row>
    <row r="19" spans="1:33" ht="15.75" customHeight="1" x14ac:dyDescent="0.2">
      <c r="A19" s="28" t="s">
        <v>57</v>
      </c>
      <c r="B19" s="28"/>
      <c r="C19" s="15">
        <f t="shared" si="4"/>
        <v>26.19</v>
      </c>
      <c r="D19" s="29">
        <v>1</v>
      </c>
      <c r="E19" s="29">
        <v>0</v>
      </c>
      <c r="F19" s="32">
        <v>26.19</v>
      </c>
      <c r="G19" s="30">
        <v>0</v>
      </c>
      <c r="H19" s="31">
        <f t="shared" si="1"/>
        <v>0</v>
      </c>
      <c r="I19" s="31">
        <f t="shared" si="2"/>
        <v>0.47774066337342491</v>
      </c>
      <c r="J19" s="32">
        <f t="shared" si="5"/>
        <v>12.51202797375</v>
      </c>
      <c r="K19" s="32">
        <f t="shared" si="3"/>
        <v>12.51202797375</v>
      </c>
      <c r="L19" s="29">
        <v>0</v>
      </c>
      <c r="M19" s="33" t="str">
        <f t="shared" si="6"/>
        <v>-</v>
      </c>
      <c r="N19" s="29">
        <v>1</v>
      </c>
      <c r="O19" s="34">
        <f t="shared" ref="O19:P19" si="27">D19/7</f>
        <v>0.14285714285714285</v>
      </c>
      <c r="P19" s="34">
        <f t="shared" si="27"/>
        <v>0</v>
      </c>
      <c r="Q19" s="29">
        <f t="shared" si="8"/>
        <v>7</v>
      </c>
      <c r="R19" s="29"/>
      <c r="S19" s="35">
        <v>2.97435897435897</v>
      </c>
      <c r="T19" s="28">
        <v>300</v>
      </c>
      <c r="U19" s="36">
        <v>100</v>
      </c>
      <c r="V19" s="37" t="s">
        <v>110</v>
      </c>
      <c r="W19" s="28">
        <v>0</v>
      </c>
      <c r="X19" s="38">
        <f t="shared" si="9"/>
        <v>0</v>
      </c>
      <c r="Y19" s="39">
        <f t="shared" si="10"/>
        <v>0</v>
      </c>
      <c r="Z19" s="28">
        <v>0</v>
      </c>
      <c r="AA19" s="28" t="s">
        <v>34</v>
      </c>
      <c r="AB19" s="40">
        <f t="shared" si="11"/>
        <v>-0.69</v>
      </c>
      <c r="AC19" s="41">
        <v>5.8313062499999999E-2</v>
      </c>
      <c r="AD19" s="39">
        <f t="shared" si="12"/>
        <v>-8.0472026249999995E-2</v>
      </c>
      <c r="AE19" s="39">
        <v>-4.9000000000000004</v>
      </c>
      <c r="AF19" s="39">
        <v>-4.7690000000000001</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300</v>
      </c>
      <c r="U20" s="36">
        <v>100</v>
      </c>
      <c r="V20" s="37" t="s">
        <v>111</v>
      </c>
      <c r="W20" s="28">
        <v>0</v>
      </c>
      <c r="X20" s="38">
        <f t="shared" si="9"/>
        <v>0</v>
      </c>
      <c r="Y20" s="39">
        <f t="shared" si="10"/>
        <v>0</v>
      </c>
      <c r="Z20" s="28">
        <v>0</v>
      </c>
      <c r="AA20" s="28" t="s">
        <v>34</v>
      </c>
      <c r="AB20" s="40">
        <f t="shared" si="11"/>
        <v>-0.69</v>
      </c>
      <c r="AC20" s="41">
        <v>5.8313062499999999E-2</v>
      </c>
      <c r="AD20" s="39">
        <f t="shared" si="12"/>
        <v>0</v>
      </c>
      <c r="AE20" s="39">
        <v>-4.9000000000000004</v>
      </c>
      <c r="AF20" s="39">
        <v>-4.7690000000000001</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300</v>
      </c>
      <c r="U21" s="36">
        <v>100</v>
      </c>
      <c r="V21" s="37" t="s">
        <v>112</v>
      </c>
      <c r="W21" s="28">
        <v>0</v>
      </c>
      <c r="X21" s="38">
        <f t="shared" si="9"/>
        <v>0</v>
      </c>
      <c r="Y21" s="39">
        <f t="shared" si="10"/>
        <v>0</v>
      </c>
      <c r="Z21" s="28">
        <v>0</v>
      </c>
      <c r="AA21" s="28" t="s">
        <v>34</v>
      </c>
      <c r="AB21" s="40">
        <f t="shared" si="11"/>
        <v>-0.69</v>
      </c>
      <c r="AC21" s="41">
        <v>5.8313062499999999E-2</v>
      </c>
      <c r="AD21" s="39">
        <f t="shared" si="12"/>
        <v>0</v>
      </c>
      <c r="AE21" s="39">
        <v>-4.9000000000000004</v>
      </c>
      <c r="AF21" s="39">
        <v>-4.7690000000000001</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300</v>
      </c>
      <c r="U22" s="36">
        <v>100</v>
      </c>
      <c r="V22" s="37" t="s">
        <v>112</v>
      </c>
      <c r="W22" s="28">
        <v>0</v>
      </c>
      <c r="X22" s="38">
        <f t="shared" si="9"/>
        <v>0</v>
      </c>
      <c r="Y22" s="39">
        <f t="shared" si="10"/>
        <v>0</v>
      </c>
      <c r="Z22" s="28">
        <v>0</v>
      </c>
      <c r="AA22" s="28" t="s">
        <v>34</v>
      </c>
      <c r="AB22" s="40">
        <f t="shared" si="11"/>
        <v>-0.69</v>
      </c>
      <c r="AC22" s="41">
        <v>5.8313062499999999E-2</v>
      </c>
      <c r="AD22" s="39">
        <f t="shared" si="12"/>
        <v>0</v>
      </c>
      <c r="AE22" s="39">
        <v>-4.9000000000000004</v>
      </c>
      <c r="AF22" s="39">
        <v>-4.7690000000000001</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300</v>
      </c>
      <c r="U23" s="36">
        <v>100</v>
      </c>
      <c r="V23" s="37" t="s">
        <v>113</v>
      </c>
      <c r="W23" s="28">
        <v>0</v>
      </c>
      <c r="X23" s="38">
        <f t="shared" si="9"/>
        <v>0</v>
      </c>
      <c r="Y23" s="39">
        <f t="shared" si="10"/>
        <v>0</v>
      </c>
      <c r="Z23" s="28">
        <v>0</v>
      </c>
      <c r="AA23" s="28" t="s">
        <v>34</v>
      </c>
      <c r="AB23" s="40">
        <f t="shared" si="11"/>
        <v>-0.69</v>
      </c>
      <c r="AC23" s="41">
        <v>5.8313062499999999E-2</v>
      </c>
      <c r="AD23" s="39">
        <f t="shared" si="12"/>
        <v>0</v>
      </c>
      <c r="AE23" s="39">
        <v>-4.9000000000000004</v>
      </c>
      <c r="AF23" s="39">
        <v>-4.7690000000000001</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300</v>
      </c>
      <c r="U24" s="36">
        <v>100</v>
      </c>
      <c r="V24" s="37" t="s">
        <v>113</v>
      </c>
      <c r="W24" s="28">
        <v>0</v>
      </c>
      <c r="X24" s="38">
        <f t="shared" si="9"/>
        <v>0</v>
      </c>
      <c r="Y24" s="39">
        <f t="shared" si="10"/>
        <v>0</v>
      </c>
      <c r="Z24" s="28">
        <v>0</v>
      </c>
      <c r="AA24" s="28" t="s">
        <v>34</v>
      </c>
      <c r="AB24" s="40">
        <f t="shared" si="11"/>
        <v>-0.69</v>
      </c>
      <c r="AC24" s="41">
        <v>5.8313062499999999E-2</v>
      </c>
      <c r="AD24" s="39">
        <f t="shared" si="12"/>
        <v>0</v>
      </c>
      <c r="AE24" s="39">
        <v>-4.9000000000000004</v>
      </c>
      <c r="AF24" s="39">
        <v>-4.7690000000000001</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300</v>
      </c>
      <c r="U25" s="36">
        <v>100</v>
      </c>
      <c r="V25" s="37" t="s">
        <v>114</v>
      </c>
      <c r="W25" s="14">
        <v>0</v>
      </c>
      <c r="X25" s="38">
        <f t="shared" si="9"/>
        <v>0</v>
      </c>
      <c r="Y25" s="39">
        <f t="shared" si="10"/>
        <v>0</v>
      </c>
      <c r="Z25" s="14">
        <v>0</v>
      </c>
      <c r="AA25" s="28" t="s">
        <v>34</v>
      </c>
      <c r="AB25" s="40">
        <f t="shared" si="11"/>
        <v>-0.69</v>
      </c>
      <c r="AC25" s="41">
        <v>5.8313062499999999E-2</v>
      </c>
      <c r="AD25" s="39">
        <f t="shared" si="12"/>
        <v>0</v>
      </c>
      <c r="AE25" s="39">
        <v>-4.9000000000000004</v>
      </c>
      <c r="AF25" s="39">
        <v>-4.7699999999999898</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200</v>
      </c>
      <c r="U26" s="36" t="s">
        <v>33</v>
      </c>
      <c r="V26" s="37" t="s">
        <v>33</v>
      </c>
      <c r="W26" s="14">
        <v>0</v>
      </c>
      <c r="X26" s="38">
        <f t="shared" si="9"/>
        <v>0</v>
      </c>
      <c r="Y26" s="39">
        <f t="shared" si="10"/>
        <v>0</v>
      </c>
      <c r="Z26" s="14">
        <v>0</v>
      </c>
      <c r="AA26" s="28" t="s">
        <v>34</v>
      </c>
      <c r="AB26" s="40">
        <f t="shared" si="11"/>
        <v>-0.69</v>
      </c>
      <c r="AC26" s="41">
        <v>5.8313062499999999E-2</v>
      </c>
      <c r="AD26" s="39">
        <f t="shared" si="12"/>
        <v>0</v>
      </c>
      <c r="AE26" s="25">
        <v>-4.9000000000000004</v>
      </c>
      <c r="AF26" s="25">
        <v>-4.7838000000000003</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99</v>
      </c>
      <c r="O27" s="34">
        <f t="shared" ref="O27:P27" si="35">D27/7</f>
        <v>0</v>
      </c>
      <c r="P27" s="34">
        <f t="shared" si="35"/>
        <v>0</v>
      </c>
      <c r="Q27" s="29" t="e">
        <f t="shared" si="8"/>
        <v>#DIV/0!</v>
      </c>
      <c r="R27" s="29"/>
      <c r="S27" s="21">
        <v>0.2068965517241379</v>
      </c>
      <c r="T27" s="28">
        <v>200</v>
      </c>
      <c r="U27" s="36" t="s">
        <v>33</v>
      </c>
      <c r="V27" s="37" t="s">
        <v>33</v>
      </c>
      <c r="W27" s="14">
        <v>0</v>
      </c>
      <c r="X27" s="38">
        <f t="shared" si="9"/>
        <v>0</v>
      </c>
      <c r="Y27" s="39">
        <f t="shared" si="10"/>
        <v>0</v>
      </c>
      <c r="Z27" s="14">
        <v>0</v>
      </c>
      <c r="AA27" s="28" t="s">
        <v>34</v>
      </c>
      <c r="AB27" s="40">
        <f t="shared" si="11"/>
        <v>-0.69</v>
      </c>
      <c r="AC27" s="41">
        <v>5.8313062499999999E-2</v>
      </c>
      <c r="AD27" s="39">
        <f t="shared" si="12"/>
        <v>0</v>
      </c>
      <c r="AE27" s="25">
        <v>-4.9000000000000004</v>
      </c>
      <c r="AF27" s="25">
        <v>-5.6132999999999997</v>
      </c>
      <c r="AG27" s="25">
        <v>0</v>
      </c>
    </row>
    <row r="28" spans="1:33" ht="15.75" customHeight="1" x14ac:dyDescent="0.2">
      <c r="A28" s="14" t="s">
        <v>71</v>
      </c>
      <c r="B28" s="14" t="s">
        <v>125</v>
      </c>
      <c r="C28" s="15">
        <f t="shared" si="4"/>
        <v>24.67</v>
      </c>
      <c r="D28" s="16">
        <v>3</v>
      </c>
      <c r="E28" s="16">
        <v>0</v>
      </c>
      <c r="F28" s="17">
        <v>74.010000000000005</v>
      </c>
      <c r="G28" s="17">
        <v>0</v>
      </c>
      <c r="H28" s="31">
        <f t="shared" si="1"/>
        <v>0</v>
      </c>
      <c r="I28" s="31">
        <f t="shared" si="2"/>
        <v>0.4185540321747061</v>
      </c>
      <c r="J28" s="32">
        <f t="shared" si="5"/>
        <v>30.977183921250003</v>
      </c>
      <c r="K28" s="32">
        <f t="shared" si="3"/>
        <v>10.32572797375</v>
      </c>
      <c r="L28" s="16">
        <v>5</v>
      </c>
      <c r="M28" s="33">
        <f t="shared" si="6"/>
        <v>0.6</v>
      </c>
      <c r="N28" s="16">
        <v>97</v>
      </c>
      <c r="O28" s="34">
        <f t="shared" ref="O28:P28" si="36">D28/7</f>
        <v>0.42857142857142855</v>
      </c>
      <c r="P28" s="34">
        <f t="shared" si="36"/>
        <v>0</v>
      </c>
      <c r="Q28" s="29">
        <f t="shared" si="8"/>
        <v>226</v>
      </c>
      <c r="R28" s="29"/>
      <c r="S28" s="21">
        <v>0.2413793103448276</v>
      </c>
      <c r="T28" s="28">
        <v>200</v>
      </c>
      <c r="U28" s="36" t="s">
        <v>33</v>
      </c>
      <c r="V28" s="37" t="s">
        <v>33</v>
      </c>
      <c r="W28" s="14">
        <v>0</v>
      </c>
      <c r="X28" s="38">
        <f t="shared" si="9"/>
        <v>0</v>
      </c>
      <c r="Y28" s="39">
        <f t="shared" si="10"/>
        <v>0</v>
      </c>
      <c r="Z28" s="14">
        <v>0</v>
      </c>
      <c r="AA28" s="28" t="s">
        <v>34</v>
      </c>
      <c r="AB28" s="40">
        <f t="shared" si="11"/>
        <v>-0.69</v>
      </c>
      <c r="AC28" s="41">
        <v>5.8313062499999999E-2</v>
      </c>
      <c r="AD28" s="39">
        <f t="shared" si="12"/>
        <v>-0.24141607874999998</v>
      </c>
      <c r="AE28" s="25">
        <v>-4.95</v>
      </c>
      <c r="AF28" s="25">
        <v>-5.6132999999999997</v>
      </c>
      <c r="AG28" s="25">
        <v>0</v>
      </c>
    </row>
    <row r="29" spans="1:33" ht="15.75" customHeight="1" x14ac:dyDescent="0.2">
      <c r="A29" s="28" t="s">
        <v>72</v>
      </c>
      <c r="B29" s="28" t="s">
        <v>126</v>
      </c>
      <c r="C29" s="15">
        <f t="shared" si="4"/>
        <v>24.67</v>
      </c>
      <c r="D29" s="29">
        <v>2</v>
      </c>
      <c r="E29" s="29">
        <v>0</v>
      </c>
      <c r="F29" s="32">
        <v>49.34</v>
      </c>
      <c r="G29" s="32">
        <v>0</v>
      </c>
      <c r="H29" s="31">
        <f t="shared" si="1"/>
        <v>0</v>
      </c>
      <c r="I29" s="31">
        <f t="shared" si="2"/>
        <v>0.41855403217470616</v>
      </c>
      <c r="J29" s="32">
        <f t="shared" si="5"/>
        <v>20.651455947500004</v>
      </c>
      <c r="K29" s="32">
        <f t="shared" si="3"/>
        <v>10.325727973750002</v>
      </c>
      <c r="L29" s="29">
        <v>3</v>
      </c>
      <c r="M29" s="33">
        <f t="shared" si="6"/>
        <v>0.66666666666666663</v>
      </c>
      <c r="N29" s="16">
        <v>70</v>
      </c>
      <c r="O29" s="34">
        <f t="shared" ref="O29:P29" si="37">D29/7</f>
        <v>0.2857142857142857</v>
      </c>
      <c r="P29" s="34">
        <f t="shared" si="37"/>
        <v>0</v>
      </c>
      <c r="Q29" s="29">
        <f t="shared" si="8"/>
        <v>245</v>
      </c>
      <c r="R29" s="29"/>
      <c r="S29" s="21">
        <v>0.28235294117647058</v>
      </c>
      <c r="T29" s="28">
        <v>200</v>
      </c>
      <c r="U29" s="36" t="s">
        <v>33</v>
      </c>
      <c r="V29" s="37" t="s">
        <v>33</v>
      </c>
      <c r="W29" s="14">
        <v>0</v>
      </c>
      <c r="X29" s="38">
        <f t="shared" si="9"/>
        <v>0</v>
      </c>
      <c r="Y29" s="39">
        <f t="shared" si="10"/>
        <v>0</v>
      </c>
      <c r="Z29" s="14">
        <v>0</v>
      </c>
      <c r="AA29" s="28" t="s">
        <v>34</v>
      </c>
      <c r="AB29" s="40">
        <f t="shared" si="11"/>
        <v>-0.69</v>
      </c>
      <c r="AC29" s="41">
        <v>5.8313062499999999E-2</v>
      </c>
      <c r="AD29" s="39">
        <f t="shared" si="12"/>
        <v>-0.16094405249999999</v>
      </c>
      <c r="AE29" s="39">
        <v>-4.95</v>
      </c>
      <c r="AF29" s="25">
        <v>-5.6132999999999997</v>
      </c>
      <c r="AG29" s="39">
        <v>0</v>
      </c>
    </row>
    <row r="30" spans="1:33" ht="15.75" customHeight="1" x14ac:dyDescent="0.2">
      <c r="A30" s="14" t="s">
        <v>74</v>
      </c>
      <c r="B30" s="14" t="s">
        <v>127</v>
      </c>
      <c r="C30" s="15">
        <f t="shared" si="4"/>
        <v>24.453749999999999</v>
      </c>
      <c r="D30" s="16">
        <v>8</v>
      </c>
      <c r="E30" s="16">
        <v>0</v>
      </c>
      <c r="F30" s="17">
        <v>195.63</v>
      </c>
      <c r="G30" s="17">
        <v>0</v>
      </c>
      <c r="H30" s="31">
        <f t="shared" si="1"/>
        <v>0</v>
      </c>
      <c r="I30" s="31">
        <f t="shared" si="2"/>
        <v>0.41857601188161325</v>
      </c>
      <c r="J30" s="32">
        <f t="shared" si="5"/>
        <v>81.886025204399999</v>
      </c>
      <c r="K30" s="32">
        <f t="shared" si="3"/>
        <v>10.23575315055</v>
      </c>
      <c r="L30" s="16">
        <v>6</v>
      </c>
      <c r="M30" s="33">
        <f t="shared" si="6"/>
        <v>1.3333333333333333</v>
      </c>
      <c r="N30" s="16">
        <v>73</v>
      </c>
      <c r="O30" s="34">
        <f t="shared" ref="O30:P30" si="38">D30/7</f>
        <v>1.1428571428571428</v>
      </c>
      <c r="P30" s="34">
        <f t="shared" si="38"/>
        <v>0</v>
      </c>
      <c r="Q30" s="29">
        <f t="shared" si="8"/>
        <v>63</v>
      </c>
      <c r="R30" s="29"/>
      <c r="S30" s="21">
        <v>0.41379310344827591</v>
      </c>
      <c r="T30" s="28">
        <v>200</v>
      </c>
      <c r="U30" s="36" t="s">
        <v>33</v>
      </c>
      <c r="V30" s="37" t="s">
        <v>33</v>
      </c>
      <c r="W30" s="14">
        <v>0</v>
      </c>
      <c r="X30" s="38">
        <f t="shared" si="9"/>
        <v>0</v>
      </c>
      <c r="Y30" s="39">
        <f t="shared" si="10"/>
        <v>0</v>
      </c>
      <c r="Z30" s="14">
        <v>0</v>
      </c>
      <c r="AA30" s="28" t="s">
        <v>34</v>
      </c>
      <c r="AB30" s="40">
        <f t="shared" si="11"/>
        <v>-0.69</v>
      </c>
      <c r="AC30" s="41">
        <v>5.8313062499999999E-2</v>
      </c>
      <c r="AD30" s="39">
        <f t="shared" si="12"/>
        <v>-0.64377620999999996</v>
      </c>
      <c r="AE30" s="25">
        <v>-4.95</v>
      </c>
      <c r="AF30" s="25">
        <v>-5.5194623232</v>
      </c>
      <c r="AG30" s="25">
        <v>0</v>
      </c>
    </row>
    <row r="31" spans="1:33" ht="15.75" customHeight="1" x14ac:dyDescent="0.2">
      <c r="A31" s="14" t="s">
        <v>75</v>
      </c>
      <c r="B31" s="14"/>
      <c r="C31" s="15">
        <f t="shared" si="4"/>
        <v>24.23555555555556</v>
      </c>
      <c r="D31" s="16">
        <v>9</v>
      </c>
      <c r="E31" s="16">
        <v>0</v>
      </c>
      <c r="F31" s="17">
        <v>218.12000000000003</v>
      </c>
      <c r="G31" s="42">
        <v>0</v>
      </c>
      <c r="H31" s="31">
        <f t="shared" si="1"/>
        <v>0</v>
      </c>
      <c r="I31" s="31">
        <f t="shared" si="2"/>
        <v>0.414691870781909</v>
      </c>
      <c r="J31" s="32">
        <f t="shared" si="5"/>
        <v>90.452590854950003</v>
      </c>
      <c r="K31" s="32">
        <f t="shared" si="3"/>
        <v>10.050287872772223</v>
      </c>
      <c r="L31" s="16">
        <v>12</v>
      </c>
      <c r="M31" s="33">
        <f t="shared" si="6"/>
        <v>0.75</v>
      </c>
      <c r="N31" s="16">
        <v>76</v>
      </c>
      <c r="O31" s="34">
        <f t="shared" ref="O31:P32" si="39">D31/7</f>
        <v>1.2857142857142858</v>
      </c>
      <c r="P31" s="34">
        <f t="shared" si="39"/>
        <v>0</v>
      </c>
      <c r="Q31" s="29">
        <f t="shared" si="8"/>
        <v>59</v>
      </c>
      <c r="R31" s="29"/>
      <c r="S31" s="21">
        <v>0.8</v>
      </c>
      <c r="T31" s="14">
        <v>200</v>
      </c>
      <c r="U31" s="22" t="s">
        <v>33</v>
      </c>
      <c r="V31" s="1" t="s">
        <v>935</v>
      </c>
      <c r="W31" s="14">
        <v>0</v>
      </c>
      <c r="X31" s="38">
        <f t="shared" si="9"/>
        <v>0</v>
      </c>
      <c r="Y31" s="39">
        <f t="shared" si="10"/>
        <v>0</v>
      </c>
      <c r="Z31" s="14">
        <v>0</v>
      </c>
      <c r="AA31" s="14" t="s">
        <v>34</v>
      </c>
      <c r="AB31" s="40">
        <f t="shared" si="11"/>
        <v>-0.69</v>
      </c>
      <c r="AC31" s="27">
        <v>5.8313062499999999E-2</v>
      </c>
      <c r="AD31" s="39">
        <f t="shared" si="12"/>
        <v>-0.72424823625000001</v>
      </c>
      <c r="AE31" s="43">
        <v>-4.95</v>
      </c>
      <c r="AF31" s="43">
        <v>-5.5194623232</v>
      </c>
      <c r="AG31" s="25">
        <v>0</v>
      </c>
    </row>
    <row r="32" spans="1:33" s="51" customFormat="1" ht="15.75" customHeight="1" x14ac:dyDescent="0.2">
      <c r="A32" s="51" t="s">
        <v>934</v>
      </c>
      <c r="C32" s="15">
        <f t="shared" si="4"/>
        <v>25.27</v>
      </c>
      <c r="D32" s="52">
        <v>1</v>
      </c>
      <c r="E32" s="52">
        <v>0</v>
      </c>
      <c r="F32" s="53">
        <v>25.27</v>
      </c>
      <c r="G32" s="53">
        <v>0</v>
      </c>
      <c r="H32" s="31">
        <f t="shared" si="1"/>
        <v>0</v>
      </c>
      <c r="I32" s="31">
        <f t="shared" si="2"/>
        <v>0.43251150180253267</v>
      </c>
      <c r="J32" s="32">
        <f t="shared" si="5"/>
        <v>10.92956565055</v>
      </c>
      <c r="K32" s="32">
        <f t="shared" si="3"/>
        <v>10.92956565055</v>
      </c>
      <c r="L32" s="52">
        <v>7</v>
      </c>
      <c r="M32" s="33">
        <f t="shared" si="6"/>
        <v>0.14285714285714285</v>
      </c>
      <c r="N32" s="52">
        <v>73</v>
      </c>
      <c r="O32" s="34">
        <f t="shared" si="39"/>
        <v>0.14285714285714285</v>
      </c>
      <c r="P32" s="34">
        <f t="shared" si="39"/>
        <v>0</v>
      </c>
      <c r="Q32" s="29">
        <f t="shared" si="8"/>
        <v>511</v>
      </c>
      <c r="R32" s="29" t="str">
        <f ca="1">IFERROR(VLOOKUP($B$2,IMPORTRANGE("https://docs.google.com/spreadsheets/d/1KiWZV1ko8G7lnRucBRBd29jj3Be6ltMfljMDqzOkQmI/edit#gid=1381463014","Lookup!A:F"),6,FALSE),"")</f>
        <v/>
      </c>
      <c r="S32" s="54">
        <v>0.5161290322580645</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5.8313062499999999E-2</v>
      </c>
      <c r="AD32" s="39">
        <f t="shared" si="12"/>
        <v>-8.0472026249999995E-2</v>
      </c>
      <c r="AE32" s="58">
        <v>-4.95</v>
      </c>
      <c r="AF32" s="58">
        <v>-5.5194623232</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8" customWidth="1"/>
    <col min="3" max="3" width="9.1640625" customWidth="1"/>
    <col min="4" max="4" width="6.5" customWidth="1"/>
    <col min="5" max="5" width="10"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22.5" customWidth="1"/>
    <col min="22" max="22" width="96.832031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Prong Dryer Cord - 10 Ft Electric Dryer Power Plug, 30 Amp, 10-30R")</f>
        <v>3 Prong Dryer Cord - 10 Ft Electric Dryer Power Plug, 30 Amp, 10-30R</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Info!B1:BJ5000""),2,FALSE),"""")"),"B089DMZKND")</f>
        <v>B089DMZKND</v>
      </c>
      <c r="B2" s="3" t="s">
        <v>128</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48.75" customHeight="1" x14ac:dyDescent="0.2">
      <c r="A3" s="76" t="s">
        <v>30</v>
      </c>
      <c r="B3" s="77"/>
      <c r="C3" s="47">
        <f>((AE32+AF32)/0.85)*-1</f>
        <v>16.716141749411765</v>
      </c>
      <c r="D3" s="5">
        <f>SUM(D4:D99765)</f>
        <v>1465</v>
      </c>
      <c r="E3" s="5"/>
      <c r="F3" s="6">
        <f t="shared" ref="F3:G3" si="0">SUM(F4:F99765)</f>
        <v>43262.939999999988</v>
      </c>
      <c r="G3" s="6">
        <f t="shared" si="0"/>
        <v>-1.9900000000000004</v>
      </c>
      <c r="H3" s="7">
        <f t="shared" ref="H3:H32" si="1">G3/F3*-1</f>
        <v>4.5997798577720356E-5</v>
      </c>
      <c r="I3" s="8">
        <f t="shared" ref="I3:I32" si="2">J3/F3</f>
        <v>0.41906746286407998</v>
      </c>
      <c r="J3" s="6">
        <f>SUM(J4:J99765)</f>
        <v>18130.090501840914</v>
      </c>
      <c r="K3" s="6">
        <f t="shared" ref="K3:K32" si="3">J3/D3</f>
        <v>12.375488397161034</v>
      </c>
      <c r="L3" s="5"/>
      <c r="M3" s="9"/>
      <c r="N3" s="10"/>
      <c r="O3" s="5" t="str">
        <f ca="1">IFERROR(__xludf.DUMMYFUNCTION("IFERROR(VLOOKUP(B2,IMPORTRANGE(""https://docs.google.com/spreadsheets/d/1N8jvpEHDVkurDv7NrPxwI3eH6hQsvtb1QltGNCalRjU/edit#gid=865736387"",""Compiled Sheet!a1:g5000""),2,FALSE),"""")"),"11.5 - March
11.5 - April
11.5 - May
11.5 - June
11.5 - July
11.5 - Aug
11.5 - Sept
10.5 - Oct
10.5 - Nov
10.5 - Dec
10.5 - Jan
16 - Feb")</f>
        <v>11.5 - March
11.5 - April
11.5 - May
11.5 - June
11.5 - July
11.5 - Aug
11.5 - Sept
10.5 - Oct
10.5 - Nov
10.5 - Dec
10.5 - Jan
16 -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3</v>
      </c>
      <c r="X3" s="7">
        <f>W3/D3</f>
        <v>2.0477815699658703E-3</v>
      </c>
      <c r="Y3" s="6"/>
      <c r="Z3" s="5"/>
      <c r="AA3" s="5"/>
      <c r="AB3" s="5"/>
      <c r="AC3" s="5"/>
      <c r="AD3" s="6">
        <f>SUM(AD4:AD99765)</f>
        <v>-146.61594700833331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Info!B2:BZ7000""),37,FALSE)),"""")*-1"),-8.528720487)</f>
        <v>-8.5287204869999993</v>
      </c>
      <c r="AG3" s="6">
        <f>SUM(AG4:AG99765)</f>
        <v>0</v>
      </c>
    </row>
    <row r="4" spans="1:33" ht="15.75" customHeight="1" x14ac:dyDescent="0.2">
      <c r="A4" s="14" t="s">
        <v>31</v>
      </c>
      <c r="B4" s="14" t="s">
        <v>129</v>
      </c>
      <c r="C4" s="15" t="str">
        <f t="shared" ref="C4:C32" si="4">IFERROR(F4/D4," - ")</f>
        <v xml:space="preserve"> - </v>
      </c>
      <c r="D4" s="16">
        <v>0</v>
      </c>
      <c r="E4" s="16">
        <v>0</v>
      </c>
      <c r="F4" s="17">
        <v>0</v>
      </c>
      <c r="G4" s="17">
        <v>0</v>
      </c>
      <c r="H4" s="18" t="e">
        <f t="shared" si="1"/>
        <v>#DIV/0!</v>
      </c>
      <c r="I4" s="18" t="e">
        <f t="shared" si="2"/>
        <v>#DIV/0!</v>
      </c>
      <c r="J4" s="17">
        <f t="shared" ref="J4:J32" si="5">F4*0.85+G4+AF4*D4+D4*AE4+AG4+AD4</f>
        <v>0</v>
      </c>
      <c r="K4" s="17" t="e">
        <f t="shared" si="3"/>
        <v>#DIV/0!</v>
      </c>
      <c r="L4" s="16">
        <v>0</v>
      </c>
      <c r="M4" s="19" t="str">
        <f t="shared" ref="M4:M32" si="6">IFERROR(D4/L4,"-")</f>
        <v>-</v>
      </c>
      <c r="N4" s="16">
        <v>0</v>
      </c>
      <c r="O4" s="20">
        <f t="shared" ref="O4:P4" si="7">D4/7</f>
        <v>0</v>
      </c>
      <c r="P4" s="20">
        <f t="shared" si="7"/>
        <v>0</v>
      </c>
      <c r="Q4" s="16" t="e">
        <f t="shared" ref="Q4:Q32" si="8">ROUNDDOWN(N4/(O4+P4),0)</f>
        <v>#DIV/0!</v>
      </c>
      <c r="R4" s="16"/>
      <c r="S4" s="21" t="e">
        <v>#N/A</v>
      </c>
      <c r="T4" s="14">
        <v>1000</v>
      </c>
      <c r="U4" s="22">
        <v>700</v>
      </c>
      <c r="V4" s="23" t="s">
        <v>130</v>
      </c>
      <c r="W4" s="14">
        <v>0</v>
      </c>
      <c r="X4" s="24">
        <f t="shared" ref="X4:X32" si="9">IFERROR(W4/D4,0)</f>
        <v>0</v>
      </c>
      <c r="Y4" s="25">
        <f t="shared" ref="Y4:Y32" si="10">IFERROR(G4/(W4+Z4)*-1,0)</f>
        <v>0</v>
      </c>
      <c r="Z4" s="14">
        <v>0</v>
      </c>
      <c r="AA4" s="2" t="e">
        <v>#N/A</v>
      </c>
      <c r="AB4" s="26" t="e">
        <f t="shared" ref="AB4:AB32" si="11">IF(OR(AA4="UsLargeStandardSize",AA4="UsSmallStandardSize"),-0.69,-0.48)</f>
        <v>#N/A</v>
      </c>
      <c r="AC4" s="27" t="e">
        <v>#N/A</v>
      </c>
      <c r="AD4" s="25">
        <f t="shared" ref="AD4:AD32" si="12">IFERROR(AB4*AC4*D4*2,0)</f>
        <v>0</v>
      </c>
      <c r="AE4" s="25">
        <v>0</v>
      </c>
      <c r="AF4" s="25">
        <v>-5.91</v>
      </c>
      <c r="AG4" s="25">
        <v>0</v>
      </c>
    </row>
    <row r="5" spans="1:33" ht="15.75" customHeight="1" x14ac:dyDescent="0.2">
      <c r="A5" s="28" t="s">
        <v>35</v>
      </c>
      <c r="B5" s="28" t="s">
        <v>131</v>
      </c>
      <c r="C5" s="15">
        <f t="shared" si="4"/>
        <v>26.5</v>
      </c>
      <c r="D5" s="29">
        <v>1</v>
      </c>
      <c r="E5" s="29">
        <v>0</v>
      </c>
      <c r="F5" s="30">
        <v>26.5</v>
      </c>
      <c r="G5" s="30">
        <v>0</v>
      </c>
      <c r="H5" s="31">
        <f t="shared" si="1"/>
        <v>0</v>
      </c>
      <c r="I5" s="31">
        <f t="shared" si="2"/>
        <v>0.41880754716981122</v>
      </c>
      <c r="J5" s="32">
        <f t="shared" si="5"/>
        <v>11.098399999999998</v>
      </c>
      <c r="K5" s="32">
        <f t="shared" si="3"/>
        <v>11.098399999999998</v>
      </c>
      <c r="L5" s="29">
        <v>1</v>
      </c>
      <c r="M5" s="33">
        <f t="shared" si="6"/>
        <v>1</v>
      </c>
      <c r="N5" s="29">
        <v>0</v>
      </c>
      <c r="O5" s="34">
        <f t="shared" ref="O5:P5" si="13">D5/7</f>
        <v>0.14285714285714285</v>
      </c>
      <c r="P5" s="34">
        <f t="shared" si="13"/>
        <v>0</v>
      </c>
      <c r="Q5" s="29">
        <f t="shared" si="8"/>
        <v>0</v>
      </c>
      <c r="R5" s="29"/>
      <c r="S5" s="35" t="e">
        <v>#N/A</v>
      </c>
      <c r="T5" s="28">
        <v>1000</v>
      </c>
      <c r="U5" s="36">
        <v>700</v>
      </c>
      <c r="V5" s="37" t="s">
        <v>132</v>
      </c>
      <c r="W5" s="28">
        <v>0</v>
      </c>
      <c r="X5" s="38">
        <f t="shared" si="9"/>
        <v>0</v>
      </c>
      <c r="Y5" s="39">
        <f t="shared" si="10"/>
        <v>0</v>
      </c>
      <c r="Z5" s="28">
        <v>0</v>
      </c>
      <c r="AA5" s="28" t="s">
        <v>34</v>
      </c>
      <c r="AB5" s="40">
        <f t="shared" si="11"/>
        <v>-0.69</v>
      </c>
      <c r="AC5" s="41">
        <v>7.0000000000000007E-2</v>
      </c>
      <c r="AD5" s="39">
        <f t="shared" si="12"/>
        <v>-9.6600000000000005E-2</v>
      </c>
      <c r="AE5" s="39">
        <v>-5.42</v>
      </c>
      <c r="AF5" s="39">
        <v>-5.91</v>
      </c>
      <c r="AG5" s="39">
        <v>0</v>
      </c>
    </row>
    <row r="6" spans="1:33" ht="15.75" customHeight="1" x14ac:dyDescent="0.2">
      <c r="A6" s="28" t="s">
        <v>37</v>
      </c>
      <c r="B6" s="28"/>
      <c r="C6" s="15" t="str">
        <f t="shared" si="4"/>
        <v xml:space="preserve"> - </v>
      </c>
      <c r="D6" s="29">
        <v>0</v>
      </c>
      <c r="E6" s="29">
        <v>0</v>
      </c>
      <c r="F6" s="30">
        <v>0</v>
      </c>
      <c r="G6" s="30">
        <v>0</v>
      </c>
      <c r="H6" s="31" t="e">
        <f t="shared" si="1"/>
        <v>#DIV/0!</v>
      </c>
      <c r="I6" s="31" t="e">
        <f t="shared" si="2"/>
        <v>#DIV/0!</v>
      </c>
      <c r="J6" s="32">
        <f t="shared" si="5"/>
        <v>0</v>
      </c>
      <c r="K6" s="32" t="e">
        <f t="shared" si="3"/>
        <v>#DIV/0!</v>
      </c>
      <c r="L6" s="29">
        <v>0</v>
      </c>
      <c r="M6" s="33" t="str">
        <f t="shared" si="6"/>
        <v>-</v>
      </c>
      <c r="N6" s="29">
        <v>0</v>
      </c>
      <c r="O6" s="34">
        <f t="shared" ref="O6:P6" si="14">D6/7</f>
        <v>0</v>
      </c>
      <c r="P6" s="34">
        <f t="shared" si="14"/>
        <v>0</v>
      </c>
      <c r="Q6" s="29" t="e">
        <f t="shared" si="8"/>
        <v>#DIV/0!</v>
      </c>
      <c r="R6" s="29"/>
      <c r="S6" s="35" t="e">
        <v>#N/A</v>
      </c>
      <c r="T6" s="28">
        <v>300</v>
      </c>
      <c r="U6" s="36">
        <v>220</v>
      </c>
      <c r="V6" s="37" t="s">
        <v>133</v>
      </c>
      <c r="W6" s="28">
        <v>0</v>
      </c>
      <c r="X6" s="38">
        <f t="shared" si="9"/>
        <v>0</v>
      </c>
      <c r="Y6" s="39">
        <f t="shared" si="10"/>
        <v>0</v>
      </c>
      <c r="Z6" s="28">
        <v>0</v>
      </c>
      <c r="AA6" s="28" t="e">
        <v>#N/A</v>
      </c>
      <c r="AB6" s="40" t="e">
        <f t="shared" si="11"/>
        <v>#N/A</v>
      </c>
      <c r="AC6" s="41" t="e">
        <v>#N/A</v>
      </c>
      <c r="AD6" s="39">
        <f t="shared" si="12"/>
        <v>0</v>
      </c>
      <c r="AE6" s="39">
        <v>0</v>
      </c>
      <c r="AF6" s="39">
        <v>-5.91</v>
      </c>
      <c r="AG6" s="39">
        <v>0</v>
      </c>
    </row>
    <row r="7" spans="1:33" ht="15.75" customHeight="1" x14ac:dyDescent="0.2">
      <c r="A7" s="28" t="s">
        <v>40</v>
      </c>
      <c r="B7" s="28" t="s">
        <v>134</v>
      </c>
      <c r="C7" s="15">
        <f t="shared" si="4"/>
        <v>26.5</v>
      </c>
      <c r="D7" s="29">
        <v>8</v>
      </c>
      <c r="E7" s="29">
        <v>0</v>
      </c>
      <c r="F7" s="30">
        <v>212</v>
      </c>
      <c r="G7" s="30">
        <v>0</v>
      </c>
      <c r="H7" s="31">
        <f t="shared" si="1"/>
        <v>0</v>
      </c>
      <c r="I7" s="31">
        <f t="shared" si="2"/>
        <v>0.40777147622056914</v>
      </c>
      <c r="J7" s="32">
        <f t="shared" si="5"/>
        <v>86.447552958760653</v>
      </c>
      <c r="K7" s="32">
        <f t="shared" si="3"/>
        <v>10.805944119845082</v>
      </c>
      <c r="L7" s="29">
        <v>21</v>
      </c>
      <c r="M7" s="33">
        <f t="shared" si="6"/>
        <v>0.38095238095238093</v>
      </c>
      <c r="N7" s="29">
        <v>105</v>
      </c>
      <c r="O7" s="34">
        <f t="shared" ref="O7:P7" si="15">D7/7</f>
        <v>1.1428571428571428</v>
      </c>
      <c r="P7" s="34">
        <f t="shared" si="15"/>
        <v>0</v>
      </c>
      <c r="Q7" s="29">
        <f t="shared" si="8"/>
        <v>91</v>
      </c>
      <c r="R7" s="29"/>
      <c r="S7" s="35">
        <v>0.106194690265486</v>
      </c>
      <c r="T7" s="28">
        <v>300</v>
      </c>
      <c r="U7" s="36">
        <v>220</v>
      </c>
      <c r="V7" s="37" t="s">
        <v>135</v>
      </c>
      <c r="W7" s="28">
        <v>0</v>
      </c>
      <c r="X7" s="38">
        <f t="shared" si="9"/>
        <v>0</v>
      </c>
      <c r="Y7" s="39">
        <f t="shared" si="10"/>
        <v>0</v>
      </c>
      <c r="Z7" s="28">
        <v>0</v>
      </c>
      <c r="AA7" s="28" t="s">
        <v>34</v>
      </c>
      <c r="AB7" s="40">
        <f t="shared" si="11"/>
        <v>-0.69</v>
      </c>
      <c r="AC7" s="41">
        <v>7.252284143518517E-2</v>
      </c>
      <c r="AD7" s="39">
        <f t="shared" si="12"/>
        <v>-0.80065216944444417</v>
      </c>
      <c r="AE7" s="39">
        <v>-5.42</v>
      </c>
      <c r="AF7" s="39">
        <v>-6.1989743589743593</v>
      </c>
      <c r="AG7" s="39">
        <v>0</v>
      </c>
    </row>
    <row r="8" spans="1:33" ht="15.75" customHeight="1" x14ac:dyDescent="0.2">
      <c r="A8" s="28" t="s">
        <v>42</v>
      </c>
      <c r="B8" s="28" t="s">
        <v>136</v>
      </c>
      <c r="C8" s="15">
        <f t="shared" si="4"/>
        <v>22.432077922077941</v>
      </c>
      <c r="D8" s="29">
        <v>77</v>
      </c>
      <c r="E8" s="29">
        <v>1</v>
      </c>
      <c r="F8" s="30">
        <v>1727.2700000000013</v>
      </c>
      <c r="G8" s="30">
        <v>0</v>
      </c>
      <c r="H8" s="31">
        <f t="shared" si="1"/>
        <v>0</v>
      </c>
      <c r="I8" s="31">
        <f t="shared" si="2"/>
        <v>0.32753027776149524</v>
      </c>
      <c r="J8" s="32">
        <f t="shared" si="5"/>
        <v>565.73322286909831</v>
      </c>
      <c r="K8" s="32">
        <f t="shared" si="3"/>
        <v>7.3471847125856922</v>
      </c>
      <c r="L8" s="29">
        <v>70</v>
      </c>
      <c r="M8" s="33">
        <f t="shared" si="6"/>
        <v>1.1000000000000001</v>
      </c>
      <c r="N8" s="29">
        <v>261</v>
      </c>
      <c r="O8" s="34">
        <f t="shared" ref="O8:P8" si="16">D8/7</f>
        <v>11</v>
      </c>
      <c r="P8" s="34">
        <f t="shared" si="16"/>
        <v>0.14285714285714285</v>
      </c>
      <c r="Q8" s="29">
        <f t="shared" si="8"/>
        <v>23</v>
      </c>
      <c r="R8" s="29"/>
      <c r="S8" s="35">
        <v>0.65051903114186804</v>
      </c>
      <c r="T8" s="28">
        <v>80</v>
      </c>
      <c r="U8" s="36">
        <v>80</v>
      </c>
      <c r="V8" s="37" t="s">
        <v>137</v>
      </c>
      <c r="W8" s="28">
        <v>0</v>
      </c>
      <c r="X8" s="38">
        <f t="shared" si="9"/>
        <v>0</v>
      </c>
      <c r="Y8" s="39">
        <f t="shared" si="10"/>
        <v>0</v>
      </c>
      <c r="Z8" s="28">
        <v>0</v>
      </c>
      <c r="AA8" s="28" t="s">
        <v>34</v>
      </c>
      <c r="AB8" s="40">
        <f t="shared" si="11"/>
        <v>-0.69</v>
      </c>
      <c r="AC8" s="41">
        <v>7.252284143518517E-2</v>
      </c>
      <c r="AD8" s="39">
        <f t="shared" si="12"/>
        <v>-7.7062771309027749</v>
      </c>
      <c r="AE8" s="39">
        <v>-5.42</v>
      </c>
      <c r="AF8" s="39">
        <v>-6.2</v>
      </c>
      <c r="AG8" s="39">
        <v>0</v>
      </c>
    </row>
    <row r="9" spans="1:33" ht="15.75" customHeight="1" x14ac:dyDescent="0.2">
      <c r="A9" s="28" t="s">
        <v>44</v>
      </c>
      <c r="B9" s="28" t="s">
        <v>138</v>
      </c>
      <c r="C9" s="15">
        <f t="shared" si="4"/>
        <v>22.557599999999987</v>
      </c>
      <c r="D9" s="29">
        <v>150</v>
      </c>
      <c r="E9" s="29">
        <v>0</v>
      </c>
      <c r="F9" s="30">
        <v>3383.6399999999981</v>
      </c>
      <c r="G9" s="30">
        <v>0</v>
      </c>
      <c r="H9" s="31">
        <f t="shared" si="1"/>
        <v>0</v>
      </c>
      <c r="I9" s="31">
        <f t="shared" si="2"/>
        <v>0.32551569483428194</v>
      </c>
      <c r="J9" s="32">
        <f t="shared" si="5"/>
        <v>1101.4279256690691</v>
      </c>
      <c r="K9" s="32">
        <f t="shared" si="3"/>
        <v>7.3428528377937941</v>
      </c>
      <c r="L9" s="29">
        <v>232</v>
      </c>
      <c r="M9" s="33">
        <f t="shared" si="6"/>
        <v>0.64655172413793105</v>
      </c>
      <c r="N9" s="29">
        <v>113</v>
      </c>
      <c r="O9" s="34">
        <f t="shared" ref="O9:P9" si="17">D9/7</f>
        <v>21.428571428571427</v>
      </c>
      <c r="P9" s="34">
        <f t="shared" si="17"/>
        <v>0</v>
      </c>
      <c r="Q9" s="29">
        <f t="shared" si="8"/>
        <v>5</v>
      </c>
      <c r="R9" s="29"/>
      <c r="S9" s="35">
        <v>5.2777777777777697</v>
      </c>
      <c r="T9" s="28">
        <v>80</v>
      </c>
      <c r="U9" s="36">
        <v>80</v>
      </c>
      <c r="V9" s="37" t="s">
        <v>139</v>
      </c>
      <c r="W9" s="28">
        <v>0</v>
      </c>
      <c r="X9" s="38">
        <f t="shared" si="9"/>
        <v>0</v>
      </c>
      <c r="Y9" s="39">
        <f t="shared" si="10"/>
        <v>0</v>
      </c>
      <c r="Z9" s="28">
        <v>0</v>
      </c>
      <c r="AA9" s="28" t="s">
        <v>34</v>
      </c>
      <c r="AB9" s="40">
        <f t="shared" si="11"/>
        <v>-0.69</v>
      </c>
      <c r="AC9" s="41">
        <v>7.252284143518517E-2</v>
      </c>
      <c r="AD9" s="39">
        <f t="shared" si="12"/>
        <v>-15.012228177083328</v>
      </c>
      <c r="AE9" s="39">
        <v>-5.42</v>
      </c>
      <c r="AF9" s="39">
        <v>-6.3110256410256396</v>
      </c>
      <c r="AG9" s="39">
        <v>0</v>
      </c>
    </row>
    <row r="10" spans="1:33" ht="15.75" customHeight="1" x14ac:dyDescent="0.2">
      <c r="A10" s="28" t="s">
        <v>46</v>
      </c>
      <c r="B10" s="28" t="s">
        <v>47</v>
      </c>
      <c r="C10" s="15">
        <f t="shared" si="4"/>
        <v>25.070215053763462</v>
      </c>
      <c r="D10" s="29">
        <v>93</v>
      </c>
      <c r="E10" s="29">
        <v>1</v>
      </c>
      <c r="F10" s="30">
        <v>2331.530000000002</v>
      </c>
      <c r="G10" s="30">
        <v>-0.03</v>
      </c>
      <c r="H10" s="31">
        <f t="shared" si="1"/>
        <v>1.2867087277452991E-5</v>
      </c>
      <c r="I10" s="31">
        <f t="shared" si="2"/>
        <v>0.37806827873320303</v>
      </c>
      <c r="J10" s="32">
        <f t="shared" si="5"/>
        <v>881.47753391482559</v>
      </c>
      <c r="K10" s="32">
        <f t="shared" si="3"/>
        <v>9.4782530528475863</v>
      </c>
      <c r="L10" s="29">
        <v>240</v>
      </c>
      <c r="M10" s="33">
        <f t="shared" si="6"/>
        <v>0.38750000000000001</v>
      </c>
      <c r="N10" s="29">
        <v>494</v>
      </c>
      <c r="O10" s="34">
        <f t="shared" ref="O10:P10" si="18">D10/7</f>
        <v>13.285714285714286</v>
      </c>
      <c r="P10" s="34">
        <f t="shared" si="18"/>
        <v>0.14285714285714285</v>
      </c>
      <c r="Q10" s="29">
        <f t="shared" si="8"/>
        <v>36</v>
      </c>
      <c r="R10" s="29"/>
      <c r="S10" s="35">
        <v>2.3469785575048698</v>
      </c>
      <c r="T10" s="28">
        <v>80</v>
      </c>
      <c r="U10" s="36">
        <v>80</v>
      </c>
      <c r="V10" s="37" t="s">
        <v>140</v>
      </c>
      <c r="W10" s="28">
        <v>0</v>
      </c>
      <c r="X10" s="38">
        <f t="shared" si="9"/>
        <v>0</v>
      </c>
      <c r="Y10" s="39">
        <f t="shared" si="10"/>
        <v>0</v>
      </c>
      <c r="Z10" s="28">
        <v>0</v>
      </c>
      <c r="AA10" s="28" t="s">
        <v>34</v>
      </c>
      <c r="AB10" s="40">
        <f t="shared" si="11"/>
        <v>-0.69</v>
      </c>
      <c r="AC10" s="41">
        <v>7.252284143518517E-2</v>
      </c>
      <c r="AD10" s="39">
        <f t="shared" si="12"/>
        <v>-9.3075814697916641</v>
      </c>
      <c r="AE10" s="39">
        <v>-5.42</v>
      </c>
      <c r="AF10" s="39">
        <v>-6.3110256410256396</v>
      </c>
      <c r="AG10" s="39">
        <v>0</v>
      </c>
    </row>
    <row r="11" spans="1:33" ht="15.75" customHeight="1" x14ac:dyDescent="0.2">
      <c r="A11" s="28" t="s">
        <v>48</v>
      </c>
      <c r="B11" s="28" t="s">
        <v>47</v>
      </c>
      <c r="C11" s="15">
        <f t="shared" si="4"/>
        <v>26.575544554455437</v>
      </c>
      <c r="D11" s="29">
        <v>101</v>
      </c>
      <c r="E11" s="29">
        <v>3</v>
      </c>
      <c r="F11" s="30">
        <v>2684.1299999999992</v>
      </c>
      <c r="G11" s="30">
        <v>-0.21000000000000002</v>
      </c>
      <c r="H11" s="31">
        <f t="shared" si="1"/>
        <v>7.8237641246884493E-5</v>
      </c>
      <c r="I11" s="31">
        <f t="shared" si="2"/>
        <v>0.40473400193626025</v>
      </c>
      <c r="J11" s="32">
        <f t="shared" si="5"/>
        <v>1086.3586766171738</v>
      </c>
      <c r="K11" s="32">
        <f t="shared" si="3"/>
        <v>10.756026501160138</v>
      </c>
      <c r="L11" s="29">
        <v>208</v>
      </c>
      <c r="M11" s="33">
        <f t="shared" si="6"/>
        <v>0.48557692307692307</v>
      </c>
      <c r="N11" s="29">
        <v>419</v>
      </c>
      <c r="O11" s="34">
        <f t="shared" ref="O11:P11" si="19">D11/7</f>
        <v>14.428571428571429</v>
      </c>
      <c r="P11" s="34">
        <f t="shared" si="19"/>
        <v>0.42857142857142855</v>
      </c>
      <c r="Q11" s="29">
        <f t="shared" si="8"/>
        <v>28</v>
      </c>
      <c r="R11" s="29"/>
      <c r="S11" s="35">
        <v>2.8529945553539</v>
      </c>
      <c r="T11" s="28">
        <v>2080</v>
      </c>
      <c r="U11" s="36">
        <v>80</v>
      </c>
      <c r="V11" s="37" t="s">
        <v>141</v>
      </c>
      <c r="W11" s="28">
        <v>1</v>
      </c>
      <c r="X11" s="38">
        <f t="shared" si="9"/>
        <v>9.9009900990099011E-3</v>
      </c>
      <c r="Y11" s="39">
        <f t="shared" si="10"/>
        <v>0.21000000000000002</v>
      </c>
      <c r="Z11" s="28">
        <v>0</v>
      </c>
      <c r="AA11" s="28" t="s">
        <v>34</v>
      </c>
      <c r="AB11" s="40">
        <f t="shared" si="11"/>
        <v>-0.69</v>
      </c>
      <c r="AC11" s="41">
        <v>7.252284143518517E-2</v>
      </c>
      <c r="AD11" s="39">
        <f t="shared" si="12"/>
        <v>-10.108233639236108</v>
      </c>
      <c r="AE11" s="39">
        <v>-5.42</v>
      </c>
      <c r="AF11" s="39">
        <v>-6.3110256410256396</v>
      </c>
      <c r="AG11" s="39">
        <v>0</v>
      </c>
    </row>
    <row r="12" spans="1:33" ht="15.75" customHeight="1" x14ac:dyDescent="0.2">
      <c r="A12" s="28" t="s">
        <v>49</v>
      </c>
      <c r="B12" s="28" t="s">
        <v>142</v>
      </c>
      <c r="C12" s="15">
        <f t="shared" si="4"/>
        <v>26.8846721311475</v>
      </c>
      <c r="D12" s="29">
        <v>122</v>
      </c>
      <c r="E12" s="29">
        <v>0</v>
      </c>
      <c r="F12" s="30">
        <v>3279.9299999999948</v>
      </c>
      <c r="G12" s="30">
        <v>-0.41000000000000003</v>
      </c>
      <c r="H12" s="31">
        <f t="shared" si="1"/>
        <v>1.2500266773986051E-4</v>
      </c>
      <c r="I12" s="31">
        <f t="shared" si="2"/>
        <v>0.4098061319024619</v>
      </c>
      <c r="J12" s="32">
        <f t="shared" si="5"/>
        <v>1344.1354262108398</v>
      </c>
      <c r="K12" s="32">
        <f t="shared" si="3"/>
        <v>11.017503493531473</v>
      </c>
      <c r="L12" s="29">
        <v>194</v>
      </c>
      <c r="M12" s="33">
        <f t="shared" si="6"/>
        <v>0.62886597938144329</v>
      </c>
      <c r="N12" s="29">
        <v>293</v>
      </c>
      <c r="O12" s="34">
        <f t="shared" ref="O12:P12" si="20">D12/7</f>
        <v>17.428571428571427</v>
      </c>
      <c r="P12" s="34">
        <f t="shared" si="20"/>
        <v>0</v>
      </c>
      <c r="Q12" s="29">
        <f t="shared" si="8"/>
        <v>16</v>
      </c>
      <c r="R12" s="29"/>
      <c r="S12" s="35">
        <v>4.9975550122249297</v>
      </c>
      <c r="T12" s="28">
        <v>2000</v>
      </c>
      <c r="U12" s="36" t="s">
        <v>33</v>
      </c>
      <c r="V12" s="37" t="s">
        <v>33</v>
      </c>
      <c r="W12" s="28">
        <v>0</v>
      </c>
      <c r="X12" s="38">
        <f t="shared" si="9"/>
        <v>0</v>
      </c>
      <c r="Y12" s="39">
        <f t="shared" si="10"/>
        <v>0</v>
      </c>
      <c r="Z12" s="28">
        <v>0</v>
      </c>
      <c r="AA12" s="28" t="s">
        <v>34</v>
      </c>
      <c r="AB12" s="40">
        <f t="shared" si="11"/>
        <v>-0.69</v>
      </c>
      <c r="AC12" s="41">
        <v>7.252284143518517E-2</v>
      </c>
      <c r="AD12" s="39">
        <f t="shared" si="12"/>
        <v>-12.209945584027773</v>
      </c>
      <c r="AE12" s="39">
        <v>-5.42</v>
      </c>
      <c r="AF12" s="39">
        <v>-6.3110256410256396</v>
      </c>
      <c r="AG12" s="39">
        <v>0</v>
      </c>
    </row>
    <row r="13" spans="1:33" ht="15.75" customHeight="1" x14ac:dyDescent="0.2">
      <c r="A13" s="28" t="s">
        <v>50</v>
      </c>
      <c r="B13" s="28" t="s">
        <v>143</v>
      </c>
      <c r="C13" s="15">
        <f t="shared" si="4"/>
        <v>27.899181818181784</v>
      </c>
      <c r="D13" s="29">
        <v>110</v>
      </c>
      <c r="E13" s="29">
        <v>1</v>
      </c>
      <c r="F13" s="32">
        <v>3068.9099999999962</v>
      </c>
      <c r="G13" s="30">
        <v>-0.24</v>
      </c>
      <c r="H13" s="31">
        <f t="shared" si="1"/>
        <v>7.8203661886467926E-5</v>
      </c>
      <c r="I13" s="31">
        <f t="shared" si="2"/>
        <v>0.4237415019241807</v>
      </c>
      <c r="J13" s="32">
        <f t="shared" si="5"/>
        <v>1300.4245326701357</v>
      </c>
      <c r="K13" s="32">
        <f t="shared" si="3"/>
        <v>11.822041206092143</v>
      </c>
      <c r="L13" s="29">
        <v>158</v>
      </c>
      <c r="M13" s="33">
        <f t="shared" si="6"/>
        <v>0.69620253164556967</v>
      </c>
      <c r="N13" s="29">
        <v>263</v>
      </c>
      <c r="O13" s="34">
        <f t="shared" ref="O13:P13" si="21">D13/7</f>
        <v>15.714285714285714</v>
      </c>
      <c r="P13" s="34">
        <f t="shared" si="21"/>
        <v>0.14285714285714285</v>
      </c>
      <c r="Q13" s="29">
        <f t="shared" si="8"/>
        <v>16</v>
      </c>
      <c r="R13" s="29"/>
      <c r="S13" s="35">
        <v>3.6820349761526199</v>
      </c>
      <c r="T13" s="28">
        <v>2000</v>
      </c>
      <c r="U13" s="36" t="s">
        <v>33</v>
      </c>
      <c r="V13" s="37" t="s">
        <v>33</v>
      </c>
      <c r="W13" s="28">
        <v>0</v>
      </c>
      <c r="X13" s="38">
        <f t="shared" si="9"/>
        <v>0</v>
      </c>
      <c r="Y13" s="39">
        <f t="shared" si="10"/>
        <v>0</v>
      </c>
      <c r="Z13" s="28">
        <v>0</v>
      </c>
      <c r="AA13" s="28" t="s">
        <v>34</v>
      </c>
      <c r="AB13" s="40">
        <f t="shared" si="11"/>
        <v>-0.69</v>
      </c>
      <c r="AC13" s="41">
        <v>7.252284143518517E-2</v>
      </c>
      <c r="AD13" s="39">
        <f t="shared" si="12"/>
        <v>-11.008967329861107</v>
      </c>
      <c r="AE13" s="39">
        <v>-5.42</v>
      </c>
      <c r="AF13" s="39">
        <v>-6.37</v>
      </c>
      <c r="AG13" s="39">
        <v>0</v>
      </c>
    </row>
    <row r="14" spans="1:33" ht="15.75" customHeight="1" x14ac:dyDescent="0.2">
      <c r="A14" s="28" t="s">
        <v>51</v>
      </c>
      <c r="B14" s="28" t="s">
        <v>144</v>
      </c>
      <c r="C14" s="15">
        <f t="shared" si="4"/>
        <v>29.961111111111105</v>
      </c>
      <c r="D14" s="29">
        <v>81</v>
      </c>
      <c r="E14" s="29">
        <v>0</v>
      </c>
      <c r="F14" s="32">
        <v>2426.8499999999995</v>
      </c>
      <c r="G14" s="30">
        <v>-0.23000000000000004</v>
      </c>
      <c r="H14" s="31">
        <f t="shared" si="1"/>
        <v>9.4773059727630511E-5</v>
      </c>
      <c r="I14" s="31">
        <f t="shared" si="2"/>
        <v>0.45305474041839194</v>
      </c>
      <c r="J14" s="32">
        <f t="shared" si="5"/>
        <v>1099.4958967843743</v>
      </c>
      <c r="K14" s="32">
        <f t="shared" si="3"/>
        <v>13.574023417091041</v>
      </c>
      <c r="L14" s="29">
        <v>202</v>
      </c>
      <c r="M14" s="33">
        <f t="shared" si="6"/>
        <v>0.40099009900990101</v>
      </c>
      <c r="N14" s="29">
        <v>196</v>
      </c>
      <c r="O14" s="34">
        <f t="shared" ref="O14:P14" si="22">D14/7</f>
        <v>11.571428571428571</v>
      </c>
      <c r="P14" s="34">
        <f t="shared" si="22"/>
        <v>0</v>
      </c>
      <c r="Q14" s="29">
        <f t="shared" si="8"/>
        <v>16</v>
      </c>
      <c r="R14" s="29"/>
      <c r="S14" s="35">
        <v>10.5494505494505</v>
      </c>
      <c r="T14" s="28">
        <v>2000</v>
      </c>
      <c r="U14" s="36" t="s">
        <v>33</v>
      </c>
      <c r="V14" s="37" t="s">
        <v>33</v>
      </c>
      <c r="W14" s="28">
        <v>1</v>
      </c>
      <c r="X14" s="38">
        <f t="shared" si="9"/>
        <v>1.2345679012345678E-2</v>
      </c>
      <c r="Y14" s="39">
        <f t="shared" si="10"/>
        <v>0.23000000000000004</v>
      </c>
      <c r="Z14" s="28">
        <v>0</v>
      </c>
      <c r="AA14" s="28" t="s">
        <v>34</v>
      </c>
      <c r="AB14" s="40">
        <f t="shared" si="11"/>
        <v>-0.69</v>
      </c>
      <c r="AC14" s="41">
        <v>7.252284143518517E-2</v>
      </c>
      <c r="AD14" s="39">
        <f t="shared" si="12"/>
        <v>-8.1066032156249967</v>
      </c>
      <c r="AE14" s="39">
        <v>-5.42</v>
      </c>
      <c r="AF14" s="39">
        <v>-6.37</v>
      </c>
      <c r="AG14" s="39">
        <v>0</v>
      </c>
    </row>
    <row r="15" spans="1:33" ht="15.75" customHeight="1" x14ac:dyDescent="0.2">
      <c r="A15" s="28" t="s">
        <v>53</v>
      </c>
      <c r="B15" s="28" t="s">
        <v>145</v>
      </c>
      <c r="C15" s="15">
        <f t="shared" si="4"/>
        <v>30.248399999999972</v>
      </c>
      <c r="D15" s="29">
        <v>75</v>
      </c>
      <c r="E15" s="29">
        <v>2</v>
      </c>
      <c r="F15" s="32">
        <v>2268.6299999999978</v>
      </c>
      <c r="G15" s="30">
        <v>-0.1</v>
      </c>
      <c r="H15" s="31">
        <f t="shared" si="1"/>
        <v>4.4079466462137989E-5</v>
      </c>
      <c r="I15" s="31">
        <f t="shared" si="2"/>
        <v>0.43505524740105594</v>
      </c>
      <c r="J15" s="32">
        <f t="shared" si="5"/>
        <v>986.97938591145657</v>
      </c>
      <c r="K15" s="32">
        <f t="shared" si="3"/>
        <v>13.159725145486087</v>
      </c>
      <c r="L15" s="29">
        <v>153</v>
      </c>
      <c r="M15" s="33">
        <f t="shared" si="6"/>
        <v>0.49019607843137253</v>
      </c>
      <c r="N15" s="29">
        <v>129</v>
      </c>
      <c r="O15" s="34">
        <f t="shared" ref="O15:P15" si="23">D15/7</f>
        <v>10.714285714285714</v>
      </c>
      <c r="P15" s="34">
        <f t="shared" si="23"/>
        <v>0.2857142857142857</v>
      </c>
      <c r="Q15" s="29">
        <f t="shared" si="8"/>
        <v>11</v>
      </c>
      <c r="R15" s="29"/>
      <c r="S15" s="35">
        <v>5.2182410423452703</v>
      </c>
      <c r="T15" s="28">
        <v>2000</v>
      </c>
      <c r="U15" s="36" t="s">
        <v>33</v>
      </c>
      <c r="V15" s="37" t="s">
        <v>33</v>
      </c>
      <c r="W15" s="28">
        <v>1</v>
      </c>
      <c r="X15" s="38">
        <f t="shared" si="9"/>
        <v>1.3333333333333334E-2</v>
      </c>
      <c r="Y15" s="39">
        <f t="shared" si="10"/>
        <v>0.1</v>
      </c>
      <c r="Z15" s="28">
        <v>0</v>
      </c>
      <c r="AA15" s="28" t="s">
        <v>34</v>
      </c>
      <c r="AB15" s="40">
        <f t="shared" si="11"/>
        <v>-0.69</v>
      </c>
      <c r="AC15" s="41">
        <v>7.252284143518517E-2</v>
      </c>
      <c r="AD15" s="39">
        <f t="shared" si="12"/>
        <v>-7.506114088541664</v>
      </c>
      <c r="AE15" s="39">
        <v>-5.42</v>
      </c>
      <c r="AF15" s="39">
        <v>-7.03</v>
      </c>
      <c r="AG15" s="39">
        <v>0</v>
      </c>
    </row>
    <row r="16" spans="1:33" ht="15.75" customHeight="1" x14ac:dyDescent="0.2">
      <c r="A16" s="28" t="s">
        <v>54</v>
      </c>
      <c r="B16" s="28" t="s">
        <v>146</v>
      </c>
      <c r="C16" s="15">
        <f t="shared" si="4"/>
        <v>30.871842105263156</v>
      </c>
      <c r="D16" s="29">
        <v>76</v>
      </c>
      <c r="E16" s="29">
        <v>0</v>
      </c>
      <c r="F16" s="32">
        <v>2346.2599999999998</v>
      </c>
      <c r="G16" s="30">
        <v>-0.03</v>
      </c>
      <c r="H16" s="31">
        <f t="shared" si="1"/>
        <v>1.2786306717925551E-5</v>
      </c>
      <c r="I16" s="31">
        <f t="shared" si="2"/>
        <v>0.4434652614758286</v>
      </c>
      <c r="J16" s="32">
        <f t="shared" si="5"/>
        <v>1040.4848043902775</v>
      </c>
      <c r="K16" s="32">
        <f t="shared" si="3"/>
        <v>13.690589531451019</v>
      </c>
      <c r="L16" s="29">
        <v>182</v>
      </c>
      <c r="M16" s="33">
        <f t="shared" si="6"/>
        <v>0.4175824175824176</v>
      </c>
      <c r="N16" s="29">
        <v>64</v>
      </c>
      <c r="O16" s="34">
        <f t="shared" ref="O16:P16" si="24">D16/7</f>
        <v>10.857142857142858</v>
      </c>
      <c r="P16" s="34">
        <f t="shared" si="24"/>
        <v>0</v>
      </c>
      <c r="Q16" s="29">
        <f t="shared" si="8"/>
        <v>5</v>
      </c>
      <c r="R16" s="29"/>
      <c r="S16" s="35">
        <v>6.16876122082585</v>
      </c>
      <c r="T16" s="28">
        <v>2000</v>
      </c>
      <c r="U16" s="36" t="s">
        <v>33</v>
      </c>
      <c r="V16" s="37" t="s">
        <v>33</v>
      </c>
      <c r="W16" s="28">
        <v>0</v>
      </c>
      <c r="X16" s="38">
        <f t="shared" si="9"/>
        <v>0</v>
      </c>
      <c r="Y16" s="39">
        <f t="shared" si="10"/>
        <v>0</v>
      </c>
      <c r="Z16" s="28">
        <v>0</v>
      </c>
      <c r="AA16" s="28" t="s">
        <v>34</v>
      </c>
      <c r="AB16" s="40">
        <f t="shared" si="11"/>
        <v>-0.69</v>
      </c>
      <c r="AC16" s="41">
        <v>7.252284143518517E-2</v>
      </c>
      <c r="AD16" s="39">
        <f t="shared" si="12"/>
        <v>-7.6061956097222199</v>
      </c>
      <c r="AE16" s="39">
        <v>-5.42</v>
      </c>
      <c r="AF16" s="39">
        <v>-7.03</v>
      </c>
      <c r="AG16" s="39">
        <v>0</v>
      </c>
    </row>
    <row r="17" spans="1:33" ht="15.75" customHeight="1" x14ac:dyDescent="0.2">
      <c r="A17" s="28" t="s">
        <v>55</v>
      </c>
      <c r="B17" s="28" t="s">
        <v>52</v>
      </c>
      <c r="C17" s="15">
        <f t="shared" si="4"/>
        <v>34.093846153846179</v>
      </c>
      <c r="D17" s="29">
        <v>52</v>
      </c>
      <c r="E17" s="29">
        <v>1</v>
      </c>
      <c r="F17" s="32">
        <v>1772.8800000000012</v>
      </c>
      <c r="G17" s="30">
        <v>-0.24</v>
      </c>
      <c r="H17" s="31">
        <f t="shared" si="1"/>
        <v>1.3537295248409358E-4</v>
      </c>
      <c r="I17" s="31">
        <f t="shared" si="2"/>
        <v>0.4817606160025561</v>
      </c>
      <c r="J17" s="32">
        <f t="shared" si="5"/>
        <v>854.10376089861222</v>
      </c>
      <c r="K17" s="32">
        <f t="shared" si="3"/>
        <v>16.425072324973311</v>
      </c>
      <c r="L17" s="29">
        <v>163</v>
      </c>
      <c r="M17" s="33">
        <f t="shared" si="6"/>
        <v>0.31901840490797545</v>
      </c>
      <c r="N17" s="29">
        <v>3</v>
      </c>
      <c r="O17" s="34">
        <f t="shared" ref="O17:P17" si="25">D17/7</f>
        <v>7.4285714285714288</v>
      </c>
      <c r="P17" s="34">
        <f t="shared" si="25"/>
        <v>0.14285714285714285</v>
      </c>
      <c r="Q17" s="29">
        <f t="shared" si="8"/>
        <v>0</v>
      </c>
      <c r="R17" s="29"/>
      <c r="S17" s="35">
        <v>6.2715231788079402</v>
      </c>
      <c r="T17" s="28">
        <v>2000</v>
      </c>
      <c r="U17" s="36" t="s">
        <v>33</v>
      </c>
      <c r="V17" s="37" t="s">
        <v>33</v>
      </c>
      <c r="W17" s="28">
        <v>0</v>
      </c>
      <c r="X17" s="38">
        <f t="shared" si="9"/>
        <v>0</v>
      </c>
      <c r="Y17" s="39">
        <f t="shared" si="10"/>
        <v>0</v>
      </c>
      <c r="Z17" s="28">
        <v>0</v>
      </c>
      <c r="AA17" s="28" t="s">
        <v>34</v>
      </c>
      <c r="AB17" s="40">
        <f t="shared" si="11"/>
        <v>-0.69</v>
      </c>
      <c r="AC17" s="41">
        <v>7.252284143518517E-2</v>
      </c>
      <c r="AD17" s="39">
        <f t="shared" si="12"/>
        <v>-5.2042391013888869</v>
      </c>
      <c r="AE17" s="39">
        <v>-5.42</v>
      </c>
      <c r="AF17" s="39">
        <v>-7.03</v>
      </c>
      <c r="AG17" s="39">
        <v>0</v>
      </c>
    </row>
    <row r="18" spans="1:33" ht="15.75" customHeight="1" x14ac:dyDescent="0.2">
      <c r="A18" s="28" t="s">
        <v>56</v>
      </c>
      <c r="B18" s="28"/>
      <c r="C18" s="15">
        <f t="shared" si="4"/>
        <v>34.596666666666664</v>
      </c>
      <c r="D18" s="29">
        <v>3</v>
      </c>
      <c r="E18" s="29">
        <v>0</v>
      </c>
      <c r="F18" s="32">
        <v>103.78999999999999</v>
      </c>
      <c r="G18" s="30">
        <v>0</v>
      </c>
      <c r="H18" s="31">
        <f t="shared" si="1"/>
        <v>0</v>
      </c>
      <c r="I18" s="31">
        <f t="shared" si="2"/>
        <v>0.48724593348548345</v>
      </c>
      <c r="J18" s="32">
        <f t="shared" si="5"/>
        <v>50.571255436458323</v>
      </c>
      <c r="K18" s="32">
        <f t="shared" si="3"/>
        <v>16.857085145486106</v>
      </c>
      <c r="L18" s="29">
        <v>15</v>
      </c>
      <c r="M18" s="33">
        <f t="shared" si="6"/>
        <v>0.2</v>
      </c>
      <c r="N18" s="29">
        <v>2</v>
      </c>
      <c r="O18" s="34">
        <f t="shared" ref="O18:P18" si="26">D18/7</f>
        <v>0.42857142857142855</v>
      </c>
      <c r="P18" s="34">
        <f t="shared" si="26"/>
        <v>0</v>
      </c>
      <c r="Q18" s="29">
        <f t="shared" si="8"/>
        <v>4</v>
      </c>
      <c r="R18" s="29"/>
      <c r="S18" s="35">
        <v>11.825545171339501</v>
      </c>
      <c r="T18" s="28">
        <v>2000</v>
      </c>
      <c r="U18" s="36">
        <v>0</v>
      </c>
      <c r="V18" s="37" t="s">
        <v>147</v>
      </c>
      <c r="W18" s="28">
        <v>0</v>
      </c>
      <c r="X18" s="38">
        <f t="shared" si="9"/>
        <v>0</v>
      </c>
      <c r="Y18" s="39">
        <f t="shared" si="10"/>
        <v>0</v>
      </c>
      <c r="Z18" s="28">
        <v>0</v>
      </c>
      <c r="AA18" s="28" t="s">
        <v>34</v>
      </c>
      <c r="AB18" s="40">
        <f t="shared" si="11"/>
        <v>-0.69</v>
      </c>
      <c r="AC18" s="41">
        <v>7.252284143518517E-2</v>
      </c>
      <c r="AD18" s="39">
        <f t="shared" si="12"/>
        <v>-0.30024456354166656</v>
      </c>
      <c r="AE18" s="39">
        <v>-5.42</v>
      </c>
      <c r="AF18" s="39">
        <v>-7.03</v>
      </c>
      <c r="AG18" s="39">
        <v>0</v>
      </c>
    </row>
    <row r="19" spans="1:33" ht="15.75" customHeight="1" x14ac:dyDescent="0.2">
      <c r="A19" s="28" t="s">
        <v>57</v>
      </c>
      <c r="B19" s="28" t="s">
        <v>47</v>
      </c>
      <c r="C19" s="15">
        <f t="shared" si="4"/>
        <v>34.060769230769239</v>
      </c>
      <c r="D19" s="29">
        <v>13</v>
      </c>
      <c r="E19" s="29">
        <v>0</v>
      </c>
      <c r="F19" s="32">
        <v>442.79000000000008</v>
      </c>
      <c r="G19" s="30">
        <v>0</v>
      </c>
      <c r="H19" s="31">
        <f t="shared" si="1"/>
        <v>0</v>
      </c>
      <c r="I19" s="31">
        <f t="shared" si="2"/>
        <v>0.47189399088654405</v>
      </c>
      <c r="J19" s="32">
        <f t="shared" si="5"/>
        <v>208.94994022465286</v>
      </c>
      <c r="K19" s="32">
        <f t="shared" si="3"/>
        <v>16.073072324973296</v>
      </c>
      <c r="L19" s="29">
        <v>66</v>
      </c>
      <c r="M19" s="33">
        <f t="shared" si="6"/>
        <v>0.19696969696969696</v>
      </c>
      <c r="N19" s="29">
        <v>78</v>
      </c>
      <c r="O19" s="34">
        <f t="shared" ref="O19:P19" si="27">D19/7</f>
        <v>1.8571428571428572</v>
      </c>
      <c r="P19" s="34">
        <f t="shared" si="27"/>
        <v>0</v>
      </c>
      <c r="Q19" s="29">
        <f t="shared" si="8"/>
        <v>42</v>
      </c>
      <c r="R19" s="29"/>
      <c r="S19" s="35">
        <v>4.78391959798995</v>
      </c>
      <c r="T19" s="28">
        <v>2000</v>
      </c>
      <c r="U19" s="36">
        <v>1000</v>
      </c>
      <c r="V19" s="37" t="s">
        <v>147</v>
      </c>
      <c r="W19" s="28">
        <v>0</v>
      </c>
      <c r="X19" s="38">
        <f t="shared" si="9"/>
        <v>0</v>
      </c>
      <c r="Y19" s="39">
        <f t="shared" si="10"/>
        <v>0</v>
      </c>
      <c r="Z19" s="28">
        <v>0</v>
      </c>
      <c r="AA19" s="28" t="s">
        <v>34</v>
      </c>
      <c r="AB19" s="40">
        <f t="shared" si="11"/>
        <v>-0.69</v>
      </c>
      <c r="AC19" s="41">
        <v>7.252284143518517E-2</v>
      </c>
      <c r="AD19" s="39">
        <f t="shared" si="12"/>
        <v>-1.3010597753472217</v>
      </c>
      <c r="AE19" s="39">
        <v>-5.42</v>
      </c>
      <c r="AF19" s="39">
        <v>-7.3585000000000003</v>
      </c>
      <c r="AG19" s="39">
        <v>0</v>
      </c>
    </row>
    <row r="20" spans="1:33" ht="15.75" customHeight="1" x14ac:dyDescent="0.2">
      <c r="A20" s="28" t="s">
        <v>58</v>
      </c>
      <c r="B20" s="28" t="s">
        <v>148</v>
      </c>
      <c r="C20" s="15">
        <f t="shared" si="4"/>
        <v>32.513714285714308</v>
      </c>
      <c r="D20" s="29">
        <v>35</v>
      </c>
      <c r="E20" s="29">
        <v>1</v>
      </c>
      <c r="F20" s="32">
        <v>1137.9800000000007</v>
      </c>
      <c r="G20" s="30">
        <v>-0.02</v>
      </c>
      <c r="H20" s="31">
        <f t="shared" si="1"/>
        <v>1.757500131812509E-5</v>
      </c>
      <c r="I20" s="31">
        <f t="shared" si="2"/>
        <v>0.45388552238060498</v>
      </c>
      <c r="J20" s="32">
        <f t="shared" si="5"/>
        <v>516.51264675868117</v>
      </c>
      <c r="K20" s="32">
        <f t="shared" si="3"/>
        <v>14.757504193105177</v>
      </c>
      <c r="L20" s="29">
        <v>90</v>
      </c>
      <c r="M20" s="33">
        <f t="shared" si="6"/>
        <v>0.3888888888888889</v>
      </c>
      <c r="N20" s="29">
        <v>41</v>
      </c>
      <c r="O20" s="34">
        <f t="shared" ref="O20:P20" si="28">D20/7</f>
        <v>5</v>
      </c>
      <c r="P20" s="34">
        <f t="shared" si="28"/>
        <v>0.14285714285714285</v>
      </c>
      <c r="Q20" s="29">
        <f t="shared" si="8"/>
        <v>7</v>
      </c>
      <c r="R20" s="29"/>
      <c r="S20" s="35">
        <v>5.4349030470914101</v>
      </c>
      <c r="T20" s="28">
        <v>1800</v>
      </c>
      <c r="U20" s="36">
        <v>1000</v>
      </c>
      <c r="V20" s="37" t="s">
        <v>149</v>
      </c>
      <c r="W20" s="28">
        <v>0</v>
      </c>
      <c r="X20" s="38">
        <f t="shared" si="9"/>
        <v>0</v>
      </c>
      <c r="Y20" s="39">
        <f t="shared" si="10"/>
        <v>0</v>
      </c>
      <c r="Z20" s="28">
        <v>0</v>
      </c>
      <c r="AA20" s="28" t="s">
        <v>34</v>
      </c>
      <c r="AB20" s="40">
        <f t="shared" si="11"/>
        <v>-0.69</v>
      </c>
      <c r="AC20" s="41">
        <v>7.252284143518517E-2</v>
      </c>
      <c r="AD20" s="39">
        <f t="shared" si="12"/>
        <v>-3.5028532413194431</v>
      </c>
      <c r="AE20" s="39">
        <v>-5.42</v>
      </c>
      <c r="AF20" s="39">
        <v>-7.3585000000000003</v>
      </c>
      <c r="AG20" s="39">
        <v>0</v>
      </c>
    </row>
    <row r="21" spans="1:33" ht="15.75" customHeight="1" x14ac:dyDescent="0.2">
      <c r="A21" s="28" t="s">
        <v>59</v>
      </c>
      <c r="B21" s="28" t="s">
        <v>150</v>
      </c>
      <c r="C21" s="15">
        <f t="shared" si="4"/>
        <v>35.939393939393952</v>
      </c>
      <c r="D21" s="29">
        <v>33</v>
      </c>
      <c r="E21" s="29">
        <v>0</v>
      </c>
      <c r="F21" s="32">
        <v>1186.0000000000005</v>
      </c>
      <c r="G21" s="30">
        <v>-0.08</v>
      </c>
      <c r="H21" s="31">
        <f t="shared" si="1"/>
        <v>6.7453625632377711E-5</v>
      </c>
      <c r="I21" s="31">
        <f t="shared" si="2"/>
        <v>0.49159090202448713</v>
      </c>
      <c r="J21" s="32">
        <f t="shared" si="5"/>
        <v>583.02680980104196</v>
      </c>
      <c r="K21" s="32">
        <f t="shared" si="3"/>
        <v>17.66747908488006</v>
      </c>
      <c r="L21" s="29">
        <v>55</v>
      </c>
      <c r="M21" s="33">
        <f t="shared" si="6"/>
        <v>0.6</v>
      </c>
      <c r="N21" s="29">
        <v>11</v>
      </c>
      <c r="O21" s="34">
        <f t="shared" ref="O21:P21" si="29">D21/7</f>
        <v>4.7142857142857144</v>
      </c>
      <c r="P21" s="34">
        <f t="shared" si="29"/>
        <v>0</v>
      </c>
      <c r="Q21" s="29">
        <f t="shared" si="8"/>
        <v>2</v>
      </c>
      <c r="R21" s="29"/>
      <c r="S21" s="35">
        <v>5.71259259259259</v>
      </c>
      <c r="T21" s="28">
        <v>1800</v>
      </c>
      <c r="U21" s="36">
        <v>1000</v>
      </c>
      <c r="V21" s="37" t="s">
        <v>151</v>
      </c>
      <c r="W21" s="28">
        <v>0</v>
      </c>
      <c r="X21" s="38">
        <f t="shared" si="9"/>
        <v>0</v>
      </c>
      <c r="Y21" s="39">
        <f t="shared" si="10"/>
        <v>0</v>
      </c>
      <c r="Z21" s="28">
        <v>0</v>
      </c>
      <c r="AA21" s="28" t="s">
        <v>34</v>
      </c>
      <c r="AB21" s="40">
        <f t="shared" si="11"/>
        <v>-0.69</v>
      </c>
      <c r="AC21" s="41">
        <v>7.252284143518517E-2</v>
      </c>
      <c r="AD21" s="39">
        <f t="shared" si="12"/>
        <v>-3.3026901989583322</v>
      </c>
      <c r="AE21" s="39">
        <v>-5.42</v>
      </c>
      <c r="AF21" s="39">
        <v>-7.3585000000000003</v>
      </c>
      <c r="AG21" s="39">
        <v>0</v>
      </c>
    </row>
    <row r="22" spans="1:33" ht="15.75" customHeight="1" x14ac:dyDescent="0.2">
      <c r="A22" s="28" t="s">
        <v>60</v>
      </c>
      <c r="B22" s="28"/>
      <c r="C22" s="15">
        <f t="shared" si="4"/>
        <v>36.218750000000007</v>
      </c>
      <c r="D22" s="29">
        <v>8</v>
      </c>
      <c r="E22" s="29">
        <v>0</v>
      </c>
      <c r="F22" s="30">
        <v>289.75000000000006</v>
      </c>
      <c r="G22" s="30">
        <v>0</v>
      </c>
      <c r="H22" s="31">
        <f t="shared" si="1"/>
        <v>0</v>
      </c>
      <c r="I22" s="31">
        <f t="shared" si="2"/>
        <v>0.49442225308215909</v>
      </c>
      <c r="J22" s="32">
        <f t="shared" si="5"/>
        <v>143.25884783055562</v>
      </c>
      <c r="K22" s="32">
        <f t="shared" si="3"/>
        <v>17.907355978819453</v>
      </c>
      <c r="L22" s="29">
        <v>27</v>
      </c>
      <c r="M22" s="33">
        <f t="shared" si="6"/>
        <v>0.29629629629629628</v>
      </c>
      <c r="N22" s="29">
        <v>2</v>
      </c>
      <c r="O22" s="34">
        <f t="shared" ref="O22:P22" si="30">D22/7</f>
        <v>1.1428571428571428</v>
      </c>
      <c r="P22" s="34">
        <f t="shared" si="30"/>
        <v>0</v>
      </c>
      <c r="Q22" s="29">
        <f t="shared" si="8"/>
        <v>1</v>
      </c>
      <c r="R22" s="29"/>
      <c r="S22" s="35">
        <v>8.1271393643031793</v>
      </c>
      <c r="T22" s="28">
        <v>2800</v>
      </c>
      <c r="U22" s="36">
        <v>1000</v>
      </c>
      <c r="V22" s="37" t="s">
        <v>151</v>
      </c>
      <c r="W22" s="28">
        <v>0</v>
      </c>
      <c r="X22" s="38">
        <f t="shared" si="9"/>
        <v>0</v>
      </c>
      <c r="Y22" s="39">
        <f t="shared" si="10"/>
        <v>0</v>
      </c>
      <c r="Z22" s="28">
        <v>0</v>
      </c>
      <c r="AA22" s="28" t="s">
        <v>34</v>
      </c>
      <c r="AB22" s="40">
        <f t="shared" si="11"/>
        <v>-0.69</v>
      </c>
      <c r="AC22" s="41">
        <v>7.252284143518517E-2</v>
      </c>
      <c r="AD22" s="39">
        <f t="shared" si="12"/>
        <v>-0.80065216944444417</v>
      </c>
      <c r="AE22" s="39">
        <v>-5.42</v>
      </c>
      <c r="AF22" s="39">
        <v>-7.3585000000000003</v>
      </c>
      <c r="AG22" s="39">
        <v>0</v>
      </c>
    </row>
    <row r="23" spans="1:33" ht="15.75" customHeight="1" x14ac:dyDescent="0.2">
      <c r="A23" s="28" t="s">
        <v>62</v>
      </c>
      <c r="B23" s="28"/>
      <c r="C23" s="15">
        <f t="shared" si="4"/>
        <v>35.99</v>
      </c>
      <c r="D23" s="29">
        <v>5</v>
      </c>
      <c r="E23" s="29">
        <v>0</v>
      </c>
      <c r="F23" s="32">
        <v>179.95000000000002</v>
      </c>
      <c r="G23" s="30">
        <v>-0.08</v>
      </c>
      <c r="H23" s="31">
        <f t="shared" si="1"/>
        <v>4.4456793553764929E-4</v>
      </c>
      <c r="I23" s="31">
        <f t="shared" si="2"/>
        <v>0.49171765709417725</v>
      </c>
      <c r="J23" s="32">
        <f t="shared" si="5"/>
        <v>88.484592394097206</v>
      </c>
      <c r="K23" s="32">
        <f t="shared" si="3"/>
        <v>17.696918478819441</v>
      </c>
      <c r="L23" s="29">
        <v>49</v>
      </c>
      <c r="M23" s="33">
        <f t="shared" si="6"/>
        <v>0.10204081632653061</v>
      </c>
      <c r="N23" s="29">
        <v>3</v>
      </c>
      <c r="O23" s="34">
        <f t="shared" ref="O23:P23" si="31">D23/7</f>
        <v>0.7142857142857143</v>
      </c>
      <c r="P23" s="34">
        <f t="shared" si="31"/>
        <v>0</v>
      </c>
      <c r="Q23" s="29">
        <f t="shared" si="8"/>
        <v>4</v>
      </c>
      <c r="R23" s="29"/>
      <c r="S23" s="35">
        <v>10.1360544217687</v>
      </c>
      <c r="T23" s="28">
        <v>2800</v>
      </c>
      <c r="U23" s="36">
        <v>1000</v>
      </c>
      <c r="V23" s="37" t="s">
        <v>152</v>
      </c>
      <c r="W23" s="28">
        <v>0</v>
      </c>
      <c r="X23" s="38">
        <f t="shared" si="9"/>
        <v>0</v>
      </c>
      <c r="Y23" s="39">
        <f t="shared" si="10"/>
        <v>0</v>
      </c>
      <c r="Z23" s="28">
        <v>0</v>
      </c>
      <c r="AA23" s="28" t="s">
        <v>34</v>
      </c>
      <c r="AB23" s="40">
        <f t="shared" si="11"/>
        <v>-0.69</v>
      </c>
      <c r="AC23" s="41">
        <v>7.252284143518517E-2</v>
      </c>
      <c r="AD23" s="39">
        <f t="shared" si="12"/>
        <v>-0.50040760590277755</v>
      </c>
      <c r="AE23" s="39">
        <v>-5.42</v>
      </c>
      <c r="AF23" s="39">
        <v>-7.3585000000000003</v>
      </c>
      <c r="AG23" s="39">
        <v>0</v>
      </c>
    </row>
    <row r="24" spans="1:33" ht="15.75" customHeight="1" x14ac:dyDescent="0.2">
      <c r="A24" s="28" t="s">
        <v>64</v>
      </c>
      <c r="B24" s="28"/>
      <c r="C24" s="15">
        <f t="shared" si="4"/>
        <v>35.99</v>
      </c>
      <c r="D24" s="29">
        <v>3</v>
      </c>
      <c r="E24" s="29">
        <v>0</v>
      </c>
      <c r="F24" s="32">
        <v>107.97</v>
      </c>
      <c r="G24" s="32">
        <v>0</v>
      </c>
      <c r="H24" s="31">
        <f t="shared" si="1"/>
        <v>0</v>
      </c>
      <c r="I24" s="31">
        <f t="shared" si="2"/>
        <v>0.49216222502971502</v>
      </c>
      <c r="J24" s="32">
        <f t="shared" si="5"/>
        <v>53.138755436458332</v>
      </c>
      <c r="K24" s="32">
        <f t="shared" si="3"/>
        <v>17.712918478819443</v>
      </c>
      <c r="L24" s="29">
        <v>10</v>
      </c>
      <c r="M24" s="33">
        <f t="shared" si="6"/>
        <v>0.3</v>
      </c>
      <c r="N24" s="29">
        <v>2</v>
      </c>
      <c r="O24" s="34">
        <f t="shared" ref="O24:P24" si="32">D24/7</f>
        <v>0.42857142857142855</v>
      </c>
      <c r="P24" s="34">
        <f t="shared" si="32"/>
        <v>0</v>
      </c>
      <c r="Q24" s="29">
        <f t="shared" si="8"/>
        <v>4</v>
      </c>
      <c r="R24" s="29"/>
      <c r="S24" s="35">
        <v>3.81088825214899</v>
      </c>
      <c r="T24" s="28">
        <v>3000</v>
      </c>
      <c r="U24" s="36">
        <v>1000</v>
      </c>
      <c r="V24" s="37" t="s">
        <v>153</v>
      </c>
      <c r="W24" s="28">
        <v>0</v>
      </c>
      <c r="X24" s="38">
        <f t="shared" si="9"/>
        <v>0</v>
      </c>
      <c r="Y24" s="39">
        <f t="shared" si="10"/>
        <v>0</v>
      </c>
      <c r="Z24" s="28">
        <v>0</v>
      </c>
      <c r="AA24" s="28" t="s">
        <v>34</v>
      </c>
      <c r="AB24" s="40">
        <f t="shared" si="11"/>
        <v>-0.69</v>
      </c>
      <c r="AC24" s="41">
        <v>7.252284143518517E-2</v>
      </c>
      <c r="AD24" s="39">
        <f t="shared" si="12"/>
        <v>-0.30024456354166656</v>
      </c>
      <c r="AE24" s="39">
        <v>-5.42</v>
      </c>
      <c r="AF24" s="39">
        <v>-7.3585000000000003</v>
      </c>
      <c r="AG24" s="39">
        <v>0</v>
      </c>
    </row>
    <row r="25" spans="1:33" ht="15.75" customHeight="1" x14ac:dyDescent="0.2">
      <c r="A25" s="28" t="s">
        <v>65</v>
      </c>
      <c r="B25" s="14"/>
      <c r="C25" s="15">
        <f t="shared" si="4"/>
        <v>35.99</v>
      </c>
      <c r="D25" s="29">
        <v>2</v>
      </c>
      <c r="E25" s="29">
        <v>0</v>
      </c>
      <c r="F25" s="32">
        <v>71.98</v>
      </c>
      <c r="G25" s="32">
        <v>0</v>
      </c>
      <c r="H25" s="31">
        <f t="shared" si="1"/>
        <v>0</v>
      </c>
      <c r="I25" s="31">
        <f t="shared" si="2"/>
        <v>0.49212054678575839</v>
      </c>
      <c r="J25" s="32">
        <f t="shared" si="5"/>
        <v>35.422836957638893</v>
      </c>
      <c r="K25" s="32">
        <f t="shared" si="3"/>
        <v>17.711418478819446</v>
      </c>
      <c r="L25" s="29">
        <v>20</v>
      </c>
      <c r="M25" s="33">
        <f t="shared" si="6"/>
        <v>0.1</v>
      </c>
      <c r="N25" s="29">
        <v>2</v>
      </c>
      <c r="O25" s="34">
        <f t="shared" ref="O25:P25" si="33">D25/7</f>
        <v>0.2857142857142857</v>
      </c>
      <c r="P25" s="34">
        <f t="shared" si="33"/>
        <v>0</v>
      </c>
      <c r="Q25" s="29">
        <f t="shared" si="8"/>
        <v>7</v>
      </c>
      <c r="R25" s="29"/>
      <c r="S25" s="35">
        <v>5.6547945205479451</v>
      </c>
      <c r="T25" s="28">
        <v>3000</v>
      </c>
      <c r="U25" s="36">
        <v>1000</v>
      </c>
      <c r="V25" s="37" t="s">
        <v>154</v>
      </c>
      <c r="W25" s="14">
        <v>0</v>
      </c>
      <c r="X25" s="38">
        <f t="shared" si="9"/>
        <v>0</v>
      </c>
      <c r="Y25" s="39">
        <f t="shared" si="10"/>
        <v>0</v>
      </c>
      <c r="Z25" s="14">
        <v>0</v>
      </c>
      <c r="AA25" s="28" t="s">
        <v>34</v>
      </c>
      <c r="AB25" s="40">
        <f t="shared" si="11"/>
        <v>-0.69</v>
      </c>
      <c r="AC25" s="41">
        <v>7.252284143518517E-2</v>
      </c>
      <c r="AD25" s="39">
        <f t="shared" si="12"/>
        <v>-0.20016304236111104</v>
      </c>
      <c r="AE25" s="39">
        <v>-5.42</v>
      </c>
      <c r="AF25" s="39">
        <v>-7.36</v>
      </c>
      <c r="AG25" s="39">
        <v>0</v>
      </c>
    </row>
    <row r="26" spans="1:33" ht="15.75" customHeight="1" x14ac:dyDescent="0.2">
      <c r="A26" s="14" t="s">
        <v>67</v>
      </c>
      <c r="B26" s="14"/>
      <c r="C26" s="15">
        <f t="shared" si="4"/>
        <v>35.99</v>
      </c>
      <c r="D26" s="16">
        <v>1</v>
      </c>
      <c r="E26" s="16">
        <v>0</v>
      </c>
      <c r="F26" s="17">
        <v>35.99</v>
      </c>
      <c r="G26" s="17">
        <v>0</v>
      </c>
      <c r="H26" s="31">
        <f t="shared" si="1"/>
        <v>0</v>
      </c>
      <c r="I26" s="31">
        <f t="shared" si="2"/>
        <v>0.49152315862237961</v>
      </c>
      <c r="J26" s="32">
        <f t="shared" si="5"/>
        <v>17.689918478819443</v>
      </c>
      <c r="K26" s="32">
        <f t="shared" si="3"/>
        <v>17.689918478819443</v>
      </c>
      <c r="L26" s="16">
        <v>0</v>
      </c>
      <c r="M26" s="33" t="str">
        <f t="shared" si="6"/>
        <v>-</v>
      </c>
      <c r="N26" s="16">
        <v>0</v>
      </c>
      <c r="O26" s="34">
        <f t="shared" ref="O26:P26" si="34">D26/7</f>
        <v>0.14285714285714285</v>
      </c>
      <c r="P26" s="34">
        <f t="shared" si="34"/>
        <v>0</v>
      </c>
      <c r="Q26" s="29">
        <f t="shared" si="8"/>
        <v>0</v>
      </c>
      <c r="R26" s="29"/>
      <c r="S26" s="21">
        <v>4.8746355685131197</v>
      </c>
      <c r="T26" s="28">
        <v>2000</v>
      </c>
      <c r="U26" s="36">
        <v>200</v>
      </c>
      <c r="V26" s="37" t="s">
        <v>155</v>
      </c>
      <c r="W26" s="14">
        <v>0</v>
      </c>
      <c r="X26" s="38">
        <f t="shared" si="9"/>
        <v>0</v>
      </c>
      <c r="Y26" s="39">
        <f t="shared" si="10"/>
        <v>0</v>
      </c>
      <c r="Z26" s="14">
        <v>0</v>
      </c>
      <c r="AA26" s="28" t="s">
        <v>34</v>
      </c>
      <c r="AB26" s="40">
        <f t="shared" si="11"/>
        <v>-0.69</v>
      </c>
      <c r="AC26" s="41">
        <v>7.252284143518517E-2</v>
      </c>
      <c r="AD26" s="39">
        <f t="shared" si="12"/>
        <v>-0.10008152118055552</v>
      </c>
      <c r="AE26" s="25">
        <v>-5.42</v>
      </c>
      <c r="AF26" s="25">
        <v>-7.3815</v>
      </c>
      <c r="AG26" s="25">
        <v>0</v>
      </c>
    </row>
    <row r="27" spans="1:33" ht="15.75" customHeight="1" x14ac:dyDescent="0.2">
      <c r="A27" s="14" t="s">
        <v>69</v>
      </c>
      <c r="B27" s="14" t="s">
        <v>156</v>
      </c>
      <c r="C27" s="15">
        <f t="shared" si="4"/>
        <v>35.99</v>
      </c>
      <c r="D27" s="16">
        <v>3</v>
      </c>
      <c r="E27" s="16">
        <v>0</v>
      </c>
      <c r="F27" s="17">
        <v>107.97</v>
      </c>
      <c r="G27" s="17">
        <v>0</v>
      </c>
      <c r="H27" s="31">
        <f t="shared" si="1"/>
        <v>0</v>
      </c>
      <c r="I27" s="31">
        <f t="shared" si="2"/>
        <v>0.45359595662182395</v>
      </c>
      <c r="J27" s="32">
        <f t="shared" si="5"/>
        <v>48.974755436458331</v>
      </c>
      <c r="K27" s="32">
        <f t="shared" si="3"/>
        <v>16.324918478819445</v>
      </c>
      <c r="L27" s="16">
        <v>8</v>
      </c>
      <c r="M27" s="33">
        <f t="shared" si="6"/>
        <v>0.375</v>
      </c>
      <c r="N27" s="16">
        <v>1000</v>
      </c>
      <c r="O27" s="34">
        <f t="shared" ref="O27:P27" si="35">D27/7</f>
        <v>0.42857142857142855</v>
      </c>
      <c r="P27" s="34">
        <f t="shared" si="35"/>
        <v>0</v>
      </c>
      <c r="Q27" s="29">
        <f t="shared" si="8"/>
        <v>2333</v>
      </c>
      <c r="R27" s="29"/>
      <c r="S27" s="21">
        <v>1.016574585635359</v>
      </c>
      <c r="T27" s="28">
        <v>2000</v>
      </c>
      <c r="U27" s="36">
        <v>200</v>
      </c>
      <c r="V27" s="37" t="s">
        <v>157</v>
      </c>
      <c r="W27" s="14">
        <v>0</v>
      </c>
      <c r="X27" s="38">
        <f t="shared" si="9"/>
        <v>0</v>
      </c>
      <c r="Y27" s="39">
        <f t="shared" si="10"/>
        <v>0</v>
      </c>
      <c r="Z27" s="14">
        <v>0</v>
      </c>
      <c r="AA27" s="28" t="s">
        <v>34</v>
      </c>
      <c r="AB27" s="40">
        <f t="shared" si="11"/>
        <v>-0.69</v>
      </c>
      <c r="AC27" s="41">
        <v>7.252284143518517E-2</v>
      </c>
      <c r="AD27" s="39">
        <f t="shared" si="12"/>
        <v>-0.30024456354166656</v>
      </c>
      <c r="AE27" s="25">
        <v>-5.42</v>
      </c>
      <c r="AF27" s="25">
        <v>-8.7464999999999993</v>
      </c>
      <c r="AG27" s="25">
        <v>0</v>
      </c>
    </row>
    <row r="28" spans="1:33" ht="15.75" customHeight="1" x14ac:dyDescent="0.2">
      <c r="A28" s="14" t="s">
        <v>71</v>
      </c>
      <c r="B28" s="14" t="s">
        <v>47</v>
      </c>
      <c r="C28" s="15">
        <f t="shared" si="4"/>
        <v>36.237837837837837</v>
      </c>
      <c r="D28" s="16">
        <v>37</v>
      </c>
      <c r="E28" s="16">
        <v>2</v>
      </c>
      <c r="F28" s="17">
        <v>1340.8</v>
      </c>
      <c r="G28" s="17">
        <v>-7.0000000000000007E-2</v>
      </c>
      <c r="H28" s="31">
        <f t="shared" si="1"/>
        <v>5.2207637231503584E-5</v>
      </c>
      <c r="I28" s="31">
        <f t="shared" si="2"/>
        <v>0.44908001470489217</v>
      </c>
      <c r="J28" s="32">
        <f t="shared" si="5"/>
        <v>602.1264837163194</v>
      </c>
      <c r="K28" s="32">
        <f t="shared" si="3"/>
        <v>16.273688749089715</v>
      </c>
      <c r="L28" s="16">
        <v>85</v>
      </c>
      <c r="M28" s="33">
        <f t="shared" si="6"/>
        <v>0.43529411764705883</v>
      </c>
      <c r="N28" s="16">
        <v>968</v>
      </c>
      <c r="O28" s="34">
        <f t="shared" ref="O28:P28" si="36">D28/7</f>
        <v>5.2857142857142856</v>
      </c>
      <c r="P28" s="34">
        <f t="shared" si="36"/>
        <v>0.2857142857142857</v>
      </c>
      <c r="Q28" s="29">
        <f t="shared" si="8"/>
        <v>173</v>
      </c>
      <c r="R28" s="29"/>
      <c r="S28" s="21">
        <v>0.87370929308975376</v>
      </c>
      <c r="T28" s="28">
        <v>2000</v>
      </c>
      <c r="U28" s="36">
        <v>200</v>
      </c>
      <c r="V28" s="37" t="s">
        <v>157</v>
      </c>
      <c r="W28" s="14">
        <v>0</v>
      </c>
      <c r="X28" s="38">
        <f t="shared" si="9"/>
        <v>0</v>
      </c>
      <c r="Y28" s="39">
        <f t="shared" si="10"/>
        <v>0</v>
      </c>
      <c r="Z28" s="14">
        <v>0</v>
      </c>
      <c r="AA28" s="28" t="s">
        <v>34</v>
      </c>
      <c r="AB28" s="40">
        <f t="shared" si="11"/>
        <v>-0.69</v>
      </c>
      <c r="AC28" s="41">
        <v>7.252284143518517E-2</v>
      </c>
      <c r="AD28" s="39">
        <f t="shared" si="12"/>
        <v>-3.7030162836805545</v>
      </c>
      <c r="AE28" s="25">
        <v>-5.68</v>
      </c>
      <c r="AF28" s="25">
        <v>-8.7464999999999993</v>
      </c>
      <c r="AG28" s="25">
        <v>0</v>
      </c>
    </row>
    <row r="29" spans="1:33" ht="15.75" customHeight="1" x14ac:dyDescent="0.2">
      <c r="A29" s="28" t="s">
        <v>72</v>
      </c>
      <c r="B29" s="28" t="s">
        <v>47</v>
      </c>
      <c r="C29" s="15">
        <f t="shared" si="4"/>
        <v>31.710684931506851</v>
      </c>
      <c r="D29" s="29">
        <v>73</v>
      </c>
      <c r="E29" s="29">
        <v>0</v>
      </c>
      <c r="F29" s="32">
        <v>2314.88</v>
      </c>
      <c r="G29" s="32">
        <v>-0.08</v>
      </c>
      <c r="H29" s="31">
        <f t="shared" si="1"/>
        <v>3.4559026817804812E-5</v>
      </c>
      <c r="I29" s="31">
        <f t="shared" si="2"/>
        <v>0.3918680661433076</v>
      </c>
      <c r="J29" s="32">
        <f t="shared" si="5"/>
        <v>907.12754895381988</v>
      </c>
      <c r="K29" s="32">
        <f t="shared" si="3"/>
        <v>12.426404780189314</v>
      </c>
      <c r="L29" s="29">
        <v>150</v>
      </c>
      <c r="M29" s="33">
        <f t="shared" si="6"/>
        <v>0.48666666666666669</v>
      </c>
      <c r="N29" s="16">
        <v>897</v>
      </c>
      <c r="O29" s="34">
        <f t="shared" ref="O29:P29" si="37">D29/7</f>
        <v>10.428571428571429</v>
      </c>
      <c r="P29" s="34">
        <f t="shared" si="37"/>
        <v>0</v>
      </c>
      <c r="Q29" s="29">
        <f t="shared" si="8"/>
        <v>86</v>
      </c>
      <c r="R29" s="29"/>
      <c r="S29" s="21">
        <v>0.97297297297297303</v>
      </c>
      <c r="T29" s="28">
        <v>1800</v>
      </c>
      <c r="U29" s="36">
        <v>200</v>
      </c>
      <c r="V29" s="37" t="s">
        <v>157</v>
      </c>
      <c r="W29" s="14">
        <v>0</v>
      </c>
      <c r="X29" s="38">
        <f t="shared" si="9"/>
        <v>0</v>
      </c>
      <c r="Y29" s="39">
        <f t="shared" si="10"/>
        <v>0</v>
      </c>
      <c r="Z29" s="14">
        <v>0</v>
      </c>
      <c r="AA29" s="28" t="s">
        <v>34</v>
      </c>
      <c r="AB29" s="40">
        <f t="shared" si="11"/>
        <v>-0.69</v>
      </c>
      <c r="AC29" s="41">
        <v>7.252284143518517E-2</v>
      </c>
      <c r="AD29" s="39">
        <f t="shared" si="12"/>
        <v>-7.305951046180553</v>
      </c>
      <c r="AE29" s="39">
        <v>-5.68</v>
      </c>
      <c r="AF29" s="25">
        <v>-8.7464999999999993</v>
      </c>
      <c r="AG29" s="39">
        <v>0</v>
      </c>
    </row>
    <row r="30" spans="1:33" ht="15.75" customHeight="1" x14ac:dyDescent="0.2">
      <c r="A30" s="14" t="s">
        <v>74</v>
      </c>
      <c r="B30" s="14" t="s">
        <v>158</v>
      </c>
      <c r="C30" s="15">
        <f t="shared" si="4"/>
        <v>33.416354166666615</v>
      </c>
      <c r="D30" s="16">
        <v>96</v>
      </c>
      <c r="E30" s="16">
        <v>0</v>
      </c>
      <c r="F30" s="17">
        <v>3207.9699999999953</v>
      </c>
      <c r="G30" s="17">
        <v>-0.02</v>
      </c>
      <c r="H30" s="31">
        <f t="shared" si="1"/>
        <v>6.2344722675087454E-6</v>
      </c>
      <c r="I30" s="31">
        <f t="shared" si="2"/>
        <v>0.42179618488161197</v>
      </c>
      <c r="J30" s="32">
        <f t="shared" si="5"/>
        <v>1353.1095072146627</v>
      </c>
      <c r="K30" s="32">
        <f t="shared" si="3"/>
        <v>14.094890700152737</v>
      </c>
      <c r="L30" s="16">
        <v>216</v>
      </c>
      <c r="M30" s="33">
        <f t="shared" si="6"/>
        <v>0.44444444444444442</v>
      </c>
      <c r="N30" s="16">
        <v>637</v>
      </c>
      <c r="O30" s="34">
        <f t="shared" ref="O30:P30" si="38">D30/7</f>
        <v>13.714285714285714</v>
      </c>
      <c r="P30" s="34">
        <f t="shared" si="38"/>
        <v>0</v>
      </c>
      <c r="Q30" s="29">
        <f t="shared" si="8"/>
        <v>46</v>
      </c>
      <c r="R30" s="29"/>
      <c r="S30" s="21">
        <v>1.413929040735874</v>
      </c>
      <c r="T30" s="28">
        <v>2000</v>
      </c>
      <c r="U30" s="36">
        <v>200</v>
      </c>
      <c r="V30" s="37" t="s">
        <v>159</v>
      </c>
      <c r="W30" s="14">
        <v>0</v>
      </c>
      <c r="X30" s="38">
        <f t="shared" si="9"/>
        <v>0</v>
      </c>
      <c r="Y30" s="39">
        <f t="shared" si="10"/>
        <v>0</v>
      </c>
      <c r="Z30" s="14">
        <v>0</v>
      </c>
      <c r="AA30" s="28" t="s">
        <v>34</v>
      </c>
      <c r="AB30" s="40">
        <f t="shared" si="11"/>
        <v>-0.69</v>
      </c>
      <c r="AC30" s="41">
        <v>7.252284143518517E-2</v>
      </c>
      <c r="AD30" s="39">
        <f t="shared" si="12"/>
        <v>-9.6078260333333301</v>
      </c>
      <c r="AE30" s="25">
        <v>-5.68</v>
      </c>
      <c r="AF30" s="25">
        <v>-8.5287204869999993</v>
      </c>
      <c r="AG30" s="25">
        <v>0</v>
      </c>
    </row>
    <row r="31" spans="1:33" ht="15.75" customHeight="1" x14ac:dyDescent="0.2">
      <c r="A31" s="14" t="s">
        <v>75</v>
      </c>
      <c r="B31" s="14"/>
      <c r="C31" s="15">
        <f t="shared" si="4"/>
        <v>35.193076923076923</v>
      </c>
      <c r="D31" s="16">
        <v>104</v>
      </c>
      <c r="E31" s="16">
        <v>1</v>
      </c>
      <c r="F31" s="17">
        <v>3660.08</v>
      </c>
      <c r="G31" s="42">
        <v>0</v>
      </c>
      <c r="H31" s="31">
        <f t="shared" si="1"/>
        <v>0</v>
      </c>
      <c r="I31" s="31">
        <f t="shared" si="2"/>
        <v>0.44341997747295742</v>
      </c>
      <c r="J31" s="32">
        <f t="shared" si="5"/>
        <v>1622.9525911492219</v>
      </c>
      <c r="K31" s="32">
        <f t="shared" si="3"/>
        <v>15.605313376434825</v>
      </c>
      <c r="L31" s="16">
        <v>199</v>
      </c>
      <c r="M31" s="33">
        <f t="shared" si="6"/>
        <v>0.52261306532663321</v>
      </c>
      <c r="N31" s="16">
        <v>621</v>
      </c>
      <c r="O31" s="34">
        <f t="shared" ref="O31:P32" si="39">D31/7</f>
        <v>14.857142857142858</v>
      </c>
      <c r="P31" s="34">
        <f t="shared" si="39"/>
        <v>0.14285714285714285</v>
      </c>
      <c r="Q31" s="29">
        <f t="shared" si="8"/>
        <v>41</v>
      </c>
      <c r="R31" s="29"/>
      <c r="S31" s="21">
        <v>1.96730245231607</v>
      </c>
      <c r="T31" s="14">
        <v>600</v>
      </c>
      <c r="U31" s="22" t="s">
        <v>33</v>
      </c>
      <c r="V31" s="1" t="s">
        <v>966</v>
      </c>
      <c r="W31" s="14">
        <v>0</v>
      </c>
      <c r="X31" s="38">
        <f t="shared" si="9"/>
        <v>0</v>
      </c>
      <c r="Y31" s="39">
        <f t="shared" si="10"/>
        <v>0</v>
      </c>
      <c r="Z31" s="14">
        <v>0</v>
      </c>
      <c r="AA31" s="14" t="s">
        <v>34</v>
      </c>
      <c r="AB31" s="40">
        <f t="shared" si="11"/>
        <v>-0.69</v>
      </c>
      <c r="AC31" s="27">
        <v>7.252284143518517E-2</v>
      </c>
      <c r="AD31" s="39">
        <f t="shared" si="12"/>
        <v>-10.408478202777774</v>
      </c>
      <c r="AE31" s="43">
        <v>-5.68</v>
      </c>
      <c r="AF31" s="43">
        <v>-8.5287204870000011</v>
      </c>
      <c r="AG31" s="25">
        <v>0</v>
      </c>
    </row>
    <row r="32" spans="1:33" s="51" customFormat="1" ht="15.75" customHeight="1" x14ac:dyDescent="0.2">
      <c r="A32" s="51" t="s">
        <v>934</v>
      </c>
      <c r="C32" s="15">
        <f t="shared" si="4"/>
        <v>34.432135922330097</v>
      </c>
      <c r="D32" s="52">
        <v>103</v>
      </c>
      <c r="E32" s="52">
        <v>0</v>
      </c>
      <c r="F32" s="53">
        <v>3546.51</v>
      </c>
      <c r="G32" s="53">
        <v>-0.15</v>
      </c>
      <c r="H32" s="31">
        <f t="shared" si="1"/>
        <v>4.2295101381358008E-5</v>
      </c>
      <c r="I32" s="31">
        <f t="shared" si="2"/>
        <v>0.43439237254579932</v>
      </c>
      <c r="J32" s="32">
        <f t="shared" si="5"/>
        <v>1540.5768931574028</v>
      </c>
      <c r="K32" s="32">
        <f t="shared" si="3"/>
        <v>14.957057215120415</v>
      </c>
      <c r="L32" s="52">
        <v>208</v>
      </c>
      <c r="M32" s="33">
        <f t="shared" si="6"/>
        <v>0.49519230769230771</v>
      </c>
      <c r="N32" s="52">
        <v>581</v>
      </c>
      <c r="O32" s="34">
        <f t="shared" si="39"/>
        <v>14.714285714285714</v>
      </c>
      <c r="P32" s="34">
        <f t="shared" si="39"/>
        <v>0</v>
      </c>
      <c r="Q32" s="29">
        <f t="shared" si="8"/>
        <v>39</v>
      </c>
      <c r="R32" s="29" t="str">
        <f ca="1">IFERROR(VLOOKUP($B$2,IMPORTRANGE("https://docs.google.com/spreadsheets/d/1KiWZV1ko8G7lnRucBRBd29jj3Be6ltMfljMDqzOkQmI/edit#gid=1381463014","Lookup!A:F"),6,FALSE),"")</f>
        <v/>
      </c>
      <c r="S32" s="54">
        <v>1.084628670120898</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7.252284143518517E-2</v>
      </c>
      <c r="AD32" s="39">
        <f t="shared" si="12"/>
        <v>-10.308396681597218</v>
      </c>
      <c r="AE32" s="58">
        <v>-5.68</v>
      </c>
      <c r="AF32" s="58">
        <v>-8.5287204869999993</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6640625" customWidth="1"/>
    <col min="16" max="16" width="11.5" customWidth="1"/>
    <col min="17" max="17" width="8.5" customWidth="1"/>
    <col min="18" max="18" width="8.5" style="48" customWidth="1"/>
    <col min="19" max="19" width="8.33203125" customWidth="1"/>
    <col min="20" max="20" width="12.83203125" customWidth="1"/>
    <col min="21" max="21" width="24.5" customWidth="1"/>
    <col min="22" max="22" width="27"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Info!B1:BJ5000""),3,FALSE),"""")"),"4 Prong Dryer Cord - 4 Ft Electric Dryer Power Plug, 10 Gauge, 30 Amp, 14-30R, Black")</f>
        <v>4 Prong Dryer Cord - 4 Ft Electric Dryer Power Plug, 10 Gauge, 30 Amp, 14-30R,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Info!B1:BJ5000""),2,FALSE),"""")"),"B089DMVKDB")</f>
        <v>B089DMVKDB</v>
      </c>
      <c r="B2" s="3" t="s">
        <v>160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1.75" customHeight="1" x14ac:dyDescent="0.2">
      <c r="A3" s="76" t="s">
        <v>30</v>
      </c>
      <c r="B3" s="77"/>
      <c r="C3" s="47">
        <f>((AE32+AF32)/0.85)*-1</f>
        <v>11.897092736470588</v>
      </c>
      <c r="D3" s="5">
        <f>SUM(D4:D99765)</f>
        <v>269</v>
      </c>
      <c r="E3" s="5"/>
      <c r="F3" s="6">
        <f t="shared" ref="F3:G3" si="0">SUM(F4:F99765)</f>
        <v>3989.52</v>
      </c>
      <c r="G3" s="6">
        <f t="shared" si="0"/>
        <v>-45.269999999999989</v>
      </c>
      <c r="H3" s="7">
        <f t="shared" ref="H3:H32" si="1">G3/F3*-1</f>
        <v>1.1347229741923837E-2</v>
      </c>
      <c r="I3" s="8">
        <f t="shared" ref="I3:I32" si="2">J3/F3</f>
        <v>0.16788468449044588</v>
      </c>
      <c r="J3" s="6">
        <f>SUM(J4:J99765)</f>
        <v>669.77930646832363</v>
      </c>
      <c r="K3" s="6">
        <f t="shared" ref="K3:K32" si="3">J3/D3</f>
        <v>2.4898858976517606</v>
      </c>
      <c r="L3" s="5"/>
      <c r="M3" s="9"/>
      <c r="N3" s="10"/>
      <c r="O3" s="5" t="str">
        <f ca="1">IFERROR(__xludf.DUMMYFUNCTION("IFERROR(VLOOKUP(B2,IMPORTRANGE(""https://docs.google.com/spreadsheets/d/1N8jvpEHDVkurDv7NrPxwI3eH6hQsvtb1QltGNCalRjU/edit#gid=865736387"",""Compiled Sheet!a1:g5000""),2,FALSE),"""")"),"1 - March
1 - April
1 - May
1 - June
1 - July
1 - Aug
1 - Sept
2.5 - Oct
2.5 - Nov
2.5 - Dec
1 - Jan
1 - Feb")</f>
        <v>1 - March
1 - April
1 - May
1 - June
1 - July
1 - Aug
1 - Sept
2.5 - Oct
2.5 - Nov
2.5 -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11</v>
      </c>
      <c r="X3" s="7">
        <f>W3/D3</f>
        <v>4.0892193308550186E-2</v>
      </c>
      <c r="Y3" s="6"/>
      <c r="Z3" s="5"/>
      <c r="AA3" s="5"/>
      <c r="AB3" s="5"/>
      <c r="AC3" s="5"/>
      <c r="AD3" s="6">
        <f>SUM(AD4:AD99765)</f>
        <v>-27.393137685727552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Info!B2:BZ7000""),37,FALSE)),"""")*-1"),-5.162528826)</f>
        <v>-5.162528826</v>
      </c>
      <c r="AG3" s="6">
        <f>SUM(AG4:AG99765)</f>
        <v>0</v>
      </c>
    </row>
    <row r="4" spans="1:33" ht="15.75" customHeight="1" x14ac:dyDescent="0.2">
      <c r="A4" s="14" t="s">
        <v>31</v>
      </c>
      <c r="B4" s="14" t="s">
        <v>161</v>
      </c>
      <c r="C4" s="15">
        <f t="shared" ref="C4:C32" si="4">IFERROR(F4/D4," - ")</f>
        <v>16.95</v>
      </c>
      <c r="D4" s="16">
        <v>2</v>
      </c>
      <c r="E4" s="16">
        <v>0</v>
      </c>
      <c r="F4" s="17">
        <v>33.9</v>
      </c>
      <c r="G4" s="17">
        <v>0</v>
      </c>
      <c r="H4" s="18">
        <f t="shared" si="1"/>
        <v>0</v>
      </c>
      <c r="I4" s="18">
        <f t="shared" si="2"/>
        <v>0.30239937500204839</v>
      </c>
      <c r="J4" s="17">
        <f t="shared" ref="J4:J32" si="5">F4*0.85+G4+AF4*D4+D4*AE4+AG4+AD4</f>
        <v>10.25133881256944</v>
      </c>
      <c r="K4" s="17">
        <f t="shared" si="3"/>
        <v>5.1256694062847199</v>
      </c>
      <c r="L4" s="16">
        <v>11</v>
      </c>
      <c r="M4" s="19">
        <f t="shared" ref="M4:M32" si="6">IFERROR(D4/L4,"-")</f>
        <v>0.18181818181818182</v>
      </c>
      <c r="N4" s="16">
        <v>14</v>
      </c>
      <c r="O4" s="20">
        <f t="shared" ref="O4:P4" si="7">D4/7</f>
        <v>0.2857142857142857</v>
      </c>
      <c r="P4" s="20">
        <f t="shared" si="7"/>
        <v>0</v>
      </c>
      <c r="Q4" s="16">
        <f t="shared" ref="Q4:Q32" si="8">ROUNDDOWN(N4/(O4+P4),0)</f>
        <v>49</v>
      </c>
      <c r="R4" s="16"/>
      <c r="S4" s="21">
        <v>1.7942386831275701</v>
      </c>
      <c r="T4" s="14">
        <v>240</v>
      </c>
      <c r="U4" s="22">
        <v>240</v>
      </c>
      <c r="V4" s="23" t="s">
        <v>162</v>
      </c>
      <c r="W4" s="14">
        <v>0</v>
      </c>
      <c r="X4" s="24">
        <f t="shared" ref="X4:X32" si="9">IFERROR(W4/D4,0)</f>
        <v>0</v>
      </c>
      <c r="Y4" s="25">
        <f t="shared" ref="Y4:Y32" si="10">IFERROR(G4/(W4+Z4)*-1,0)</f>
        <v>0</v>
      </c>
      <c r="Z4" s="14">
        <v>0</v>
      </c>
      <c r="AA4" s="2" t="s">
        <v>34</v>
      </c>
      <c r="AB4" s="26">
        <f t="shared" ref="AB4:AB32" si="11">IF(OR(AA4="UsLargeStandardSize",AA4="UsSmallStandardSize"),-0.69,-0.48)</f>
        <v>-0.69</v>
      </c>
      <c r="AC4" s="27">
        <v>7.379028530092592E-2</v>
      </c>
      <c r="AD4" s="25">
        <f t="shared" ref="AD4:AD32" si="12">IFERROR(AB4*AC4*D4*2,0)</f>
        <v>-0.20366118743055553</v>
      </c>
      <c r="AE4" s="25">
        <v>-4.9000000000000004</v>
      </c>
      <c r="AF4" s="25">
        <v>-4.28</v>
      </c>
      <c r="AG4" s="25">
        <v>0</v>
      </c>
    </row>
    <row r="5" spans="1:33" ht="1.5" customHeight="1" x14ac:dyDescent="0.2">
      <c r="A5" s="28" t="s">
        <v>35</v>
      </c>
      <c r="B5" s="28" t="s">
        <v>163</v>
      </c>
      <c r="C5" s="15">
        <f t="shared" si="4"/>
        <v>16.88</v>
      </c>
      <c r="D5" s="29">
        <v>6</v>
      </c>
      <c r="E5" s="29">
        <v>0</v>
      </c>
      <c r="F5" s="30">
        <v>101.28</v>
      </c>
      <c r="G5" s="30">
        <v>0</v>
      </c>
      <c r="H5" s="31">
        <f t="shared" si="1"/>
        <v>0</v>
      </c>
      <c r="I5" s="31">
        <f t="shared" si="2"/>
        <v>0.30012152904216516</v>
      </c>
      <c r="J5" s="32">
        <f t="shared" si="5"/>
        <v>30.39630846139049</v>
      </c>
      <c r="K5" s="32">
        <f t="shared" si="3"/>
        <v>5.066051410231748</v>
      </c>
      <c r="L5" s="29">
        <v>13</v>
      </c>
      <c r="M5" s="33">
        <f t="shared" si="6"/>
        <v>0.46153846153846156</v>
      </c>
      <c r="N5" s="29">
        <v>8</v>
      </c>
      <c r="O5" s="34">
        <f t="shared" ref="O5:P5" si="13">D5/7</f>
        <v>0.8571428571428571</v>
      </c>
      <c r="P5" s="34">
        <f t="shared" si="13"/>
        <v>0</v>
      </c>
      <c r="Q5" s="29">
        <f t="shared" si="8"/>
        <v>9</v>
      </c>
      <c r="R5" s="29"/>
      <c r="S5" s="35">
        <v>1.89090909090909</v>
      </c>
      <c r="T5" s="28">
        <v>240</v>
      </c>
      <c r="U5" s="36">
        <v>240</v>
      </c>
      <c r="V5" s="37" t="s">
        <v>164</v>
      </c>
      <c r="W5" s="28">
        <v>0</v>
      </c>
      <c r="X5" s="38">
        <f t="shared" si="9"/>
        <v>0</v>
      </c>
      <c r="Y5" s="39">
        <f t="shared" si="10"/>
        <v>0</v>
      </c>
      <c r="Z5" s="28">
        <v>0</v>
      </c>
      <c r="AA5" s="28" t="s">
        <v>34</v>
      </c>
      <c r="AB5" s="40">
        <f t="shared" si="11"/>
        <v>-0.69</v>
      </c>
      <c r="AC5" s="41">
        <v>7.3875789687137886E-2</v>
      </c>
      <c r="AD5" s="39">
        <f t="shared" si="12"/>
        <v>-0.61169153860950165</v>
      </c>
      <c r="AE5" s="39">
        <v>-4.9000000000000004</v>
      </c>
      <c r="AF5" s="39">
        <v>-4.28</v>
      </c>
      <c r="AG5" s="39">
        <v>0</v>
      </c>
    </row>
    <row r="6" spans="1:33" ht="15.75" customHeight="1" x14ac:dyDescent="0.2">
      <c r="A6" s="28" t="s">
        <v>37</v>
      </c>
      <c r="B6" s="28" t="s">
        <v>165</v>
      </c>
      <c r="C6" s="15">
        <f t="shared" si="4"/>
        <v>14.95</v>
      </c>
      <c r="D6" s="29">
        <v>1</v>
      </c>
      <c r="E6" s="29">
        <v>0</v>
      </c>
      <c r="F6" s="30">
        <v>14.95</v>
      </c>
      <c r="G6" s="30">
        <v>0</v>
      </c>
      <c r="H6" s="31">
        <f t="shared" si="1"/>
        <v>0</v>
      </c>
      <c r="I6" s="31">
        <f t="shared" si="2"/>
        <v>0.22914176630667027</v>
      </c>
      <c r="J6" s="32">
        <f t="shared" si="5"/>
        <v>3.4256694062847202</v>
      </c>
      <c r="K6" s="32">
        <f t="shared" si="3"/>
        <v>3.4256694062847202</v>
      </c>
      <c r="L6" s="29">
        <v>2</v>
      </c>
      <c r="M6" s="33">
        <f t="shared" si="6"/>
        <v>0.5</v>
      </c>
      <c r="N6" s="29">
        <v>7</v>
      </c>
      <c r="O6" s="34">
        <f t="shared" ref="O6:P6" si="14">D6/7</f>
        <v>0.14285714285714285</v>
      </c>
      <c r="P6" s="34">
        <f t="shared" si="14"/>
        <v>0</v>
      </c>
      <c r="Q6" s="29">
        <f t="shared" si="8"/>
        <v>49</v>
      </c>
      <c r="R6" s="29"/>
      <c r="S6" s="35">
        <v>1.8082191780821899</v>
      </c>
      <c r="T6" s="28">
        <v>0</v>
      </c>
      <c r="U6" s="36" t="s">
        <v>33</v>
      </c>
      <c r="V6" s="37" t="s">
        <v>39</v>
      </c>
      <c r="W6" s="28">
        <v>0</v>
      </c>
      <c r="X6" s="38">
        <f t="shared" si="9"/>
        <v>0</v>
      </c>
      <c r="Y6" s="39">
        <f t="shared" si="10"/>
        <v>0</v>
      </c>
      <c r="Z6" s="28">
        <v>0</v>
      </c>
      <c r="AA6" s="28" t="s">
        <v>34</v>
      </c>
      <c r="AB6" s="40">
        <f t="shared" si="11"/>
        <v>-0.69</v>
      </c>
      <c r="AC6" s="41">
        <v>7.379028530092592E-2</v>
      </c>
      <c r="AD6" s="39">
        <f t="shared" si="12"/>
        <v>-0.10183059371527776</v>
      </c>
      <c r="AE6" s="39">
        <v>-4.9000000000000004</v>
      </c>
      <c r="AF6" s="39">
        <v>-4.28</v>
      </c>
      <c r="AG6" s="39">
        <v>0</v>
      </c>
    </row>
    <row r="7" spans="1:33" ht="15.75" customHeight="1" x14ac:dyDescent="0.2">
      <c r="A7" s="28" t="s">
        <v>40</v>
      </c>
      <c r="B7" s="28" t="s">
        <v>166</v>
      </c>
      <c r="C7" s="15" t="str">
        <f t="shared" si="4"/>
        <v xml:space="preserve"> - </v>
      </c>
      <c r="D7" s="29">
        <v>0</v>
      </c>
      <c r="E7" s="29">
        <v>0</v>
      </c>
      <c r="F7" s="30">
        <v>0</v>
      </c>
      <c r="G7" s="30">
        <v>0</v>
      </c>
      <c r="H7" s="31" t="e">
        <f t="shared" si="1"/>
        <v>#DIV/0!</v>
      </c>
      <c r="I7" s="31" t="e">
        <f t="shared" si="2"/>
        <v>#DIV/0!</v>
      </c>
      <c r="J7" s="32">
        <f t="shared" si="5"/>
        <v>0</v>
      </c>
      <c r="K7" s="32" t="e">
        <f t="shared" si="3"/>
        <v>#DIV/0!</v>
      </c>
      <c r="L7" s="29">
        <v>0</v>
      </c>
      <c r="M7" s="33" t="str">
        <f t="shared" si="6"/>
        <v>-</v>
      </c>
      <c r="N7" s="29">
        <v>107</v>
      </c>
      <c r="O7" s="34">
        <f t="shared" ref="O7:P7" si="15">D7/7</f>
        <v>0</v>
      </c>
      <c r="P7" s="34">
        <f t="shared" si="15"/>
        <v>0</v>
      </c>
      <c r="Q7" s="29" t="e">
        <f t="shared" si="8"/>
        <v>#DIV/0!</v>
      </c>
      <c r="R7" s="29"/>
      <c r="S7" s="35">
        <v>1.0815450643776801</v>
      </c>
      <c r="T7" s="28">
        <v>0</v>
      </c>
      <c r="U7" s="36" t="s">
        <v>33</v>
      </c>
      <c r="V7" s="37" t="s">
        <v>39</v>
      </c>
      <c r="W7" s="28">
        <v>0</v>
      </c>
      <c r="X7" s="38">
        <f t="shared" si="9"/>
        <v>0</v>
      </c>
      <c r="Y7" s="39">
        <f t="shared" si="10"/>
        <v>0</v>
      </c>
      <c r="Z7" s="28">
        <v>0</v>
      </c>
      <c r="AA7" s="28" t="s">
        <v>34</v>
      </c>
      <c r="AB7" s="40">
        <f t="shared" si="11"/>
        <v>-0.69</v>
      </c>
      <c r="AC7" s="41">
        <v>7.379028530092592E-2</v>
      </c>
      <c r="AD7" s="39">
        <f t="shared" si="12"/>
        <v>0</v>
      </c>
      <c r="AE7" s="39">
        <v>-4.9000000000000004</v>
      </c>
      <c r="AF7" s="39">
        <v>-4.4885641025641032</v>
      </c>
      <c r="AG7" s="39">
        <v>0</v>
      </c>
    </row>
    <row r="8" spans="1:33" ht="15.75" customHeight="1" x14ac:dyDescent="0.2">
      <c r="A8" s="28" t="s">
        <v>42</v>
      </c>
      <c r="B8" s="28" t="s">
        <v>167</v>
      </c>
      <c r="C8" s="15">
        <f t="shared" si="4"/>
        <v>13.95</v>
      </c>
      <c r="D8" s="29">
        <v>2</v>
      </c>
      <c r="E8" s="29">
        <v>0</v>
      </c>
      <c r="F8" s="30">
        <v>27.9</v>
      </c>
      <c r="G8" s="30">
        <v>0</v>
      </c>
      <c r="H8" s="31">
        <f t="shared" si="1"/>
        <v>0</v>
      </c>
      <c r="I8" s="31">
        <f t="shared" si="2"/>
        <v>0.16958203629281157</v>
      </c>
      <c r="J8" s="32">
        <f t="shared" si="5"/>
        <v>4.7313388125694429</v>
      </c>
      <c r="K8" s="32">
        <f t="shared" si="3"/>
        <v>2.3656694062847214</v>
      </c>
      <c r="L8" s="29">
        <v>11</v>
      </c>
      <c r="M8" s="33">
        <f t="shared" si="6"/>
        <v>0.18181818181818182</v>
      </c>
      <c r="N8" s="29">
        <v>105</v>
      </c>
      <c r="O8" s="34">
        <f t="shared" ref="O8:P8" si="16">D8/7</f>
        <v>0.2857142857142857</v>
      </c>
      <c r="P8" s="34">
        <f t="shared" si="16"/>
        <v>0</v>
      </c>
      <c r="Q8" s="29">
        <f t="shared" si="8"/>
        <v>367</v>
      </c>
      <c r="R8" s="29"/>
      <c r="S8" s="35">
        <v>1.1200000000000001</v>
      </c>
      <c r="T8" s="28">
        <v>0</v>
      </c>
      <c r="U8" s="36" t="s">
        <v>33</v>
      </c>
      <c r="V8" s="37" t="s">
        <v>33</v>
      </c>
      <c r="W8" s="28">
        <v>0</v>
      </c>
      <c r="X8" s="38">
        <f t="shared" si="9"/>
        <v>0</v>
      </c>
      <c r="Y8" s="39">
        <f t="shared" si="10"/>
        <v>0</v>
      </c>
      <c r="Z8" s="28">
        <v>0</v>
      </c>
      <c r="AA8" s="28" t="s">
        <v>34</v>
      </c>
      <c r="AB8" s="40">
        <f t="shared" si="11"/>
        <v>-0.69</v>
      </c>
      <c r="AC8" s="41">
        <v>7.379028530092592E-2</v>
      </c>
      <c r="AD8" s="39">
        <f t="shared" si="12"/>
        <v>-0.20366118743055553</v>
      </c>
      <c r="AE8" s="39">
        <v>-4.9000000000000004</v>
      </c>
      <c r="AF8" s="39">
        <v>-4.49</v>
      </c>
      <c r="AG8" s="39">
        <v>0</v>
      </c>
    </row>
    <row r="9" spans="1:33" ht="15.75" customHeight="1" x14ac:dyDescent="0.2">
      <c r="A9" s="28" t="s">
        <v>44</v>
      </c>
      <c r="B9" s="28" t="s">
        <v>168</v>
      </c>
      <c r="C9" s="15">
        <f t="shared" si="4"/>
        <v>13.95</v>
      </c>
      <c r="D9" s="29">
        <v>10</v>
      </c>
      <c r="E9" s="29">
        <v>0</v>
      </c>
      <c r="F9" s="30">
        <v>139.5</v>
      </c>
      <c r="G9" s="30">
        <v>-32.559999999999995</v>
      </c>
      <c r="H9" s="31">
        <f t="shared" si="1"/>
        <v>0.23340501792114693</v>
      </c>
      <c r="I9" s="31">
        <f t="shared" si="2"/>
        <v>-6.9517311193632039E-2</v>
      </c>
      <c r="J9" s="32">
        <f t="shared" si="5"/>
        <v>-9.6976649115116693</v>
      </c>
      <c r="K9" s="32">
        <f t="shared" si="3"/>
        <v>-0.96976649115116698</v>
      </c>
      <c r="L9" s="29">
        <v>39</v>
      </c>
      <c r="M9" s="33">
        <f t="shared" si="6"/>
        <v>0.25641025641025639</v>
      </c>
      <c r="N9" s="29">
        <v>95</v>
      </c>
      <c r="O9" s="34">
        <f t="shared" ref="O9:P9" si="17">D9/7</f>
        <v>1.4285714285714286</v>
      </c>
      <c r="P9" s="34">
        <f t="shared" si="17"/>
        <v>0</v>
      </c>
      <c r="Q9" s="29">
        <f t="shared" si="8"/>
        <v>66</v>
      </c>
      <c r="R9" s="29"/>
      <c r="S9" s="35">
        <v>1.1235955056179701</v>
      </c>
      <c r="T9" s="28">
        <v>0</v>
      </c>
      <c r="U9" s="36" t="s">
        <v>33</v>
      </c>
      <c r="V9" s="37" t="s">
        <v>33</v>
      </c>
      <c r="W9" s="28">
        <v>8</v>
      </c>
      <c r="X9" s="38">
        <f t="shared" si="9"/>
        <v>0.8</v>
      </c>
      <c r="Y9" s="39">
        <f t="shared" si="10"/>
        <v>4.0699999999999994</v>
      </c>
      <c r="Z9" s="28">
        <v>0</v>
      </c>
      <c r="AA9" s="28" t="s">
        <v>34</v>
      </c>
      <c r="AB9" s="40">
        <f t="shared" si="11"/>
        <v>-0.69</v>
      </c>
      <c r="AC9" s="41">
        <v>7.379028530092592E-2</v>
      </c>
      <c r="AD9" s="39">
        <f t="shared" si="12"/>
        <v>-1.0183059371527776</v>
      </c>
      <c r="AE9" s="39">
        <v>-4.9000000000000004</v>
      </c>
      <c r="AF9" s="39">
        <v>-4.5694358974358904</v>
      </c>
      <c r="AG9" s="39">
        <v>0</v>
      </c>
    </row>
    <row r="10" spans="1:33" ht="15.75" customHeight="1" x14ac:dyDescent="0.2">
      <c r="A10" s="28" t="s">
        <v>46</v>
      </c>
      <c r="B10" s="28" t="s">
        <v>47</v>
      </c>
      <c r="C10" s="15">
        <f t="shared" si="4"/>
        <v>13.684999999999999</v>
      </c>
      <c r="D10" s="29">
        <v>4</v>
      </c>
      <c r="E10" s="29">
        <v>0</v>
      </c>
      <c r="F10" s="30">
        <v>54.739999999999995</v>
      </c>
      <c r="G10" s="30">
        <v>-10.809999999999999</v>
      </c>
      <c r="H10" s="31">
        <f t="shared" si="1"/>
        <v>0.19747899159663865</v>
      </c>
      <c r="I10" s="31">
        <f t="shared" si="2"/>
        <v>-4.6877346814115463E-2</v>
      </c>
      <c r="J10" s="32">
        <f t="shared" si="5"/>
        <v>-2.5660659646046802</v>
      </c>
      <c r="K10" s="32">
        <f t="shared" si="3"/>
        <v>-0.64151649115117004</v>
      </c>
      <c r="L10" s="29">
        <v>23</v>
      </c>
      <c r="M10" s="33">
        <f t="shared" si="6"/>
        <v>0.17391304347826086</v>
      </c>
      <c r="N10" s="29">
        <v>91</v>
      </c>
      <c r="O10" s="34">
        <f t="shared" ref="O10:P10" si="18">D10/7</f>
        <v>0.5714285714285714</v>
      </c>
      <c r="P10" s="34">
        <f t="shared" si="18"/>
        <v>0</v>
      </c>
      <c r="Q10" s="29">
        <f t="shared" si="8"/>
        <v>159</v>
      </c>
      <c r="R10" s="29"/>
      <c r="S10" s="35">
        <v>1.2363636363636299</v>
      </c>
      <c r="T10" s="28">
        <v>0</v>
      </c>
      <c r="U10" s="36" t="s">
        <v>33</v>
      </c>
      <c r="V10" s="37" t="s">
        <v>33</v>
      </c>
      <c r="W10" s="28">
        <v>3</v>
      </c>
      <c r="X10" s="38">
        <f t="shared" si="9"/>
        <v>0.75</v>
      </c>
      <c r="Y10" s="39">
        <f t="shared" si="10"/>
        <v>2.7024999999999997</v>
      </c>
      <c r="Z10" s="28">
        <v>1</v>
      </c>
      <c r="AA10" s="28" t="s">
        <v>34</v>
      </c>
      <c r="AB10" s="40">
        <f t="shared" si="11"/>
        <v>-0.69</v>
      </c>
      <c r="AC10" s="41">
        <v>7.379028530092592E-2</v>
      </c>
      <c r="AD10" s="39">
        <f t="shared" si="12"/>
        <v>-0.40732237486111106</v>
      </c>
      <c r="AE10" s="39">
        <v>-4.9000000000000004</v>
      </c>
      <c r="AF10" s="39">
        <v>-4.5694358974358904</v>
      </c>
      <c r="AG10" s="39">
        <v>0</v>
      </c>
    </row>
    <row r="11" spans="1:33" ht="15.75" customHeight="1" x14ac:dyDescent="0.2">
      <c r="A11" s="28" t="s">
        <v>48</v>
      </c>
      <c r="B11" s="28" t="s">
        <v>47</v>
      </c>
      <c r="C11" s="15">
        <f t="shared" si="4"/>
        <v>11.981111111111112</v>
      </c>
      <c r="D11" s="29">
        <v>9</v>
      </c>
      <c r="E11" s="29">
        <v>1</v>
      </c>
      <c r="F11" s="30">
        <v>107.83</v>
      </c>
      <c r="G11" s="30">
        <v>-0.08</v>
      </c>
      <c r="H11" s="31">
        <f t="shared" si="1"/>
        <v>7.4190855977000834E-4</v>
      </c>
      <c r="I11" s="31">
        <f t="shared" si="2"/>
        <v>5.0395080957428159E-2</v>
      </c>
      <c r="J11" s="32">
        <f t="shared" si="5"/>
        <v>5.4341015796394787</v>
      </c>
      <c r="K11" s="32">
        <f t="shared" si="3"/>
        <v>0.60378906440438651</v>
      </c>
      <c r="L11" s="29">
        <v>10</v>
      </c>
      <c r="M11" s="33">
        <f t="shared" si="6"/>
        <v>0.9</v>
      </c>
      <c r="N11" s="29">
        <v>83</v>
      </c>
      <c r="O11" s="34">
        <f t="shared" ref="O11:P11" si="19">D11/7</f>
        <v>1.2857142857142858</v>
      </c>
      <c r="P11" s="34">
        <f t="shared" si="19"/>
        <v>0.14285714285714285</v>
      </c>
      <c r="Q11" s="29">
        <f t="shared" si="8"/>
        <v>58</v>
      </c>
      <c r="R11" s="29"/>
      <c r="S11" s="35">
        <v>0.95693779904306198</v>
      </c>
      <c r="T11" s="28">
        <v>0</v>
      </c>
      <c r="U11" s="36" t="s">
        <v>33</v>
      </c>
      <c r="V11" s="37" t="s">
        <v>33</v>
      </c>
      <c r="W11" s="28">
        <v>0</v>
      </c>
      <c r="X11" s="38">
        <f t="shared" si="9"/>
        <v>0</v>
      </c>
      <c r="Y11" s="39">
        <f t="shared" si="10"/>
        <v>0</v>
      </c>
      <c r="Z11" s="28">
        <v>0</v>
      </c>
      <c r="AA11" s="28" t="s">
        <v>34</v>
      </c>
      <c r="AB11" s="40">
        <f t="shared" si="11"/>
        <v>-0.69</v>
      </c>
      <c r="AC11" s="41">
        <v>7.379028530092592E-2</v>
      </c>
      <c r="AD11" s="39">
        <f t="shared" si="12"/>
        <v>-0.91647534343749992</v>
      </c>
      <c r="AE11" s="39">
        <v>-4.9000000000000004</v>
      </c>
      <c r="AF11" s="39">
        <v>-4.5694358974358904</v>
      </c>
      <c r="AG11" s="39">
        <v>0</v>
      </c>
    </row>
    <row r="12" spans="1:33" ht="15.75" customHeight="1" x14ac:dyDescent="0.2">
      <c r="A12" s="28" t="s">
        <v>49</v>
      </c>
      <c r="B12" s="28" t="s">
        <v>47</v>
      </c>
      <c r="C12" s="15">
        <f t="shared" si="4"/>
        <v>12.010000000000002</v>
      </c>
      <c r="D12" s="29">
        <v>9</v>
      </c>
      <c r="E12" s="29">
        <v>1</v>
      </c>
      <c r="F12" s="30">
        <v>108.09000000000002</v>
      </c>
      <c r="G12" s="30">
        <v>-0.29000000000000004</v>
      </c>
      <c r="H12" s="31">
        <f t="shared" si="1"/>
        <v>2.6829493940234987E-3</v>
      </c>
      <c r="I12" s="31">
        <f t="shared" si="2"/>
        <v>5.0375627529276414E-2</v>
      </c>
      <c r="J12" s="32">
        <f t="shared" si="5"/>
        <v>5.4451015796394886</v>
      </c>
      <c r="K12" s="32">
        <f t="shared" si="3"/>
        <v>0.60501128662660986</v>
      </c>
      <c r="L12" s="29">
        <v>19</v>
      </c>
      <c r="M12" s="33">
        <f t="shared" si="6"/>
        <v>0.47368421052631576</v>
      </c>
      <c r="N12" s="29">
        <v>71</v>
      </c>
      <c r="O12" s="34">
        <f t="shared" ref="O12:P12" si="20">D12/7</f>
        <v>1.2857142857142858</v>
      </c>
      <c r="P12" s="34">
        <f t="shared" si="20"/>
        <v>0.14285714285714285</v>
      </c>
      <c r="Q12" s="29">
        <f t="shared" si="8"/>
        <v>49</v>
      </c>
      <c r="R12" s="29"/>
      <c r="S12" s="35">
        <v>1.05172413793103</v>
      </c>
      <c r="T12" s="28">
        <v>0</v>
      </c>
      <c r="U12" s="36" t="s">
        <v>33</v>
      </c>
      <c r="V12" s="37" t="s">
        <v>33</v>
      </c>
      <c r="W12" s="28">
        <v>0</v>
      </c>
      <c r="X12" s="38">
        <f t="shared" si="9"/>
        <v>0</v>
      </c>
      <c r="Y12" s="39">
        <f t="shared" si="10"/>
        <v>0</v>
      </c>
      <c r="Z12" s="28">
        <v>0</v>
      </c>
      <c r="AA12" s="28" t="s">
        <v>34</v>
      </c>
      <c r="AB12" s="40">
        <f t="shared" si="11"/>
        <v>-0.69</v>
      </c>
      <c r="AC12" s="41">
        <v>7.379028530092592E-2</v>
      </c>
      <c r="AD12" s="39">
        <f t="shared" si="12"/>
        <v>-0.91647534343749992</v>
      </c>
      <c r="AE12" s="39">
        <v>-4.9000000000000004</v>
      </c>
      <c r="AF12" s="39">
        <v>-4.5694358974358904</v>
      </c>
      <c r="AG12" s="39">
        <v>0</v>
      </c>
    </row>
    <row r="13" spans="1:33" ht="15.75" customHeight="1" x14ac:dyDescent="0.2">
      <c r="A13" s="28" t="s">
        <v>50</v>
      </c>
      <c r="B13" s="28" t="s">
        <v>169</v>
      </c>
      <c r="C13" s="15">
        <f t="shared" si="4"/>
        <v>12.269512195121951</v>
      </c>
      <c r="D13" s="29">
        <v>41</v>
      </c>
      <c r="E13" s="29">
        <v>0</v>
      </c>
      <c r="F13" s="32">
        <v>503.05</v>
      </c>
      <c r="G13" s="30">
        <v>-0.31</v>
      </c>
      <c r="H13" s="31">
        <f t="shared" si="1"/>
        <v>6.1624093032501732E-4</v>
      </c>
      <c r="I13" s="31">
        <f t="shared" si="2"/>
        <v>6.5829332387781658E-2</v>
      </c>
      <c r="J13" s="32">
        <f t="shared" si="5"/>
        <v>33.115445657673561</v>
      </c>
      <c r="K13" s="32">
        <f t="shared" si="3"/>
        <v>0.8076937965286235</v>
      </c>
      <c r="L13" s="29">
        <v>7</v>
      </c>
      <c r="M13" s="33">
        <f t="shared" si="6"/>
        <v>5.8571428571428568</v>
      </c>
      <c r="N13" s="29">
        <v>30</v>
      </c>
      <c r="O13" s="34">
        <f t="shared" ref="O13:P13" si="21">D13/7</f>
        <v>5.8571428571428568</v>
      </c>
      <c r="P13" s="34">
        <f t="shared" si="21"/>
        <v>0</v>
      </c>
      <c r="Q13" s="29">
        <f t="shared" si="8"/>
        <v>5</v>
      </c>
      <c r="R13" s="29"/>
      <c r="S13" s="35">
        <v>1.0488888888888801</v>
      </c>
      <c r="T13" s="28">
        <v>0</v>
      </c>
      <c r="U13" s="36" t="s">
        <v>33</v>
      </c>
      <c r="V13" s="37" t="s">
        <v>33</v>
      </c>
      <c r="W13" s="28">
        <v>0</v>
      </c>
      <c r="X13" s="38">
        <f t="shared" si="9"/>
        <v>0</v>
      </c>
      <c r="Y13" s="39">
        <f t="shared" si="10"/>
        <v>0</v>
      </c>
      <c r="Z13" s="28">
        <v>0</v>
      </c>
      <c r="AA13" s="28" t="s">
        <v>34</v>
      </c>
      <c r="AB13" s="40">
        <f t="shared" si="11"/>
        <v>-0.69</v>
      </c>
      <c r="AC13" s="41">
        <v>7.379028530092592E-2</v>
      </c>
      <c r="AD13" s="39">
        <f t="shared" si="12"/>
        <v>-4.1750543423263879</v>
      </c>
      <c r="AE13" s="39">
        <v>-4.9000000000000004</v>
      </c>
      <c r="AF13" s="39">
        <v>-4.6120000000000001</v>
      </c>
      <c r="AG13" s="39">
        <v>0</v>
      </c>
    </row>
    <row r="14" spans="1:33" ht="15.75" customHeight="1" x14ac:dyDescent="0.2">
      <c r="A14" s="28" t="s">
        <v>51</v>
      </c>
      <c r="B14" s="28" t="s">
        <v>170</v>
      </c>
      <c r="C14" s="15">
        <f t="shared" si="4"/>
        <v>13.95</v>
      </c>
      <c r="D14" s="29">
        <v>5</v>
      </c>
      <c r="E14" s="29">
        <v>0</v>
      </c>
      <c r="F14" s="32">
        <v>69.75</v>
      </c>
      <c r="G14" s="30">
        <v>-0.02</v>
      </c>
      <c r="H14" s="31">
        <f t="shared" si="1"/>
        <v>2.8673835125448029E-4</v>
      </c>
      <c r="I14" s="31">
        <f t="shared" si="2"/>
        <v>0.16054977822829544</v>
      </c>
      <c r="J14" s="32">
        <f t="shared" si="5"/>
        <v>11.198347031423607</v>
      </c>
      <c r="K14" s="32">
        <f t="shared" si="3"/>
        <v>2.2396694062847216</v>
      </c>
      <c r="L14" s="29">
        <v>15</v>
      </c>
      <c r="M14" s="33">
        <f t="shared" si="6"/>
        <v>0.33333333333333331</v>
      </c>
      <c r="N14" s="29">
        <v>26</v>
      </c>
      <c r="O14" s="34">
        <f t="shared" ref="O14:P14" si="22">D14/7</f>
        <v>0.7142857142857143</v>
      </c>
      <c r="P14" s="34">
        <f t="shared" si="22"/>
        <v>0</v>
      </c>
      <c r="Q14" s="29">
        <f t="shared" si="8"/>
        <v>36</v>
      </c>
      <c r="R14" s="29"/>
      <c r="S14" s="35">
        <v>2.5034013605442098</v>
      </c>
      <c r="T14" s="28">
        <v>0</v>
      </c>
      <c r="U14" s="36" t="s">
        <v>33</v>
      </c>
      <c r="V14" s="37" t="s">
        <v>33</v>
      </c>
      <c r="W14" s="28">
        <v>0</v>
      </c>
      <c r="X14" s="38">
        <f t="shared" si="9"/>
        <v>0</v>
      </c>
      <c r="Y14" s="39">
        <f t="shared" si="10"/>
        <v>0</v>
      </c>
      <c r="Z14" s="28">
        <v>0</v>
      </c>
      <c r="AA14" s="28" t="s">
        <v>34</v>
      </c>
      <c r="AB14" s="40">
        <f t="shared" si="11"/>
        <v>-0.69</v>
      </c>
      <c r="AC14" s="41">
        <v>7.379028530092592E-2</v>
      </c>
      <c r="AD14" s="39">
        <f t="shared" si="12"/>
        <v>-0.50915296857638881</v>
      </c>
      <c r="AE14" s="39">
        <v>-4.9000000000000004</v>
      </c>
      <c r="AF14" s="39">
        <v>-4.6120000000000001</v>
      </c>
      <c r="AG14" s="39">
        <v>0</v>
      </c>
    </row>
    <row r="15" spans="1:33" ht="15.75" customHeight="1" x14ac:dyDescent="0.2">
      <c r="A15" s="28" t="s">
        <v>53</v>
      </c>
      <c r="B15" s="28" t="s">
        <v>47</v>
      </c>
      <c r="C15" s="15">
        <f t="shared" si="4"/>
        <v>13.95</v>
      </c>
      <c r="D15" s="29">
        <v>5</v>
      </c>
      <c r="E15" s="29">
        <v>0</v>
      </c>
      <c r="F15" s="32">
        <v>69.75</v>
      </c>
      <c r="G15" s="30">
        <v>0</v>
      </c>
      <c r="H15" s="31">
        <f t="shared" si="1"/>
        <v>0</v>
      </c>
      <c r="I15" s="31">
        <f t="shared" si="2"/>
        <v>0.13646375672291919</v>
      </c>
      <c r="J15" s="32">
        <f t="shared" si="5"/>
        <v>9.5183470314236143</v>
      </c>
      <c r="K15" s="32">
        <f t="shared" si="3"/>
        <v>1.9036694062847228</v>
      </c>
      <c r="L15" s="29">
        <v>16</v>
      </c>
      <c r="M15" s="33">
        <f t="shared" si="6"/>
        <v>0.3125</v>
      </c>
      <c r="N15" s="29">
        <v>20</v>
      </c>
      <c r="O15" s="34">
        <f t="shared" ref="O15:P15" si="23">D15/7</f>
        <v>0.7142857142857143</v>
      </c>
      <c r="P15" s="34">
        <f t="shared" si="23"/>
        <v>0</v>
      </c>
      <c r="Q15" s="29">
        <f t="shared" si="8"/>
        <v>28</v>
      </c>
      <c r="R15" s="29"/>
      <c r="S15" s="35">
        <v>2.8529411764705799</v>
      </c>
      <c r="T15" s="28">
        <v>0</v>
      </c>
      <c r="U15" s="36" t="s">
        <v>33</v>
      </c>
      <c r="V15" s="37" t="s">
        <v>33</v>
      </c>
      <c r="W15" s="28">
        <v>0</v>
      </c>
      <c r="X15" s="38">
        <f t="shared" si="9"/>
        <v>0</v>
      </c>
      <c r="Y15" s="39">
        <f t="shared" si="10"/>
        <v>0</v>
      </c>
      <c r="Z15" s="28">
        <v>0</v>
      </c>
      <c r="AA15" s="28" t="s">
        <v>34</v>
      </c>
      <c r="AB15" s="40">
        <f t="shared" si="11"/>
        <v>-0.69</v>
      </c>
      <c r="AC15" s="41">
        <v>7.379028530092592E-2</v>
      </c>
      <c r="AD15" s="39">
        <f t="shared" si="12"/>
        <v>-0.50915296857638881</v>
      </c>
      <c r="AE15" s="39">
        <v>-4.9000000000000004</v>
      </c>
      <c r="AF15" s="39">
        <v>-4.952</v>
      </c>
      <c r="AG15" s="39">
        <v>0</v>
      </c>
    </row>
    <row r="16" spans="1:33" ht="15.75" customHeight="1" x14ac:dyDescent="0.2">
      <c r="A16" s="28" t="s">
        <v>54</v>
      </c>
      <c r="B16" s="28" t="s">
        <v>171</v>
      </c>
      <c r="C16" s="15">
        <f t="shared" si="4"/>
        <v>13.9535</v>
      </c>
      <c r="D16" s="29">
        <v>20</v>
      </c>
      <c r="E16" s="29">
        <v>0</v>
      </c>
      <c r="F16" s="32">
        <v>279.07</v>
      </c>
      <c r="G16" s="30">
        <v>-0.13</v>
      </c>
      <c r="H16" s="31">
        <f t="shared" si="1"/>
        <v>4.658329451392124E-4</v>
      </c>
      <c r="I16" s="31">
        <f t="shared" si="2"/>
        <v>0.13617690230298651</v>
      </c>
      <c r="J16" s="32">
        <f t="shared" si="5"/>
        <v>38.002888125694447</v>
      </c>
      <c r="K16" s="32">
        <f t="shared" si="3"/>
        <v>1.9001444062847224</v>
      </c>
      <c r="L16" s="29">
        <v>16</v>
      </c>
      <c r="M16" s="33">
        <f t="shared" si="6"/>
        <v>1.25</v>
      </c>
      <c r="N16" s="29">
        <v>1</v>
      </c>
      <c r="O16" s="34">
        <f t="shared" ref="O16:P16" si="24">D16/7</f>
        <v>2.8571428571428572</v>
      </c>
      <c r="P16" s="34">
        <f t="shared" si="24"/>
        <v>0</v>
      </c>
      <c r="Q16" s="29">
        <f t="shared" si="8"/>
        <v>0</v>
      </c>
      <c r="R16" s="29"/>
      <c r="S16" s="35" t="e">
        <v>#N/A</v>
      </c>
      <c r="T16" s="28">
        <v>0</v>
      </c>
      <c r="U16" s="36" t="s">
        <v>33</v>
      </c>
      <c r="V16" s="37" t="s">
        <v>33</v>
      </c>
      <c r="W16" s="28">
        <v>0</v>
      </c>
      <c r="X16" s="38">
        <f t="shared" si="9"/>
        <v>0</v>
      </c>
      <c r="Y16" s="39">
        <f t="shared" si="10"/>
        <v>0</v>
      </c>
      <c r="Z16" s="28">
        <v>0</v>
      </c>
      <c r="AA16" s="28" t="s">
        <v>34</v>
      </c>
      <c r="AB16" s="40">
        <f t="shared" si="11"/>
        <v>-0.69</v>
      </c>
      <c r="AC16" s="41">
        <v>7.379028530092592E-2</v>
      </c>
      <c r="AD16" s="39">
        <f t="shared" si="12"/>
        <v>-2.0366118743055552</v>
      </c>
      <c r="AE16" s="39">
        <v>-4.9000000000000004</v>
      </c>
      <c r="AF16" s="39">
        <v>-4.952</v>
      </c>
      <c r="AG16" s="39">
        <v>0</v>
      </c>
    </row>
    <row r="17" spans="1:33" ht="15.75" customHeight="1" x14ac:dyDescent="0.2">
      <c r="A17" s="28" t="s">
        <v>55</v>
      </c>
      <c r="B17" s="28" t="s">
        <v>172</v>
      </c>
      <c r="C17" s="15">
        <f t="shared" si="4"/>
        <v>13.95</v>
      </c>
      <c r="D17" s="29">
        <v>9</v>
      </c>
      <c r="E17" s="29">
        <v>0</v>
      </c>
      <c r="F17" s="32">
        <v>125.55</v>
      </c>
      <c r="G17" s="30">
        <v>-0.2</v>
      </c>
      <c r="H17" s="31">
        <f t="shared" si="1"/>
        <v>1.5929908403026685E-3</v>
      </c>
      <c r="I17" s="31">
        <f t="shared" si="2"/>
        <v>0.13487076588261648</v>
      </c>
      <c r="J17" s="32">
        <f t="shared" si="5"/>
        <v>16.933024656562498</v>
      </c>
      <c r="K17" s="32">
        <f t="shared" si="3"/>
        <v>1.8814471840624998</v>
      </c>
      <c r="L17" s="29">
        <v>10</v>
      </c>
      <c r="M17" s="33">
        <f t="shared" si="6"/>
        <v>0.9</v>
      </c>
      <c r="N17" s="29">
        <v>41</v>
      </c>
      <c r="O17" s="34">
        <f t="shared" ref="O17:P17" si="25">D17/7</f>
        <v>1.2857142857142858</v>
      </c>
      <c r="P17" s="34">
        <f t="shared" si="25"/>
        <v>0</v>
      </c>
      <c r="Q17" s="29">
        <f t="shared" si="8"/>
        <v>31</v>
      </c>
      <c r="R17" s="29"/>
      <c r="S17" s="35">
        <v>1.9327731092436899</v>
      </c>
      <c r="T17" s="28">
        <v>0</v>
      </c>
      <c r="U17" s="36" t="s">
        <v>33</v>
      </c>
      <c r="V17" s="37" t="s">
        <v>33</v>
      </c>
      <c r="W17" s="28">
        <v>0</v>
      </c>
      <c r="X17" s="38">
        <f t="shared" si="9"/>
        <v>0</v>
      </c>
      <c r="Y17" s="39">
        <f t="shared" si="10"/>
        <v>0</v>
      </c>
      <c r="Z17" s="28">
        <v>0</v>
      </c>
      <c r="AA17" s="28" t="s">
        <v>34</v>
      </c>
      <c r="AB17" s="40">
        <f t="shared" si="11"/>
        <v>-0.69</v>
      </c>
      <c r="AC17" s="41">
        <v>7.379028530092592E-2</v>
      </c>
      <c r="AD17" s="39">
        <f t="shared" si="12"/>
        <v>-0.91647534343749992</v>
      </c>
      <c r="AE17" s="39">
        <v>-4.9000000000000004</v>
      </c>
      <c r="AF17" s="39">
        <v>-4.952</v>
      </c>
      <c r="AG17" s="39">
        <v>0</v>
      </c>
    </row>
    <row r="18" spans="1:33" ht="15.75" customHeight="1" x14ac:dyDescent="0.2">
      <c r="A18" s="28" t="s">
        <v>56</v>
      </c>
      <c r="B18" s="28" t="s">
        <v>173</v>
      </c>
      <c r="C18" s="15">
        <f t="shared" si="4"/>
        <v>14.886363636363637</v>
      </c>
      <c r="D18" s="29">
        <v>22</v>
      </c>
      <c r="E18" s="29">
        <v>0</v>
      </c>
      <c r="F18" s="32">
        <v>327.5</v>
      </c>
      <c r="G18" s="30">
        <v>-0.03</v>
      </c>
      <c r="H18" s="31">
        <f t="shared" si="1"/>
        <v>9.1603053435114498E-5</v>
      </c>
      <c r="I18" s="31">
        <f t="shared" si="2"/>
        <v>0.1812541280557676</v>
      </c>
      <c r="J18" s="32">
        <f t="shared" si="5"/>
        <v>59.360726938263888</v>
      </c>
      <c r="K18" s="32">
        <f t="shared" si="3"/>
        <v>2.6982148608301766</v>
      </c>
      <c r="L18" s="29">
        <v>12</v>
      </c>
      <c r="M18" s="33">
        <f t="shared" si="6"/>
        <v>1.8333333333333333</v>
      </c>
      <c r="N18" s="29">
        <v>21</v>
      </c>
      <c r="O18" s="34">
        <f t="shared" ref="O18:P18" si="26">D18/7</f>
        <v>3.1428571428571428</v>
      </c>
      <c r="P18" s="34">
        <f t="shared" si="26"/>
        <v>0</v>
      </c>
      <c r="Q18" s="29">
        <f t="shared" si="8"/>
        <v>6</v>
      </c>
      <c r="R18" s="29"/>
      <c r="S18" s="35">
        <v>3.1411042944785201</v>
      </c>
      <c r="T18" s="28">
        <v>0</v>
      </c>
      <c r="U18" s="36">
        <v>0</v>
      </c>
      <c r="V18" s="37" t="s">
        <v>33</v>
      </c>
      <c r="W18" s="28">
        <v>0</v>
      </c>
      <c r="X18" s="38">
        <f t="shared" si="9"/>
        <v>0</v>
      </c>
      <c r="Y18" s="39">
        <f t="shared" si="10"/>
        <v>0</v>
      </c>
      <c r="Z18" s="28">
        <v>0</v>
      </c>
      <c r="AA18" s="28" t="s">
        <v>34</v>
      </c>
      <c r="AB18" s="40">
        <f t="shared" si="11"/>
        <v>-0.69</v>
      </c>
      <c r="AC18" s="41">
        <v>7.379028530092592E-2</v>
      </c>
      <c r="AD18" s="39">
        <f t="shared" si="12"/>
        <v>-2.2402730617361106</v>
      </c>
      <c r="AE18" s="39">
        <v>-4.9000000000000004</v>
      </c>
      <c r="AF18" s="39">
        <v>-4.952</v>
      </c>
      <c r="AG18" s="39">
        <v>0</v>
      </c>
    </row>
    <row r="19" spans="1:33" ht="15.75" customHeight="1" x14ac:dyDescent="0.2">
      <c r="A19" s="28" t="s">
        <v>57</v>
      </c>
      <c r="B19" s="28" t="s">
        <v>47</v>
      </c>
      <c r="C19" s="15">
        <f t="shared" si="4"/>
        <v>17.598181818181818</v>
      </c>
      <c r="D19" s="29">
        <v>11</v>
      </c>
      <c r="E19" s="29">
        <v>0</v>
      </c>
      <c r="F19" s="32">
        <v>193.58</v>
      </c>
      <c r="G19" s="30">
        <v>0</v>
      </c>
      <c r="H19" s="31">
        <f t="shared" si="1"/>
        <v>0</v>
      </c>
      <c r="I19" s="31">
        <f t="shared" si="2"/>
        <v>0.27125665600336779</v>
      </c>
      <c r="J19" s="32">
        <f t="shared" si="5"/>
        <v>52.509863469131943</v>
      </c>
      <c r="K19" s="32">
        <f t="shared" si="3"/>
        <v>4.7736239517392676</v>
      </c>
      <c r="L19" s="29">
        <v>12</v>
      </c>
      <c r="M19" s="33">
        <f t="shared" si="6"/>
        <v>0.91666666666666663</v>
      </c>
      <c r="N19" s="29">
        <v>27</v>
      </c>
      <c r="O19" s="34">
        <f t="shared" ref="O19:P19" si="27">D19/7</f>
        <v>1.5714285714285714</v>
      </c>
      <c r="P19" s="34">
        <f t="shared" si="27"/>
        <v>0</v>
      </c>
      <c r="Q19" s="29">
        <f t="shared" si="8"/>
        <v>17</v>
      </c>
      <c r="R19" s="29"/>
      <c r="S19" s="35">
        <v>4.2074074074074002</v>
      </c>
      <c r="T19" s="28">
        <v>0</v>
      </c>
      <c r="U19" s="36" t="s">
        <v>33</v>
      </c>
      <c r="V19" s="37" t="s">
        <v>33</v>
      </c>
      <c r="W19" s="28">
        <v>0</v>
      </c>
      <c r="X19" s="38">
        <f t="shared" si="9"/>
        <v>0</v>
      </c>
      <c r="Y19" s="39">
        <f t="shared" si="10"/>
        <v>0</v>
      </c>
      <c r="Z19" s="28">
        <v>0</v>
      </c>
      <c r="AA19" s="28" t="s">
        <v>34</v>
      </c>
      <c r="AB19" s="40">
        <f t="shared" si="11"/>
        <v>-0.69</v>
      </c>
      <c r="AC19" s="41">
        <v>7.379028530092592E-2</v>
      </c>
      <c r="AD19" s="39">
        <f t="shared" si="12"/>
        <v>-1.1201365308680553</v>
      </c>
      <c r="AE19" s="39">
        <v>-4.9000000000000004</v>
      </c>
      <c r="AF19" s="39">
        <v>-5.1829999999999998</v>
      </c>
      <c r="AG19" s="39">
        <v>0</v>
      </c>
    </row>
    <row r="20" spans="1:33" ht="15.75" customHeight="1" x14ac:dyDescent="0.2">
      <c r="A20" s="28" t="s">
        <v>58</v>
      </c>
      <c r="B20" s="28" t="s">
        <v>174</v>
      </c>
      <c r="C20" s="15">
        <f t="shared" si="4"/>
        <v>15.95</v>
      </c>
      <c r="D20" s="29">
        <v>1</v>
      </c>
      <c r="E20" s="29">
        <v>0</v>
      </c>
      <c r="F20" s="32">
        <v>15.95</v>
      </c>
      <c r="G20" s="30">
        <v>-0.08</v>
      </c>
      <c r="H20" s="31">
        <f t="shared" si="1"/>
        <v>5.0156739811912229E-3</v>
      </c>
      <c r="I20" s="31">
        <f t="shared" si="2"/>
        <v>0.20643695337208284</v>
      </c>
      <c r="J20" s="32">
        <f t="shared" si="5"/>
        <v>3.292669406284721</v>
      </c>
      <c r="K20" s="32">
        <f t="shared" si="3"/>
        <v>3.292669406284721</v>
      </c>
      <c r="L20" s="29">
        <v>7</v>
      </c>
      <c r="M20" s="33">
        <f t="shared" si="6"/>
        <v>0.14285714285714285</v>
      </c>
      <c r="N20" s="29">
        <v>18</v>
      </c>
      <c r="O20" s="34">
        <f t="shared" ref="O20:P20" si="28">D20/7</f>
        <v>0.14285714285714285</v>
      </c>
      <c r="P20" s="34">
        <f t="shared" si="28"/>
        <v>0</v>
      </c>
      <c r="Q20" s="29">
        <f t="shared" si="8"/>
        <v>126</v>
      </c>
      <c r="R20" s="29"/>
      <c r="S20" s="35">
        <v>2.5800865800865802</v>
      </c>
      <c r="T20" s="28">
        <v>0</v>
      </c>
      <c r="U20" s="36" t="s">
        <v>33</v>
      </c>
      <c r="V20" s="37" t="s">
        <v>33</v>
      </c>
      <c r="W20" s="28">
        <v>0</v>
      </c>
      <c r="X20" s="38">
        <f t="shared" si="9"/>
        <v>0</v>
      </c>
      <c r="Y20" s="39">
        <f t="shared" si="10"/>
        <v>0</v>
      </c>
      <c r="Z20" s="28">
        <v>0</v>
      </c>
      <c r="AA20" s="28" t="s">
        <v>34</v>
      </c>
      <c r="AB20" s="40">
        <f t="shared" si="11"/>
        <v>-0.69</v>
      </c>
      <c r="AC20" s="41">
        <v>7.379028530092592E-2</v>
      </c>
      <c r="AD20" s="39">
        <f t="shared" si="12"/>
        <v>-0.10183059371527776</v>
      </c>
      <c r="AE20" s="39">
        <v>-4.9000000000000004</v>
      </c>
      <c r="AF20" s="39">
        <v>-5.1829999999999998</v>
      </c>
      <c r="AG20" s="39">
        <v>0</v>
      </c>
    </row>
    <row r="21" spans="1:33" ht="15.75" customHeight="1" x14ac:dyDescent="0.2">
      <c r="A21" s="28" t="s">
        <v>59</v>
      </c>
      <c r="B21" s="28" t="s">
        <v>175</v>
      </c>
      <c r="C21" s="15">
        <f t="shared" si="4"/>
        <v>15.950000000000001</v>
      </c>
      <c r="D21" s="29">
        <v>12</v>
      </c>
      <c r="E21" s="29">
        <v>0</v>
      </c>
      <c r="F21" s="32">
        <v>191.4</v>
      </c>
      <c r="G21" s="30">
        <v>-0.24</v>
      </c>
      <c r="H21" s="31">
        <f t="shared" si="1"/>
        <v>1.2539184952978055E-3</v>
      </c>
      <c r="I21" s="31">
        <f t="shared" si="2"/>
        <v>0.21019870885797623</v>
      </c>
      <c r="J21" s="32">
        <f t="shared" si="5"/>
        <v>40.23203287541665</v>
      </c>
      <c r="K21" s="32">
        <f t="shared" si="3"/>
        <v>3.3526694062847207</v>
      </c>
      <c r="L21" s="29">
        <v>2</v>
      </c>
      <c r="M21" s="33">
        <f t="shared" si="6"/>
        <v>6</v>
      </c>
      <c r="N21" s="29">
        <v>96</v>
      </c>
      <c r="O21" s="34">
        <f t="shared" ref="O21:P21" si="29">D21/7</f>
        <v>1.7142857142857142</v>
      </c>
      <c r="P21" s="34">
        <f t="shared" si="29"/>
        <v>0</v>
      </c>
      <c r="Q21" s="29">
        <f t="shared" si="8"/>
        <v>56</v>
      </c>
      <c r="R21" s="29"/>
      <c r="S21" s="35">
        <v>1.9214501510574</v>
      </c>
      <c r="T21" s="28">
        <v>0</v>
      </c>
      <c r="U21" s="36" t="s">
        <v>33</v>
      </c>
      <c r="V21" s="37" t="s">
        <v>33</v>
      </c>
      <c r="W21" s="28">
        <v>0</v>
      </c>
      <c r="X21" s="38">
        <f t="shared" si="9"/>
        <v>0</v>
      </c>
      <c r="Y21" s="39">
        <f t="shared" si="10"/>
        <v>0</v>
      </c>
      <c r="Z21" s="28">
        <v>0</v>
      </c>
      <c r="AA21" s="28" t="s">
        <v>34</v>
      </c>
      <c r="AB21" s="40">
        <f t="shared" si="11"/>
        <v>-0.69</v>
      </c>
      <c r="AC21" s="41">
        <v>7.379028530092592E-2</v>
      </c>
      <c r="AD21" s="39">
        <f t="shared" si="12"/>
        <v>-1.2219671245833332</v>
      </c>
      <c r="AE21" s="39">
        <v>-4.9000000000000004</v>
      </c>
      <c r="AF21" s="39">
        <v>-5.1829999999999998</v>
      </c>
      <c r="AG21" s="39">
        <v>0</v>
      </c>
    </row>
    <row r="22" spans="1:33" ht="15.75" customHeight="1" x14ac:dyDescent="0.2">
      <c r="A22" s="28" t="s">
        <v>60</v>
      </c>
      <c r="B22" s="28" t="s">
        <v>176</v>
      </c>
      <c r="C22" s="15">
        <f t="shared" si="4"/>
        <v>16.59</v>
      </c>
      <c r="D22" s="29">
        <v>1</v>
      </c>
      <c r="E22" s="29">
        <v>0</v>
      </c>
      <c r="F22" s="30">
        <v>16.59</v>
      </c>
      <c r="G22" s="30">
        <v>0</v>
      </c>
      <c r="H22" s="31">
        <f t="shared" si="1"/>
        <v>0</v>
      </c>
      <c r="I22" s="31">
        <f t="shared" si="2"/>
        <v>0.23608616071637864</v>
      </c>
      <c r="J22" s="32">
        <f t="shared" si="5"/>
        <v>3.9166694062847216</v>
      </c>
      <c r="K22" s="32">
        <f t="shared" si="3"/>
        <v>3.9166694062847216</v>
      </c>
      <c r="L22" s="29">
        <v>7</v>
      </c>
      <c r="M22" s="33">
        <f t="shared" si="6"/>
        <v>0.14285714285714285</v>
      </c>
      <c r="N22" s="29">
        <v>96</v>
      </c>
      <c r="O22" s="34">
        <f t="shared" ref="O22:P22" si="30">D22/7</f>
        <v>0.14285714285714285</v>
      </c>
      <c r="P22" s="34">
        <f t="shared" si="30"/>
        <v>0</v>
      </c>
      <c r="Q22" s="29">
        <f t="shared" si="8"/>
        <v>672</v>
      </c>
      <c r="R22" s="29"/>
      <c r="S22" s="35">
        <v>2.2537313432835799</v>
      </c>
      <c r="T22" s="28">
        <v>400</v>
      </c>
      <c r="U22" s="36" t="s">
        <v>33</v>
      </c>
      <c r="V22" s="37" t="s">
        <v>33</v>
      </c>
      <c r="W22" s="28">
        <v>0</v>
      </c>
      <c r="X22" s="38">
        <f t="shared" si="9"/>
        <v>0</v>
      </c>
      <c r="Y22" s="39">
        <f t="shared" si="10"/>
        <v>0</v>
      </c>
      <c r="Z22" s="28">
        <v>0</v>
      </c>
      <c r="AA22" s="28" t="s">
        <v>34</v>
      </c>
      <c r="AB22" s="40">
        <f t="shared" si="11"/>
        <v>-0.69</v>
      </c>
      <c r="AC22" s="41">
        <v>7.379028530092592E-2</v>
      </c>
      <c r="AD22" s="39">
        <f t="shared" si="12"/>
        <v>-0.10183059371527776</v>
      </c>
      <c r="AE22" s="39">
        <v>-4.9000000000000004</v>
      </c>
      <c r="AF22" s="39">
        <v>-5.1829999999999998</v>
      </c>
      <c r="AG22" s="39">
        <v>0</v>
      </c>
    </row>
    <row r="23" spans="1:33" ht="15.75" customHeight="1" x14ac:dyDescent="0.2">
      <c r="A23" s="28" t="s">
        <v>62</v>
      </c>
      <c r="B23" s="28" t="s">
        <v>47</v>
      </c>
      <c r="C23" s="15">
        <f t="shared" si="4"/>
        <v>16.89</v>
      </c>
      <c r="D23" s="29">
        <v>6</v>
      </c>
      <c r="E23" s="29">
        <v>0</v>
      </c>
      <c r="F23" s="32">
        <v>101.34</v>
      </c>
      <c r="G23" s="30">
        <v>-0.08</v>
      </c>
      <c r="H23" s="31">
        <f t="shared" si="1"/>
        <v>7.8942174856917312E-4</v>
      </c>
      <c r="I23" s="31">
        <f t="shared" si="2"/>
        <v>0.24620107003856648</v>
      </c>
      <c r="J23" s="32">
        <f t="shared" si="5"/>
        <v>24.950016437708328</v>
      </c>
      <c r="K23" s="32">
        <f t="shared" si="3"/>
        <v>4.1583360729513883</v>
      </c>
      <c r="L23" s="29">
        <v>12</v>
      </c>
      <c r="M23" s="33">
        <f t="shared" si="6"/>
        <v>0.5</v>
      </c>
      <c r="N23" s="29">
        <v>76</v>
      </c>
      <c r="O23" s="34">
        <f t="shared" ref="O23:P23" si="31">D23/7</f>
        <v>0.8571428571428571</v>
      </c>
      <c r="P23" s="34">
        <f t="shared" si="31"/>
        <v>0</v>
      </c>
      <c r="Q23" s="29">
        <f t="shared" si="8"/>
        <v>88</v>
      </c>
      <c r="R23" s="29"/>
      <c r="S23" s="35">
        <v>2.4793388429752001</v>
      </c>
      <c r="T23" s="28">
        <v>400</v>
      </c>
      <c r="U23" s="36" t="s">
        <v>33</v>
      </c>
      <c r="V23" s="37" t="s">
        <v>33</v>
      </c>
      <c r="W23" s="28">
        <v>0</v>
      </c>
      <c r="X23" s="38">
        <f t="shared" si="9"/>
        <v>0</v>
      </c>
      <c r="Y23" s="39">
        <f t="shared" si="10"/>
        <v>0</v>
      </c>
      <c r="Z23" s="28">
        <v>0</v>
      </c>
      <c r="AA23" s="28" t="s">
        <v>34</v>
      </c>
      <c r="AB23" s="40">
        <f t="shared" si="11"/>
        <v>-0.69</v>
      </c>
      <c r="AC23" s="41">
        <v>7.379028530092592E-2</v>
      </c>
      <c r="AD23" s="39">
        <f t="shared" si="12"/>
        <v>-0.61098356229166662</v>
      </c>
      <c r="AE23" s="39">
        <v>-4.9000000000000004</v>
      </c>
      <c r="AF23" s="39">
        <v>-5.1829999999999998</v>
      </c>
      <c r="AG23" s="39">
        <v>0</v>
      </c>
    </row>
    <row r="24" spans="1:33" ht="15.75" customHeight="1" x14ac:dyDescent="0.2">
      <c r="A24" s="28" t="s">
        <v>64</v>
      </c>
      <c r="B24" s="28" t="s">
        <v>177</v>
      </c>
      <c r="C24" s="15">
        <f t="shared" si="4"/>
        <v>16.95</v>
      </c>
      <c r="D24" s="29">
        <v>1</v>
      </c>
      <c r="E24" s="29">
        <v>0</v>
      </c>
      <c r="F24" s="32">
        <v>16.95</v>
      </c>
      <c r="G24" s="32">
        <v>-0.16</v>
      </c>
      <c r="H24" s="31">
        <f t="shared" si="1"/>
        <v>9.4395280235988199E-3</v>
      </c>
      <c r="I24" s="31">
        <f t="shared" si="2"/>
        <v>0.23968551069526378</v>
      </c>
      <c r="J24" s="32">
        <f t="shared" si="5"/>
        <v>4.0626694062847211</v>
      </c>
      <c r="K24" s="32">
        <f t="shared" si="3"/>
        <v>4.0626694062847211</v>
      </c>
      <c r="L24" s="29">
        <v>8</v>
      </c>
      <c r="M24" s="33">
        <f t="shared" si="6"/>
        <v>0.125</v>
      </c>
      <c r="N24" s="29">
        <v>83</v>
      </c>
      <c r="O24" s="34">
        <f t="shared" ref="O24:P24" si="32">D24/7</f>
        <v>0.14285714285714285</v>
      </c>
      <c r="P24" s="34">
        <f t="shared" si="32"/>
        <v>0</v>
      </c>
      <c r="Q24" s="29">
        <f t="shared" si="8"/>
        <v>581</v>
      </c>
      <c r="R24" s="29"/>
      <c r="S24" s="35">
        <v>2.7397260273972601</v>
      </c>
      <c r="T24" s="28">
        <v>400</v>
      </c>
      <c r="U24" s="36" t="s">
        <v>33</v>
      </c>
      <c r="V24" s="37" t="s">
        <v>33</v>
      </c>
      <c r="W24" s="28">
        <v>0</v>
      </c>
      <c r="X24" s="38">
        <f t="shared" si="9"/>
        <v>0</v>
      </c>
      <c r="Y24" s="39">
        <f t="shared" si="10"/>
        <v>0</v>
      </c>
      <c r="Z24" s="28">
        <v>0</v>
      </c>
      <c r="AA24" s="28" t="s">
        <v>34</v>
      </c>
      <c r="AB24" s="40">
        <f t="shared" si="11"/>
        <v>-0.69</v>
      </c>
      <c r="AC24" s="41">
        <v>7.379028530092592E-2</v>
      </c>
      <c r="AD24" s="39">
        <f t="shared" si="12"/>
        <v>-0.10183059371527776</v>
      </c>
      <c r="AE24" s="39">
        <v>-4.9000000000000004</v>
      </c>
      <c r="AF24" s="39">
        <v>-5.1829999999999998</v>
      </c>
      <c r="AG24" s="39">
        <v>0</v>
      </c>
    </row>
    <row r="25" spans="1:33" ht="15.75" customHeight="1" x14ac:dyDescent="0.2">
      <c r="A25" s="28" t="s">
        <v>65</v>
      </c>
      <c r="B25" s="14" t="s">
        <v>178</v>
      </c>
      <c r="C25" s="15">
        <f t="shared" si="4"/>
        <v>16.128333333333334</v>
      </c>
      <c r="D25" s="29">
        <v>6</v>
      </c>
      <c r="E25" s="29">
        <v>0</v>
      </c>
      <c r="F25" s="32">
        <v>96.77</v>
      </c>
      <c r="G25" s="32">
        <v>0</v>
      </c>
      <c r="H25" s="31">
        <f t="shared" si="1"/>
        <v>0</v>
      </c>
      <c r="I25" s="31">
        <f t="shared" si="2"/>
        <v>0.21869914681934821</v>
      </c>
      <c r="J25" s="32">
        <f t="shared" si="5"/>
        <v>21.163516437708324</v>
      </c>
      <c r="K25" s="32">
        <f t="shared" si="3"/>
        <v>3.5272527396180542</v>
      </c>
      <c r="L25" s="29">
        <v>19</v>
      </c>
      <c r="M25" s="33">
        <f t="shared" si="6"/>
        <v>0.31578947368421051</v>
      </c>
      <c r="N25" s="29">
        <v>77</v>
      </c>
      <c r="O25" s="34">
        <f t="shared" ref="O25:P25" si="33">D25/7</f>
        <v>0.8571428571428571</v>
      </c>
      <c r="P25" s="34">
        <f t="shared" si="33"/>
        <v>0</v>
      </c>
      <c r="Q25" s="29">
        <f t="shared" si="8"/>
        <v>89</v>
      </c>
      <c r="R25" s="29"/>
      <c r="S25" s="35">
        <v>2.044776119402985</v>
      </c>
      <c r="T25" s="28">
        <v>400</v>
      </c>
      <c r="U25" s="36" t="s">
        <v>33</v>
      </c>
      <c r="V25" s="37" t="s">
        <v>33</v>
      </c>
      <c r="W25" s="14">
        <v>0</v>
      </c>
      <c r="X25" s="38">
        <f t="shared" si="9"/>
        <v>0</v>
      </c>
      <c r="Y25" s="39">
        <f t="shared" si="10"/>
        <v>0</v>
      </c>
      <c r="Z25" s="14">
        <v>0</v>
      </c>
      <c r="AA25" s="28" t="s">
        <v>34</v>
      </c>
      <c r="AB25" s="40">
        <f t="shared" si="11"/>
        <v>-0.69</v>
      </c>
      <c r="AC25" s="41">
        <v>7.379028530092592E-2</v>
      </c>
      <c r="AD25" s="39">
        <f t="shared" si="12"/>
        <v>-0.61098356229166662</v>
      </c>
      <c r="AE25" s="39">
        <v>-4.9000000000000004</v>
      </c>
      <c r="AF25" s="39">
        <v>-5.18</v>
      </c>
      <c r="AG25" s="39">
        <v>0</v>
      </c>
    </row>
    <row r="26" spans="1:33" ht="15.75" customHeight="1" x14ac:dyDescent="0.2">
      <c r="A26" s="14" t="s">
        <v>67</v>
      </c>
      <c r="B26" s="14" t="s">
        <v>178</v>
      </c>
      <c r="C26" s="15">
        <f t="shared" si="4"/>
        <v>16.091249999999999</v>
      </c>
      <c r="D26" s="16">
        <v>8</v>
      </c>
      <c r="E26" s="16">
        <v>0</v>
      </c>
      <c r="F26" s="17">
        <v>128.72999999999999</v>
      </c>
      <c r="G26" s="17">
        <v>-0.04</v>
      </c>
      <c r="H26" s="31">
        <f t="shared" si="1"/>
        <v>3.1072788005903835E-4</v>
      </c>
      <c r="I26" s="31">
        <f t="shared" si="2"/>
        <v>0.21260821292843751</v>
      </c>
      <c r="J26" s="32">
        <f t="shared" si="5"/>
        <v>27.369055250277757</v>
      </c>
      <c r="K26" s="32">
        <f t="shared" si="3"/>
        <v>3.4211319062847196</v>
      </c>
      <c r="L26" s="16">
        <v>14</v>
      </c>
      <c r="M26" s="33">
        <f t="shared" si="6"/>
        <v>0.5714285714285714</v>
      </c>
      <c r="N26" s="16">
        <v>75</v>
      </c>
      <c r="O26" s="34">
        <f t="shared" ref="O26:P26" si="34">D26/7</f>
        <v>1.1428571428571428</v>
      </c>
      <c r="P26" s="34">
        <f t="shared" si="34"/>
        <v>0</v>
      </c>
      <c r="Q26" s="29">
        <f t="shared" si="8"/>
        <v>65</v>
      </c>
      <c r="R26" s="29"/>
      <c r="S26" s="21">
        <v>1.584615384615385</v>
      </c>
      <c r="T26" s="28">
        <v>400</v>
      </c>
      <c r="U26" s="36" t="s">
        <v>33</v>
      </c>
      <c r="V26" s="37" t="s">
        <v>33</v>
      </c>
      <c r="W26" s="14">
        <v>0</v>
      </c>
      <c r="X26" s="38">
        <f t="shared" si="9"/>
        <v>0</v>
      </c>
      <c r="Y26" s="39">
        <f t="shared" si="10"/>
        <v>0</v>
      </c>
      <c r="Z26" s="14">
        <v>0</v>
      </c>
      <c r="AA26" s="28" t="s">
        <v>34</v>
      </c>
      <c r="AB26" s="40">
        <f t="shared" si="11"/>
        <v>-0.69</v>
      </c>
      <c r="AC26" s="41">
        <v>7.379028530092592E-2</v>
      </c>
      <c r="AD26" s="39">
        <f t="shared" si="12"/>
        <v>-0.81464474972222212</v>
      </c>
      <c r="AE26" s="25">
        <v>-4.95</v>
      </c>
      <c r="AF26" s="25">
        <v>-5.1996000000000002</v>
      </c>
      <c r="AG26" s="25">
        <v>0</v>
      </c>
    </row>
    <row r="27" spans="1:33" ht="15.75" customHeight="1" x14ac:dyDescent="0.2">
      <c r="A27" s="14" t="s">
        <v>69</v>
      </c>
      <c r="B27" s="14" t="s">
        <v>178</v>
      </c>
      <c r="C27" s="15">
        <f t="shared" si="4"/>
        <v>16.018571428571427</v>
      </c>
      <c r="D27" s="16">
        <v>7</v>
      </c>
      <c r="E27" s="16">
        <v>0</v>
      </c>
      <c r="F27" s="17">
        <v>112.13</v>
      </c>
      <c r="G27" s="17">
        <v>0</v>
      </c>
      <c r="H27" s="31">
        <f t="shared" si="1"/>
        <v>0</v>
      </c>
      <c r="I27" s="31">
        <f t="shared" si="2"/>
        <v>0.21002841205737136</v>
      </c>
      <c r="J27" s="32">
        <f t="shared" si="5"/>
        <v>23.550485843993048</v>
      </c>
      <c r="K27" s="32">
        <f t="shared" si="3"/>
        <v>3.3643551205704356</v>
      </c>
      <c r="L27" s="16">
        <v>13</v>
      </c>
      <c r="M27" s="33">
        <f t="shared" si="6"/>
        <v>0.53846153846153844</v>
      </c>
      <c r="N27" s="16">
        <v>67</v>
      </c>
      <c r="O27" s="34">
        <f t="shared" ref="O27:P27" si="35">D27/7</f>
        <v>1</v>
      </c>
      <c r="P27" s="34">
        <f t="shared" si="35"/>
        <v>0</v>
      </c>
      <c r="Q27" s="29">
        <f t="shared" si="8"/>
        <v>67</v>
      </c>
      <c r="R27" s="29"/>
      <c r="S27" s="21">
        <v>1.92</v>
      </c>
      <c r="T27" s="28">
        <v>400</v>
      </c>
      <c r="U27" s="36" t="s">
        <v>33</v>
      </c>
      <c r="V27" s="37" t="s">
        <v>33</v>
      </c>
      <c r="W27" s="14">
        <v>0</v>
      </c>
      <c r="X27" s="38">
        <f t="shared" si="9"/>
        <v>0</v>
      </c>
      <c r="Y27" s="39">
        <f t="shared" si="10"/>
        <v>0</v>
      </c>
      <c r="Z27" s="14">
        <v>0</v>
      </c>
      <c r="AA27" s="28" t="s">
        <v>34</v>
      </c>
      <c r="AB27" s="40">
        <f t="shared" si="11"/>
        <v>-0.69</v>
      </c>
      <c r="AC27" s="41">
        <v>7.379028530092592E-2</v>
      </c>
      <c r="AD27" s="39">
        <f t="shared" si="12"/>
        <v>-0.71281415600694431</v>
      </c>
      <c r="AE27" s="25">
        <v>-4.95</v>
      </c>
      <c r="AF27" s="25">
        <v>-5.1996000000000002</v>
      </c>
      <c r="AG27" s="25">
        <v>0</v>
      </c>
    </row>
    <row r="28" spans="1:33" ht="15.75" customHeight="1" x14ac:dyDescent="0.2">
      <c r="A28" s="14" t="s">
        <v>71</v>
      </c>
      <c r="B28" s="14" t="s">
        <v>47</v>
      </c>
      <c r="C28" s="15">
        <f t="shared" si="4"/>
        <v>16.18</v>
      </c>
      <c r="D28" s="16">
        <v>9</v>
      </c>
      <c r="E28" s="16">
        <v>0</v>
      </c>
      <c r="F28" s="17">
        <v>145.62</v>
      </c>
      <c r="G28" s="17">
        <v>0</v>
      </c>
      <c r="H28" s="31">
        <f t="shared" si="1"/>
        <v>0</v>
      </c>
      <c r="I28" s="31">
        <f t="shared" si="2"/>
        <v>0.21641343672958721</v>
      </c>
      <c r="J28" s="32">
        <f t="shared" si="5"/>
        <v>31.51412465656249</v>
      </c>
      <c r="K28" s="32">
        <f t="shared" si="3"/>
        <v>3.5015694062847214</v>
      </c>
      <c r="L28" s="16">
        <v>15</v>
      </c>
      <c r="M28" s="33">
        <f t="shared" si="6"/>
        <v>0.6</v>
      </c>
      <c r="N28" s="16">
        <v>59</v>
      </c>
      <c r="O28" s="34">
        <f t="shared" ref="O28:P28" si="36">D28/7</f>
        <v>1.2857142857142858</v>
      </c>
      <c r="P28" s="34">
        <f t="shared" si="36"/>
        <v>0</v>
      </c>
      <c r="Q28" s="29">
        <f t="shared" si="8"/>
        <v>45</v>
      </c>
      <c r="R28" s="29"/>
      <c r="S28" s="21">
        <v>2.2110552763819089</v>
      </c>
      <c r="T28" s="28">
        <v>400</v>
      </c>
      <c r="U28" s="36" t="s">
        <v>33</v>
      </c>
      <c r="V28" s="37" t="s">
        <v>33</v>
      </c>
      <c r="W28" s="14">
        <v>0</v>
      </c>
      <c r="X28" s="38">
        <f t="shared" si="9"/>
        <v>0</v>
      </c>
      <c r="Y28" s="39">
        <f t="shared" si="10"/>
        <v>0</v>
      </c>
      <c r="Z28" s="14">
        <v>0</v>
      </c>
      <c r="AA28" s="28" t="s">
        <v>34</v>
      </c>
      <c r="AB28" s="40">
        <f t="shared" si="11"/>
        <v>-0.69</v>
      </c>
      <c r="AC28" s="41">
        <v>7.379028530092592E-2</v>
      </c>
      <c r="AD28" s="39">
        <f t="shared" si="12"/>
        <v>-0.91647534343749992</v>
      </c>
      <c r="AE28" s="25">
        <v>-4.95</v>
      </c>
      <c r="AF28" s="25">
        <v>-5.1996000000000002</v>
      </c>
      <c r="AG28" s="25">
        <v>0</v>
      </c>
    </row>
    <row r="29" spans="1:33" ht="15.75" customHeight="1" x14ac:dyDescent="0.2">
      <c r="A29" s="28" t="s">
        <v>72</v>
      </c>
      <c r="B29" s="28" t="s">
        <v>150</v>
      </c>
      <c r="C29" s="15">
        <f t="shared" si="4"/>
        <v>16.148823529411768</v>
      </c>
      <c r="D29" s="29">
        <v>34</v>
      </c>
      <c r="E29" s="29">
        <v>0</v>
      </c>
      <c r="F29" s="32">
        <v>549.06000000000006</v>
      </c>
      <c r="G29" s="32">
        <v>-0.08</v>
      </c>
      <c r="H29" s="31">
        <f t="shared" si="1"/>
        <v>1.4570356609478017E-4</v>
      </c>
      <c r="I29" s="31">
        <f t="shared" si="2"/>
        <v>0.21504454852599086</v>
      </c>
      <c r="J29" s="32">
        <f t="shared" si="5"/>
        <v>118.07235981368056</v>
      </c>
      <c r="K29" s="32">
        <f t="shared" si="3"/>
        <v>3.472716465108252</v>
      </c>
      <c r="L29" s="29">
        <v>32</v>
      </c>
      <c r="M29" s="33">
        <f t="shared" si="6"/>
        <v>1.0625</v>
      </c>
      <c r="N29" s="16">
        <v>26</v>
      </c>
      <c r="O29" s="34">
        <f t="shared" ref="O29:P29" si="37">D29/7</f>
        <v>4.8571428571428568</v>
      </c>
      <c r="P29" s="34">
        <f t="shared" si="37"/>
        <v>0</v>
      </c>
      <c r="Q29" s="29">
        <f t="shared" si="8"/>
        <v>5</v>
      </c>
      <c r="R29" s="29"/>
      <c r="S29" s="21">
        <v>2.0499999999999998</v>
      </c>
      <c r="T29" s="28">
        <v>400</v>
      </c>
      <c r="U29" s="36" t="s">
        <v>33</v>
      </c>
      <c r="V29" s="37" t="s">
        <v>33</v>
      </c>
      <c r="W29" s="14">
        <v>0</v>
      </c>
      <c r="X29" s="38">
        <f t="shared" si="9"/>
        <v>0</v>
      </c>
      <c r="Y29" s="39">
        <f t="shared" si="10"/>
        <v>0</v>
      </c>
      <c r="Z29" s="14">
        <v>0</v>
      </c>
      <c r="AA29" s="28" t="s">
        <v>34</v>
      </c>
      <c r="AB29" s="40">
        <f t="shared" si="11"/>
        <v>-0.69</v>
      </c>
      <c r="AC29" s="41">
        <v>7.379028530092592E-2</v>
      </c>
      <c r="AD29" s="39">
        <f t="shared" si="12"/>
        <v>-3.4622401863194439</v>
      </c>
      <c r="AE29" s="39">
        <v>-4.95</v>
      </c>
      <c r="AF29" s="25">
        <v>-5.1996000000000002</v>
      </c>
      <c r="AG29" s="39">
        <v>0</v>
      </c>
    </row>
    <row r="30" spans="1:33" ht="15.75" customHeight="1" x14ac:dyDescent="0.2">
      <c r="A30" s="14" t="s">
        <v>74</v>
      </c>
      <c r="B30" s="14"/>
      <c r="C30" s="15">
        <f t="shared" si="4"/>
        <v>16.576153846153847</v>
      </c>
      <c r="D30" s="16">
        <v>13</v>
      </c>
      <c r="E30" s="16">
        <v>0</v>
      </c>
      <c r="F30" s="17">
        <v>215.49</v>
      </c>
      <c r="G30" s="17">
        <v>-0.08</v>
      </c>
      <c r="H30" s="31">
        <f t="shared" si="1"/>
        <v>3.7124692561139725E-4</v>
      </c>
      <c r="I30" s="31">
        <f t="shared" si="2"/>
        <v>0.2334207041797827</v>
      </c>
      <c r="J30" s="32">
        <f t="shared" si="5"/>
        <v>50.299827543701376</v>
      </c>
      <c r="K30" s="32">
        <f t="shared" si="3"/>
        <v>3.8692175033616443</v>
      </c>
      <c r="L30" s="16">
        <v>29</v>
      </c>
      <c r="M30" s="33">
        <f t="shared" si="6"/>
        <v>0.44827586206896552</v>
      </c>
      <c r="N30" s="16">
        <v>15</v>
      </c>
      <c r="O30" s="34">
        <f t="shared" ref="O30:P30" si="38">D30/7</f>
        <v>1.8571428571428572</v>
      </c>
      <c r="P30" s="34">
        <f t="shared" si="38"/>
        <v>0</v>
      </c>
      <c r="Q30" s="29">
        <f t="shared" si="8"/>
        <v>8</v>
      </c>
      <c r="R30" s="29"/>
      <c r="S30" s="21">
        <v>2.0151515151515151</v>
      </c>
      <c r="T30" s="28">
        <v>400</v>
      </c>
      <c r="U30" s="36" t="s">
        <v>33</v>
      </c>
      <c r="V30" s="37" t="s">
        <v>33</v>
      </c>
      <c r="W30" s="14">
        <v>0</v>
      </c>
      <c r="X30" s="38">
        <f t="shared" si="9"/>
        <v>0</v>
      </c>
      <c r="Y30" s="39">
        <f t="shared" si="10"/>
        <v>0</v>
      </c>
      <c r="Z30" s="14">
        <v>0</v>
      </c>
      <c r="AA30" s="28" t="s">
        <v>34</v>
      </c>
      <c r="AB30" s="40">
        <f t="shared" si="11"/>
        <v>-0.69</v>
      </c>
      <c r="AC30" s="41">
        <v>7.379028530092592E-2</v>
      </c>
      <c r="AD30" s="39">
        <f t="shared" si="12"/>
        <v>-1.3237977182986109</v>
      </c>
      <c r="AE30" s="25">
        <v>-4.95</v>
      </c>
      <c r="AF30" s="25">
        <v>-5.162528826</v>
      </c>
      <c r="AG30" s="25">
        <v>0</v>
      </c>
    </row>
    <row r="31" spans="1:33" ht="15.75" customHeight="1" x14ac:dyDescent="0.2">
      <c r="A31" s="14" t="s">
        <v>75</v>
      </c>
      <c r="B31" s="14"/>
      <c r="C31" s="15">
        <f t="shared" si="4"/>
        <v>16.228461538461538</v>
      </c>
      <c r="D31" s="16">
        <v>13</v>
      </c>
      <c r="E31" s="16">
        <v>0</v>
      </c>
      <c r="F31" s="17">
        <v>210.97</v>
      </c>
      <c r="G31" s="42">
        <v>-0.08</v>
      </c>
      <c r="H31" s="31">
        <f t="shared" si="1"/>
        <v>3.7920083424183534E-4</v>
      </c>
      <c r="I31" s="31">
        <f t="shared" si="2"/>
        <v>0.22021058702043592</v>
      </c>
      <c r="J31" s="32">
        <f t="shared" si="5"/>
        <v>46.457827543701363</v>
      </c>
      <c r="K31" s="32">
        <f t="shared" si="3"/>
        <v>3.5736790418231816</v>
      </c>
      <c r="L31" s="16">
        <v>34</v>
      </c>
      <c r="M31" s="33">
        <f t="shared" si="6"/>
        <v>0.38235294117647056</v>
      </c>
      <c r="N31" s="16">
        <v>4</v>
      </c>
      <c r="O31" s="34">
        <f t="shared" ref="O31:P32" si="39">D31/7</f>
        <v>1.8571428571428572</v>
      </c>
      <c r="P31" s="34">
        <f t="shared" si="39"/>
        <v>0</v>
      </c>
      <c r="Q31" s="29">
        <f t="shared" si="8"/>
        <v>2</v>
      </c>
      <c r="R31" s="29"/>
      <c r="S31" s="21">
        <v>2.3519313304720999</v>
      </c>
      <c r="T31" s="14">
        <v>400</v>
      </c>
      <c r="U31" s="22" t="s">
        <v>33</v>
      </c>
      <c r="V31" s="1" t="s">
        <v>959</v>
      </c>
      <c r="W31" s="14">
        <v>0</v>
      </c>
      <c r="X31" s="38">
        <f t="shared" si="9"/>
        <v>0</v>
      </c>
      <c r="Y31" s="39">
        <f t="shared" si="10"/>
        <v>0</v>
      </c>
      <c r="Z31" s="14">
        <v>0</v>
      </c>
      <c r="AA31" s="14" t="s">
        <v>34</v>
      </c>
      <c r="AB31" s="40">
        <f t="shared" si="11"/>
        <v>-0.69</v>
      </c>
      <c r="AC31" s="27">
        <v>7.379028530092592E-2</v>
      </c>
      <c r="AD31" s="39">
        <f t="shared" si="12"/>
        <v>-1.3237977182986109</v>
      </c>
      <c r="AE31" s="43">
        <v>-4.95</v>
      </c>
      <c r="AF31" s="43">
        <v>-5.162528826</v>
      </c>
      <c r="AG31" s="25">
        <v>0</v>
      </c>
    </row>
    <row r="32" spans="1:33" s="51" customFormat="1" ht="15.75" customHeight="1" x14ac:dyDescent="0.2">
      <c r="A32" s="51" t="s">
        <v>934</v>
      </c>
      <c r="C32" s="15">
        <f t="shared" si="4"/>
        <v>16.04</v>
      </c>
      <c r="D32" s="52">
        <v>2</v>
      </c>
      <c r="E32" s="52">
        <v>0</v>
      </c>
      <c r="F32" s="53">
        <v>32.08</v>
      </c>
      <c r="G32" s="53">
        <v>0</v>
      </c>
      <c r="H32" s="31">
        <f t="shared" si="1"/>
        <v>0</v>
      </c>
      <c r="I32" s="31">
        <f t="shared" si="2"/>
        <v>0.21319454989306233</v>
      </c>
      <c r="J32" s="32">
        <f t="shared" si="5"/>
        <v>6.8392811605694392</v>
      </c>
      <c r="K32" s="32">
        <f t="shared" si="3"/>
        <v>3.4196405802847196</v>
      </c>
      <c r="L32" s="52">
        <v>3</v>
      </c>
      <c r="M32" s="33">
        <f t="shared" si="6"/>
        <v>0.66666666666666663</v>
      </c>
      <c r="N32" s="52">
        <v>0</v>
      </c>
      <c r="O32" s="34">
        <f t="shared" si="39"/>
        <v>0.2857142857142857</v>
      </c>
      <c r="P32" s="34">
        <f t="shared" si="39"/>
        <v>0</v>
      </c>
      <c r="Q32" s="29">
        <f t="shared" si="8"/>
        <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7.379028530092592E-2</v>
      </c>
      <c r="AD32" s="39">
        <f t="shared" si="12"/>
        <v>-0.20366118743055553</v>
      </c>
      <c r="AE32" s="58">
        <v>-4.95</v>
      </c>
      <c r="AF32" s="58">
        <v>-5.162528826</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6640625" customWidth="1"/>
    <col min="16" max="16" width="11.5" customWidth="1"/>
    <col min="17" max="17" width="8.5" customWidth="1"/>
    <col min="18" max="18" width="8.5" style="48" customWidth="1"/>
    <col min="19" max="19" width="8.33203125" customWidth="1"/>
    <col min="20" max="20" width="12.83203125" customWidth="1"/>
    <col min="21" max="21" width="26.1640625" customWidth="1"/>
    <col min="22" max="22" width="72"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Info!B1:BJ5000""),3,FALSE),"""")"),"4 Prong Dryer Cord - 6 Ft Electric Dryer Power Plug, 10 Gauge, 30 Amp, 14-30R, Black")</f>
        <v>4 Prong Dryer Cord - 6 Ft Electric Dryer Power Plug, 10 Gauge, 30 Amp, 14-30R,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Info!B1:BJ5000""),2,FALSE),"""")"),"B089DNLXYL")</f>
        <v>B089DNLXYL</v>
      </c>
      <c r="B2" s="3" t="s">
        <v>179</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67.5" customHeight="1" x14ac:dyDescent="0.2">
      <c r="A3" s="76" t="s">
        <v>30</v>
      </c>
      <c r="B3" s="77"/>
      <c r="C3" s="47">
        <f>((AE32+AF32)/0.85)*-1</f>
        <v>15.424368831764706</v>
      </c>
      <c r="D3" s="5">
        <f>SUM(D4:D99765)</f>
        <v>371</v>
      </c>
      <c r="E3" s="5"/>
      <c r="F3" s="6">
        <f t="shared" ref="F3:G3" si="0">SUM(F4:F99765)</f>
        <v>7557.920000000001</v>
      </c>
      <c r="G3" s="6">
        <f t="shared" si="0"/>
        <v>-2.0300000000000002</v>
      </c>
      <c r="H3" s="7">
        <f t="shared" ref="H3:H32" si="1">G3/F3*-1</f>
        <v>2.6859241696128034E-4</v>
      </c>
      <c r="I3" s="8">
        <f t="shared" ref="I3:I32" si="2">J3/F3</f>
        <v>0.235112553972982</v>
      </c>
      <c r="J3" s="6">
        <f>SUM(J4:J99765)</f>
        <v>1776.9618739234804</v>
      </c>
      <c r="K3" s="6">
        <f t="shared" ref="K3:K32" si="3">J3/D3</f>
        <v>4.7896546466940171</v>
      </c>
      <c r="L3" s="5"/>
      <c r="M3" s="9"/>
      <c r="N3" s="10"/>
      <c r="O3" s="5" t="str">
        <f ca="1">IFERROR(__xludf.DUMMYFUNCTION("IFERROR(VLOOKUP(B2,IMPORTRANGE(""https://docs.google.com/spreadsheets/d/1N8jvpEHDVkurDv7NrPxwI3eH6hQsvtb1QltGNCalRjU/edit#gid=865736387"",""Compiled Sheet!a1:g5000""),2,FALSE),"""")"),"2 - March
2 - April
2 - May
2 - June
2 - July
2 - Aug
2 - Sept
2.5 - Oct
2.5 - Nov
2.5 - Dec
2 - Jan
2 - Feb")</f>
        <v>2 - March
2 - April
2 - May
2 - June
2 - July
2 - Aug
2 - Sept
2.5 - Oct
2.5 - Nov
2.5 -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2</v>
      </c>
      <c r="X3" s="7">
        <f>W3/D3</f>
        <v>5.3908355795148251E-3</v>
      </c>
      <c r="Y3" s="6"/>
      <c r="Z3" s="5"/>
      <c r="AA3" s="5"/>
      <c r="AB3" s="5"/>
      <c r="AC3" s="5"/>
      <c r="AD3" s="6">
        <f>SUM(AD4:AD99765)</f>
        <v>-80.869427304160638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Info!B2:BZ7000""),37,FALSE)),"""")*-1"),-7.430713507)</f>
        <v>-7.4307135070000001</v>
      </c>
      <c r="AG3" s="6">
        <f>SUM(AG4:AG99765)</f>
        <v>0</v>
      </c>
    </row>
    <row r="4" spans="1:33" ht="1.5" customHeight="1" x14ac:dyDescent="0.2">
      <c r="A4" s="14" t="s">
        <v>31</v>
      </c>
      <c r="B4" s="14" t="s">
        <v>180</v>
      </c>
      <c r="C4" s="15">
        <f t="shared" ref="C4:C32" si="4">IFERROR(F4/D4," - ")</f>
        <v>21.574999999999996</v>
      </c>
      <c r="D4" s="16">
        <v>8</v>
      </c>
      <c r="E4" s="16">
        <v>0</v>
      </c>
      <c r="F4" s="17">
        <v>172.59999999999997</v>
      </c>
      <c r="G4" s="17">
        <v>0</v>
      </c>
      <c r="H4" s="18">
        <f t="shared" si="1"/>
        <v>0</v>
      </c>
      <c r="I4" s="18">
        <f t="shared" si="2"/>
        <v>0.33678485901892619</v>
      </c>
      <c r="J4" s="17">
        <f t="shared" ref="J4:J32" si="5">F4*0.85+G4+AF4*D4+D4*AE4+AG4+AD4</f>
        <v>58.129066666666652</v>
      </c>
      <c r="K4" s="17">
        <f t="shared" si="3"/>
        <v>7.2661333333333316</v>
      </c>
      <c r="L4" s="16">
        <v>11</v>
      </c>
      <c r="M4" s="19">
        <f t="shared" ref="M4:M32" si="6">IFERROR(D4/L4,"-")</f>
        <v>0.72727272727272729</v>
      </c>
      <c r="N4" s="16">
        <v>3</v>
      </c>
      <c r="O4" s="20">
        <f t="shared" ref="O4:P4" si="7">D4/7</f>
        <v>1.1428571428571428</v>
      </c>
      <c r="P4" s="20">
        <f t="shared" si="7"/>
        <v>0</v>
      </c>
      <c r="Q4" s="16">
        <f t="shared" ref="Q4:Q32" si="8">ROUNDDOWN(N4/(O4+P4),0)</f>
        <v>2</v>
      </c>
      <c r="R4" s="16"/>
      <c r="S4" s="21">
        <v>1.91821561338289</v>
      </c>
      <c r="T4" s="14">
        <v>240</v>
      </c>
      <c r="U4" s="22">
        <v>180</v>
      </c>
      <c r="V4" s="23" t="s">
        <v>181</v>
      </c>
      <c r="W4" s="14">
        <v>0</v>
      </c>
      <c r="X4" s="24">
        <f t="shared" ref="X4:X32" si="9">IFERROR(W4/D4,0)</f>
        <v>0</v>
      </c>
      <c r="Y4" s="25">
        <f t="shared" ref="Y4:Y32" si="10">IFERROR(G4/(W4+Z4)*-1,0)</f>
        <v>0</v>
      </c>
      <c r="Z4" s="14">
        <v>0</v>
      </c>
      <c r="AA4" s="2" t="s">
        <v>34</v>
      </c>
      <c r="AB4" s="26">
        <f t="shared" ref="AB4:AB32" si="11">IF(OR(AA4="UsLargeStandardSize",AA4="UsSmallStandardSize"),-0.69,-0.48)</f>
        <v>-0.69</v>
      </c>
      <c r="AC4" s="27">
        <v>1.638888888888889E-2</v>
      </c>
      <c r="AD4" s="25">
        <f t="shared" ref="AD4:AD32" si="12">IFERROR(AB4*AC4*D4*2,0)</f>
        <v>-0.18093333333333333</v>
      </c>
      <c r="AE4" s="25">
        <v>-5.42</v>
      </c>
      <c r="AF4" s="25">
        <v>-5.63</v>
      </c>
      <c r="AG4" s="25">
        <v>0</v>
      </c>
    </row>
    <row r="5" spans="1:33" ht="15.75" customHeight="1" x14ac:dyDescent="0.2">
      <c r="A5" s="28" t="s">
        <v>35</v>
      </c>
      <c r="B5" s="28" t="s">
        <v>182</v>
      </c>
      <c r="C5" s="15">
        <f t="shared" si="4"/>
        <v>24.14</v>
      </c>
      <c r="D5" s="29">
        <v>1</v>
      </c>
      <c r="E5" s="29">
        <v>0</v>
      </c>
      <c r="F5" s="30">
        <v>24.14</v>
      </c>
      <c r="G5" s="30">
        <v>0</v>
      </c>
      <c r="H5" s="31">
        <f t="shared" si="1"/>
        <v>0</v>
      </c>
      <c r="I5" s="31">
        <f t="shared" si="2"/>
        <v>0.39131553961489612</v>
      </c>
      <c r="J5" s="32">
        <f t="shared" si="5"/>
        <v>9.4463571263035924</v>
      </c>
      <c r="K5" s="32">
        <f t="shared" si="3"/>
        <v>9.4463571263035924</v>
      </c>
      <c r="L5" s="29">
        <v>17</v>
      </c>
      <c r="M5" s="33">
        <f t="shared" si="6"/>
        <v>5.8823529411764705E-2</v>
      </c>
      <c r="N5" s="29">
        <v>3</v>
      </c>
      <c r="O5" s="34">
        <f t="shared" ref="O5:P5" si="13">D5/7</f>
        <v>0.14285714285714285</v>
      </c>
      <c r="P5" s="34">
        <f t="shared" si="13"/>
        <v>0</v>
      </c>
      <c r="Q5" s="29">
        <f t="shared" si="8"/>
        <v>21</v>
      </c>
      <c r="R5" s="29"/>
      <c r="S5" s="35">
        <v>1.87878787878787</v>
      </c>
      <c r="T5" s="28">
        <v>240</v>
      </c>
      <c r="U5" s="36">
        <v>180</v>
      </c>
      <c r="V5" s="37" t="s">
        <v>183</v>
      </c>
      <c r="W5" s="28">
        <v>0</v>
      </c>
      <c r="X5" s="38">
        <f t="shared" si="9"/>
        <v>0</v>
      </c>
      <c r="Y5" s="39">
        <f t="shared" si="10"/>
        <v>0</v>
      </c>
      <c r="Z5" s="28">
        <v>0</v>
      </c>
      <c r="AA5" s="28" t="s">
        <v>34</v>
      </c>
      <c r="AB5" s="40">
        <f t="shared" si="11"/>
        <v>-0.69</v>
      </c>
      <c r="AC5" s="41">
        <v>1.6407879490150639E-2</v>
      </c>
      <c r="AD5" s="39">
        <f t="shared" si="12"/>
        <v>-2.264287369640788E-2</v>
      </c>
      <c r="AE5" s="39">
        <v>-5.42</v>
      </c>
      <c r="AF5" s="39">
        <v>-5.63</v>
      </c>
      <c r="AG5" s="39">
        <v>0</v>
      </c>
    </row>
    <row r="6" spans="1:33" ht="15.75" customHeight="1" x14ac:dyDescent="0.2">
      <c r="A6" s="28" t="s">
        <v>37</v>
      </c>
      <c r="B6" s="28" t="s">
        <v>184</v>
      </c>
      <c r="C6" s="15">
        <f t="shared" si="4"/>
        <v>23.423333333333336</v>
      </c>
      <c r="D6" s="29">
        <v>3</v>
      </c>
      <c r="E6" s="29">
        <v>0</v>
      </c>
      <c r="F6" s="30">
        <v>70.27000000000001</v>
      </c>
      <c r="G6" s="30">
        <v>0</v>
      </c>
      <c r="H6" s="31">
        <f t="shared" si="1"/>
        <v>0</v>
      </c>
      <c r="I6" s="31">
        <f t="shared" si="2"/>
        <v>0.37728150532105853</v>
      </c>
      <c r="J6" s="32">
        <f t="shared" si="5"/>
        <v>26.511571378910787</v>
      </c>
      <c r="K6" s="32">
        <f t="shared" si="3"/>
        <v>8.8371904596369291</v>
      </c>
      <c r="L6" s="29">
        <v>5</v>
      </c>
      <c r="M6" s="33">
        <f t="shared" si="6"/>
        <v>0.6</v>
      </c>
      <c r="N6" s="29">
        <v>1</v>
      </c>
      <c r="O6" s="34">
        <f t="shared" ref="O6:P6" si="14">D6/7</f>
        <v>0.42857142857142855</v>
      </c>
      <c r="P6" s="34">
        <f t="shared" si="14"/>
        <v>0</v>
      </c>
      <c r="Q6" s="29">
        <f t="shared" si="8"/>
        <v>2</v>
      </c>
      <c r="R6" s="29"/>
      <c r="S6" s="35">
        <v>1.9780219780219701</v>
      </c>
      <c r="T6" s="28">
        <v>60</v>
      </c>
      <c r="U6" s="36">
        <v>60</v>
      </c>
      <c r="V6" s="37" t="s">
        <v>185</v>
      </c>
      <c r="W6" s="28">
        <v>0</v>
      </c>
      <c r="X6" s="38">
        <f t="shared" si="9"/>
        <v>0</v>
      </c>
      <c r="Y6" s="39">
        <f t="shared" si="10"/>
        <v>0</v>
      </c>
      <c r="Z6" s="28">
        <v>0</v>
      </c>
      <c r="AA6" s="28" t="s">
        <v>34</v>
      </c>
      <c r="AB6" s="40">
        <f t="shared" si="11"/>
        <v>-0.69</v>
      </c>
      <c r="AC6" s="41">
        <v>1.6407879490150639E-2</v>
      </c>
      <c r="AD6" s="39">
        <f t="shared" si="12"/>
        <v>-6.7928621089223637E-2</v>
      </c>
      <c r="AE6" s="39">
        <v>-5.42</v>
      </c>
      <c r="AF6" s="39">
        <v>-5.63</v>
      </c>
      <c r="AG6" s="39">
        <v>0</v>
      </c>
    </row>
    <row r="7" spans="1:33" ht="15.75" customHeight="1" x14ac:dyDescent="0.2">
      <c r="A7" s="28" t="s">
        <v>40</v>
      </c>
      <c r="B7" s="28" t="s">
        <v>186</v>
      </c>
      <c r="C7" s="15">
        <f t="shared" si="4"/>
        <v>21.566666666666666</v>
      </c>
      <c r="D7" s="29">
        <v>3</v>
      </c>
      <c r="E7" s="29">
        <v>0</v>
      </c>
      <c r="F7" s="30">
        <v>64.7</v>
      </c>
      <c r="G7" s="30">
        <v>0</v>
      </c>
      <c r="H7" s="31">
        <f t="shared" si="1"/>
        <v>0</v>
      </c>
      <c r="I7" s="31">
        <f t="shared" si="2"/>
        <v>0.32318743312329085</v>
      </c>
      <c r="J7" s="32">
        <f t="shared" si="5"/>
        <v>20.91022692307692</v>
      </c>
      <c r="K7" s="32">
        <f t="shared" si="3"/>
        <v>6.9700756410256401</v>
      </c>
      <c r="L7" s="29">
        <v>8</v>
      </c>
      <c r="M7" s="33">
        <f t="shared" si="6"/>
        <v>0.375</v>
      </c>
      <c r="N7" s="29">
        <v>100</v>
      </c>
      <c r="O7" s="34">
        <f t="shared" ref="O7:P7" si="15">D7/7</f>
        <v>0.42857142857142855</v>
      </c>
      <c r="P7" s="34">
        <f t="shared" si="15"/>
        <v>0</v>
      </c>
      <c r="Q7" s="29">
        <f t="shared" si="8"/>
        <v>233</v>
      </c>
      <c r="R7" s="29"/>
      <c r="S7" s="35">
        <v>1.3333333333333299</v>
      </c>
      <c r="T7" s="28">
        <v>60</v>
      </c>
      <c r="U7" s="36">
        <v>60</v>
      </c>
      <c r="V7" s="37" t="s">
        <v>187</v>
      </c>
      <c r="W7" s="28">
        <v>0</v>
      </c>
      <c r="X7" s="38">
        <f t="shared" si="9"/>
        <v>0</v>
      </c>
      <c r="Y7" s="39">
        <f t="shared" si="10"/>
        <v>0</v>
      </c>
      <c r="Z7" s="28">
        <v>0</v>
      </c>
      <c r="AA7" s="28" t="s">
        <v>34</v>
      </c>
      <c r="AB7" s="40">
        <f t="shared" si="11"/>
        <v>-0.69</v>
      </c>
      <c r="AC7" s="41">
        <v>1.638888888888889E-2</v>
      </c>
      <c r="AD7" s="39">
        <f t="shared" si="12"/>
        <v>-6.7849999999999994E-2</v>
      </c>
      <c r="AE7" s="39">
        <v>-5.42</v>
      </c>
      <c r="AF7" s="39">
        <v>-5.9189743589743591</v>
      </c>
      <c r="AG7" s="39">
        <v>0</v>
      </c>
    </row>
    <row r="8" spans="1:33" ht="15.75" customHeight="1" x14ac:dyDescent="0.2">
      <c r="A8" s="28" t="s">
        <v>42</v>
      </c>
      <c r="B8" s="28" t="s">
        <v>188</v>
      </c>
      <c r="C8" s="15">
        <f t="shared" si="4"/>
        <v>19.05142857142857</v>
      </c>
      <c r="D8" s="29">
        <v>14</v>
      </c>
      <c r="E8" s="29">
        <v>0</v>
      </c>
      <c r="F8" s="30">
        <v>266.71999999999997</v>
      </c>
      <c r="G8" s="30">
        <v>0</v>
      </c>
      <c r="H8" s="31">
        <f t="shared" si="1"/>
        <v>0</v>
      </c>
      <c r="I8" s="31">
        <f t="shared" si="2"/>
        <v>0.24325666828743617</v>
      </c>
      <c r="J8" s="32">
        <f t="shared" si="5"/>
        <v>64.881418565624969</v>
      </c>
      <c r="K8" s="32">
        <f t="shared" si="3"/>
        <v>4.6343870404017835</v>
      </c>
      <c r="L8" s="29">
        <v>26</v>
      </c>
      <c r="M8" s="33">
        <f t="shared" si="6"/>
        <v>0.53846153846153844</v>
      </c>
      <c r="N8" s="29">
        <v>149</v>
      </c>
      <c r="O8" s="34">
        <f t="shared" ref="O8:P8" si="16">D8/7</f>
        <v>2</v>
      </c>
      <c r="P8" s="34">
        <f t="shared" si="16"/>
        <v>0</v>
      </c>
      <c r="Q8" s="29">
        <f t="shared" si="8"/>
        <v>74</v>
      </c>
      <c r="R8" s="29"/>
      <c r="S8" s="35">
        <v>1.3006993006993</v>
      </c>
      <c r="T8" s="28">
        <v>0</v>
      </c>
      <c r="U8" s="36" t="s">
        <v>33</v>
      </c>
      <c r="V8" s="37" t="s">
        <v>33</v>
      </c>
      <c r="W8" s="28">
        <v>0</v>
      </c>
      <c r="X8" s="38">
        <f t="shared" si="9"/>
        <v>0</v>
      </c>
      <c r="Y8" s="39">
        <f t="shared" si="10"/>
        <v>0</v>
      </c>
      <c r="Z8" s="28">
        <v>0</v>
      </c>
      <c r="AA8" s="28" t="s">
        <v>34</v>
      </c>
      <c r="AB8" s="40">
        <f t="shared" si="11"/>
        <v>-0.69</v>
      </c>
      <c r="AC8" s="41">
        <v>0.15893278645833336</v>
      </c>
      <c r="AD8" s="39">
        <f t="shared" si="12"/>
        <v>-3.0705814343750006</v>
      </c>
      <c r="AE8" s="39">
        <v>-5.42</v>
      </c>
      <c r="AF8" s="39">
        <v>-5.92</v>
      </c>
      <c r="AG8" s="39">
        <v>0</v>
      </c>
    </row>
    <row r="9" spans="1:33" ht="15.75" customHeight="1" x14ac:dyDescent="0.2">
      <c r="A9" s="28" t="s">
        <v>44</v>
      </c>
      <c r="B9" s="28" t="s">
        <v>189</v>
      </c>
      <c r="C9" s="15">
        <f t="shared" si="4"/>
        <v>18.463499999999996</v>
      </c>
      <c r="D9" s="29">
        <v>20</v>
      </c>
      <c r="E9" s="29">
        <v>0</v>
      </c>
      <c r="F9" s="30">
        <v>369.26999999999992</v>
      </c>
      <c r="G9" s="30">
        <v>0</v>
      </c>
      <c r="H9" s="31">
        <f t="shared" si="1"/>
        <v>0</v>
      </c>
      <c r="I9" s="31">
        <f t="shared" si="2"/>
        <v>0.21792304349997879</v>
      </c>
      <c r="J9" s="32">
        <f t="shared" si="5"/>
        <v>80.472442273237149</v>
      </c>
      <c r="K9" s="32">
        <f t="shared" si="3"/>
        <v>4.0236221136618573</v>
      </c>
      <c r="L9" s="29">
        <v>42</v>
      </c>
      <c r="M9" s="33">
        <f t="shared" si="6"/>
        <v>0.47619047619047616</v>
      </c>
      <c r="N9" s="29">
        <v>128</v>
      </c>
      <c r="O9" s="34">
        <f t="shared" ref="O9:P9" si="17">D9/7</f>
        <v>2.8571428571428572</v>
      </c>
      <c r="P9" s="34">
        <f t="shared" si="17"/>
        <v>0</v>
      </c>
      <c r="Q9" s="29">
        <f t="shared" si="8"/>
        <v>44</v>
      </c>
      <c r="R9" s="29"/>
      <c r="S9" s="35">
        <v>1.8423236514522801</v>
      </c>
      <c r="T9" s="28">
        <v>0</v>
      </c>
      <c r="U9" s="36" t="s">
        <v>33</v>
      </c>
      <c r="V9" s="37" t="s">
        <v>33</v>
      </c>
      <c r="W9" s="28">
        <v>0</v>
      </c>
      <c r="X9" s="38">
        <f t="shared" si="9"/>
        <v>0</v>
      </c>
      <c r="Y9" s="39">
        <f t="shared" si="10"/>
        <v>0</v>
      </c>
      <c r="Z9" s="28">
        <v>0</v>
      </c>
      <c r="AA9" s="28" t="s">
        <v>34</v>
      </c>
      <c r="AB9" s="40">
        <f t="shared" si="11"/>
        <v>-0.69</v>
      </c>
      <c r="AC9" s="41">
        <v>0.15893278645833336</v>
      </c>
      <c r="AD9" s="39">
        <f t="shared" si="12"/>
        <v>-4.3865449062500002</v>
      </c>
      <c r="AE9" s="39">
        <v>-5.42</v>
      </c>
      <c r="AF9" s="39">
        <v>-6.0310256410256402</v>
      </c>
      <c r="AG9" s="39">
        <v>0</v>
      </c>
    </row>
    <row r="10" spans="1:33" ht="15.75" customHeight="1" x14ac:dyDescent="0.2">
      <c r="A10" s="28" t="s">
        <v>46</v>
      </c>
      <c r="B10" s="28" t="s">
        <v>47</v>
      </c>
      <c r="C10" s="15">
        <f t="shared" si="4"/>
        <v>20.294615384615383</v>
      </c>
      <c r="D10" s="29">
        <v>13</v>
      </c>
      <c r="E10" s="29">
        <v>0</v>
      </c>
      <c r="F10" s="30">
        <v>263.83</v>
      </c>
      <c r="G10" s="30">
        <v>-0.02</v>
      </c>
      <c r="H10" s="31">
        <f t="shared" si="1"/>
        <v>7.5806390478717366E-5</v>
      </c>
      <c r="I10" s="31">
        <f t="shared" si="2"/>
        <v>0.27487743045750729</v>
      </c>
      <c r="J10" s="32">
        <f t="shared" si="5"/>
        <v>72.520912477604142</v>
      </c>
      <c r="K10" s="32">
        <f t="shared" si="3"/>
        <v>5.5785317290464729</v>
      </c>
      <c r="L10" s="29">
        <v>24</v>
      </c>
      <c r="M10" s="33">
        <f t="shared" si="6"/>
        <v>0.54166666666666663</v>
      </c>
      <c r="N10" s="29">
        <v>116</v>
      </c>
      <c r="O10" s="34">
        <f t="shared" ref="O10:P10" si="18">D10/7</f>
        <v>1.8571428571428572</v>
      </c>
      <c r="P10" s="34">
        <f t="shared" si="18"/>
        <v>0</v>
      </c>
      <c r="Q10" s="29">
        <f t="shared" si="8"/>
        <v>62</v>
      </c>
      <c r="R10" s="29"/>
      <c r="S10" s="35">
        <v>2.1187214611872101</v>
      </c>
      <c r="T10" s="28">
        <v>0</v>
      </c>
      <c r="U10" s="36" t="s">
        <v>33</v>
      </c>
      <c r="V10" s="37" t="s">
        <v>33</v>
      </c>
      <c r="W10" s="28">
        <v>0</v>
      </c>
      <c r="X10" s="38">
        <f t="shared" si="9"/>
        <v>0</v>
      </c>
      <c r="Y10" s="39">
        <f t="shared" si="10"/>
        <v>0</v>
      </c>
      <c r="Z10" s="28">
        <v>0</v>
      </c>
      <c r="AA10" s="28" t="s">
        <v>34</v>
      </c>
      <c r="AB10" s="40">
        <f t="shared" si="11"/>
        <v>-0.69</v>
      </c>
      <c r="AC10" s="41">
        <v>0.15893278645833336</v>
      </c>
      <c r="AD10" s="39">
        <f t="shared" si="12"/>
        <v>-2.8512541890625003</v>
      </c>
      <c r="AE10" s="39">
        <v>-5.42</v>
      </c>
      <c r="AF10" s="39">
        <v>-6.0310256410256402</v>
      </c>
      <c r="AG10" s="39">
        <v>0</v>
      </c>
    </row>
    <row r="11" spans="1:33" ht="15.75" customHeight="1" x14ac:dyDescent="0.2">
      <c r="A11" s="28" t="s">
        <v>48</v>
      </c>
      <c r="B11" s="28" t="s">
        <v>47</v>
      </c>
      <c r="C11" s="15">
        <f t="shared" si="4"/>
        <v>20.949999999999996</v>
      </c>
      <c r="D11" s="29">
        <v>10</v>
      </c>
      <c r="E11" s="29">
        <v>0</v>
      </c>
      <c r="F11" s="30">
        <v>209.49999999999997</v>
      </c>
      <c r="G11" s="30">
        <v>-0.15000000000000002</v>
      </c>
      <c r="H11" s="31">
        <f t="shared" si="1"/>
        <v>7.1599045346062073E-4</v>
      </c>
      <c r="I11" s="31">
        <f t="shared" si="2"/>
        <v>0.29222659253755878</v>
      </c>
      <c r="J11" s="32">
        <f t="shared" si="5"/>
        <v>61.221471136618554</v>
      </c>
      <c r="K11" s="32">
        <f t="shared" si="3"/>
        <v>6.122147113661855</v>
      </c>
      <c r="L11" s="29">
        <v>14</v>
      </c>
      <c r="M11" s="33">
        <f t="shared" si="6"/>
        <v>0.7142857142857143</v>
      </c>
      <c r="N11" s="29">
        <v>107</v>
      </c>
      <c r="O11" s="34">
        <f t="shared" ref="O11:P11" si="19">D11/7</f>
        <v>1.4285714285714286</v>
      </c>
      <c r="P11" s="34">
        <f t="shared" si="19"/>
        <v>0</v>
      </c>
      <c r="Q11" s="29">
        <f t="shared" si="8"/>
        <v>74</v>
      </c>
      <c r="R11" s="29"/>
      <c r="S11" s="35">
        <v>2.1484716157205201</v>
      </c>
      <c r="T11" s="28">
        <v>408</v>
      </c>
      <c r="U11" s="36" t="s">
        <v>33</v>
      </c>
      <c r="V11" s="37" t="s">
        <v>33</v>
      </c>
      <c r="W11" s="28">
        <v>0</v>
      </c>
      <c r="X11" s="38">
        <f t="shared" si="9"/>
        <v>0</v>
      </c>
      <c r="Y11" s="39">
        <f t="shared" si="10"/>
        <v>0</v>
      </c>
      <c r="Z11" s="28">
        <v>0</v>
      </c>
      <c r="AA11" s="28" t="s">
        <v>34</v>
      </c>
      <c r="AB11" s="40">
        <f t="shared" si="11"/>
        <v>-0.69</v>
      </c>
      <c r="AC11" s="41">
        <v>0.15893278645833336</v>
      </c>
      <c r="AD11" s="39">
        <f t="shared" si="12"/>
        <v>-2.1932724531250001</v>
      </c>
      <c r="AE11" s="39">
        <v>-5.42</v>
      </c>
      <c r="AF11" s="39">
        <v>-6.0310256410256402</v>
      </c>
      <c r="AG11" s="39">
        <v>0</v>
      </c>
    </row>
    <row r="12" spans="1:33" ht="15.75" customHeight="1" x14ac:dyDescent="0.2">
      <c r="A12" s="28" t="s">
        <v>49</v>
      </c>
      <c r="B12" s="28" t="s">
        <v>47</v>
      </c>
      <c r="C12" s="15">
        <f t="shared" si="4"/>
        <v>21.00538461538461</v>
      </c>
      <c r="D12" s="29">
        <v>13</v>
      </c>
      <c r="E12" s="29">
        <v>1</v>
      </c>
      <c r="F12" s="30">
        <v>273.06999999999994</v>
      </c>
      <c r="G12" s="30">
        <v>-0.14000000000000001</v>
      </c>
      <c r="H12" s="31">
        <f t="shared" si="1"/>
        <v>5.1268905408869542E-4</v>
      </c>
      <c r="I12" s="31">
        <f t="shared" si="2"/>
        <v>0.29389867974367062</v>
      </c>
      <c r="J12" s="32">
        <f t="shared" si="5"/>
        <v>80.254912477604123</v>
      </c>
      <c r="K12" s="32">
        <f t="shared" si="3"/>
        <v>6.1734548059695475</v>
      </c>
      <c r="L12" s="29">
        <v>26</v>
      </c>
      <c r="M12" s="33">
        <f t="shared" si="6"/>
        <v>0.5</v>
      </c>
      <c r="N12" s="29">
        <v>94</v>
      </c>
      <c r="O12" s="34">
        <f t="shared" ref="O12:P12" si="20">D12/7</f>
        <v>1.8571428571428572</v>
      </c>
      <c r="P12" s="34">
        <f t="shared" si="20"/>
        <v>0.14285714285714285</v>
      </c>
      <c r="Q12" s="29">
        <f t="shared" si="8"/>
        <v>47</v>
      </c>
      <c r="R12" s="29"/>
      <c r="S12" s="35">
        <v>1.9682539682539599</v>
      </c>
      <c r="T12" s="28">
        <v>408</v>
      </c>
      <c r="U12" s="36" t="s">
        <v>33</v>
      </c>
      <c r="V12" s="37" t="s">
        <v>33</v>
      </c>
      <c r="W12" s="28">
        <v>0</v>
      </c>
      <c r="X12" s="38">
        <f t="shared" si="9"/>
        <v>0</v>
      </c>
      <c r="Y12" s="39">
        <f t="shared" si="10"/>
        <v>0</v>
      </c>
      <c r="Z12" s="28">
        <v>0</v>
      </c>
      <c r="AA12" s="28" t="s">
        <v>34</v>
      </c>
      <c r="AB12" s="40">
        <f t="shared" si="11"/>
        <v>-0.69</v>
      </c>
      <c r="AC12" s="41">
        <v>0.15893278645833336</v>
      </c>
      <c r="AD12" s="39">
        <f t="shared" si="12"/>
        <v>-2.8512541890625003</v>
      </c>
      <c r="AE12" s="39">
        <v>-5.42</v>
      </c>
      <c r="AF12" s="39">
        <v>-6.0310256410256402</v>
      </c>
      <c r="AG12" s="39">
        <v>0</v>
      </c>
    </row>
    <row r="13" spans="1:33" ht="15.75" customHeight="1" x14ac:dyDescent="0.2">
      <c r="A13" s="28" t="s">
        <v>50</v>
      </c>
      <c r="B13" s="28" t="s">
        <v>47</v>
      </c>
      <c r="C13" s="15">
        <f t="shared" si="4"/>
        <v>20.95</v>
      </c>
      <c r="D13" s="29">
        <v>9</v>
      </c>
      <c r="E13" s="29">
        <v>0</v>
      </c>
      <c r="F13" s="32">
        <v>188.54999999999998</v>
      </c>
      <c r="G13" s="30">
        <v>-0.08</v>
      </c>
      <c r="H13" s="31">
        <f t="shared" si="1"/>
        <v>4.2429063908777518E-4</v>
      </c>
      <c r="I13" s="31">
        <f t="shared" si="2"/>
        <v>0.28970328715029159</v>
      </c>
      <c r="J13" s="32">
        <f t="shared" si="5"/>
        <v>54.62355479218747</v>
      </c>
      <c r="K13" s="32">
        <f t="shared" si="3"/>
        <v>6.0692838657986075</v>
      </c>
      <c r="L13" s="29">
        <v>9</v>
      </c>
      <c r="M13" s="33">
        <f t="shared" si="6"/>
        <v>1</v>
      </c>
      <c r="N13" s="29">
        <v>86</v>
      </c>
      <c r="O13" s="34">
        <f t="shared" ref="O13:P13" si="21">D13/7</f>
        <v>1.2857142857142858</v>
      </c>
      <c r="P13" s="34">
        <f t="shared" si="21"/>
        <v>0</v>
      </c>
      <c r="Q13" s="29">
        <f t="shared" si="8"/>
        <v>66</v>
      </c>
      <c r="R13" s="29"/>
      <c r="S13" s="35">
        <v>1.62962962962962</v>
      </c>
      <c r="T13" s="28">
        <v>408</v>
      </c>
      <c r="U13" s="36" t="s">
        <v>33</v>
      </c>
      <c r="V13" s="37" t="s">
        <v>33</v>
      </c>
      <c r="W13" s="28">
        <v>0</v>
      </c>
      <c r="X13" s="38">
        <f t="shared" si="9"/>
        <v>0</v>
      </c>
      <c r="Y13" s="39">
        <f t="shared" si="10"/>
        <v>0</v>
      </c>
      <c r="Z13" s="28">
        <v>0</v>
      </c>
      <c r="AA13" s="28" t="s">
        <v>34</v>
      </c>
      <c r="AB13" s="40">
        <f t="shared" si="11"/>
        <v>-0.69</v>
      </c>
      <c r="AC13" s="41">
        <v>0.15893278645833336</v>
      </c>
      <c r="AD13" s="39">
        <f t="shared" si="12"/>
        <v>-1.9739452078125002</v>
      </c>
      <c r="AE13" s="39">
        <v>-5.42</v>
      </c>
      <c r="AF13" s="39">
        <v>-6.09</v>
      </c>
      <c r="AG13" s="39">
        <v>0</v>
      </c>
    </row>
    <row r="14" spans="1:33" ht="15.75" customHeight="1" x14ac:dyDescent="0.2">
      <c r="A14" s="28" t="s">
        <v>51</v>
      </c>
      <c r="B14" s="28" t="s">
        <v>190</v>
      </c>
      <c r="C14" s="15">
        <f t="shared" si="4"/>
        <v>21.206666666666663</v>
      </c>
      <c r="D14" s="29">
        <v>18</v>
      </c>
      <c r="E14" s="29">
        <v>0</v>
      </c>
      <c r="F14" s="32">
        <v>381.71999999999997</v>
      </c>
      <c r="G14" s="30">
        <v>-0.23000000000000004</v>
      </c>
      <c r="H14" s="31">
        <f t="shared" si="1"/>
        <v>6.0253589018128488E-4</v>
      </c>
      <c r="I14" s="31">
        <f t="shared" si="2"/>
        <v>0.29630124065905633</v>
      </c>
      <c r="J14" s="32">
        <f t="shared" si="5"/>
        <v>113.10410958437497</v>
      </c>
      <c r="K14" s="32">
        <f t="shared" si="3"/>
        <v>6.2835616435763875</v>
      </c>
      <c r="L14" s="29">
        <v>15</v>
      </c>
      <c r="M14" s="33">
        <f t="shared" si="6"/>
        <v>1.2</v>
      </c>
      <c r="N14" s="29">
        <v>70</v>
      </c>
      <c r="O14" s="34">
        <f t="shared" ref="O14:P14" si="22">D14/7</f>
        <v>2.5714285714285716</v>
      </c>
      <c r="P14" s="34">
        <f t="shared" si="22"/>
        <v>0</v>
      </c>
      <c r="Q14" s="29">
        <f t="shared" si="8"/>
        <v>27</v>
      </c>
      <c r="R14" s="29"/>
      <c r="S14" s="35">
        <v>2.28070175438596</v>
      </c>
      <c r="T14" s="28">
        <v>408</v>
      </c>
      <c r="U14" s="36" t="s">
        <v>33</v>
      </c>
      <c r="V14" s="37" t="s">
        <v>33</v>
      </c>
      <c r="W14" s="28">
        <v>1</v>
      </c>
      <c r="X14" s="38">
        <f t="shared" si="9"/>
        <v>5.5555555555555552E-2</v>
      </c>
      <c r="Y14" s="39">
        <f t="shared" si="10"/>
        <v>0.11500000000000002</v>
      </c>
      <c r="Z14" s="28">
        <v>1</v>
      </c>
      <c r="AA14" s="28" t="s">
        <v>34</v>
      </c>
      <c r="AB14" s="40">
        <f t="shared" si="11"/>
        <v>-0.69</v>
      </c>
      <c r="AC14" s="41">
        <v>0.15893278645833336</v>
      </c>
      <c r="AD14" s="39">
        <f t="shared" si="12"/>
        <v>-3.9478904156250003</v>
      </c>
      <c r="AE14" s="39">
        <v>-5.42</v>
      </c>
      <c r="AF14" s="39">
        <v>-6.09</v>
      </c>
      <c r="AG14" s="39">
        <v>0</v>
      </c>
    </row>
    <row r="15" spans="1:33" ht="15.75" customHeight="1" x14ac:dyDescent="0.2">
      <c r="A15" s="28" t="s">
        <v>53</v>
      </c>
      <c r="B15" s="28" t="s">
        <v>191</v>
      </c>
      <c r="C15" s="15">
        <f t="shared" si="4"/>
        <v>20.95</v>
      </c>
      <c r="D15" s="29">
        <v>2</v>
      </c>
      <c r="E15" s="29">
        <v>0</v>
      </c>
      <c r="F15" s="32">
        <v>41.9</v>
      </c>
      <c r="G15" s="30">
        <v>-0.08</v>
      </c>
      <c r="H15" s="31">
        <f t="shared" si="1"/>
        <v>1.9093078758949881E-3</v>
      </c>
      <c r="I15" s="31">
        <f t="shared" si="2"/>
        <v>0.26387459449582334</v>
      </c>
      <c r="J15" s="32">
        <f t="shared" si="5"/>
        <v>11.056345509374998</v>
      </c>
      <c r="K15" s="32">
        <f t="shared" si="3"/>
        <v>5.5281727546874988</v>
      </c>
      <c r="L15" s="29">
        <v>9</v>
      </c>
      <c r="M15" s="33">
        <f t="shared" si="6"/>
        <v>0.22222222222222221</v>
      </c>
      <c r="N15" s="29">
        <v>67</v>
      </c>
      <c r="O15" s="34">
        <f t="shared" ref="O15:P15" si="23">D15/7</f>
        <v>0.2857142857142857</v>
      </c>
      <c r="P15" s="34">
        <f t="shared" si="23"/>
        <v>0</v>
      </c>
      <c r="Q15" s="29">
        <f t="shared" si="8"/>
        <v>234</v>
      </c>
      <c r="R15" s="29"/>
      <c r="S15" s="35">
        <v>2.42364532019704</v>
      </c>
      <c r="T15" s="28">
        <v>408</v>
      </c>
      <c r="U15" s="36" t="s">
        <v>33</v>
      </c>
      <c r="V15" s="37" t="s">
        <v>33</v>
      </c>
      <c r="W15" s="28">
        <v>0</v>
      </c>
      <c r="X15" s="38">
        <f t="shared" si="9"/>
        <v>0</v>
      </c>
      <c r="Y15" s="39">
        <f t="shared" si="10"/>
        <v>0</v>
      </c>
      <c r="Z15" s="28">
        <v>0</v>
      </c>
      <c r="AA15" s="28" t="s">
        <v>34</v>
      </c>
      <c r="AB15" s="40">
        <f t="shared" si="11"/>
        <v>-0.69</v>
      </c>
      <c r="AC15" s="41">
        <v>0.15893278645833336</v>
      </c>
      <c r="AD15" s="39">
        <f t="shared" si="12"/>
        <v>-0.43865449062500006</v>
      </c>
      <c r="AE15" s="39">
        <v>-5.42</v>
      </c>
      <c r="AF15" s="39">
        <v>-6.6</v>
      </c>
      <c r="AG15" s="39">
        <v>0</v>
      </c>
    </row>
    <row r="16" spans="1:33" ht="15.75" customHeight="1" x14ac:dyDescent="0.2">
      <c r="A16" s="28" t="s">
        <v>54</v>
      </c>
      <c r="B16" s="28" t="s">
        <v>47</v>
      </c>
      <c r="C16" s="15">
        <f t="shared" si="4"/>
        <v>20.535</v>
      </c>
      <c r="D16" s="29">
        <v>8</v>
      </c>
      <c r="E16" s="29">
        <v>0</v>
      </c>
      <c r="F16" s="32">
        <v>164.28</v>
      </c>
      <c r="G16" s="30">
        <v>-0.24</v>
      </c>
      <c r="H16" s="31">
        <f t="shared" si="1"/>
        <v>1.4609203798392988E-3</v>
      </c>
      <c r="I16" s="31">
        <f t="shared" si="2"/>
        <v>0.25251632601351354</v>
      </c>
      <c r="J16" s="32">
        <f t="shared" si="5"/>
        <v>41.4833820375</v>
      </c>
      <c r="K16" s="32">
        <f t="shared" si="3"/>
        <v>5.1854227546875</v>
      </c>
      <c r="L16" s="29">
        <v>14</v>
      </c>
      <c r="M16" s="33">
        <f t="shared" si="6"/>
        <v>0.5714285714285714</v>
      </c>
      <c r="N16" s="29">
        <v>60</v>
      </c>
      <c r="O16" s="34">
        <f t="shared" ref="O16:P16" si="24">D16/7</f>
        <v>1.1428571428571428</v>
      </c>
      <c r="P16" s="34">
        <f t="shared" si="24"/>
        <v>0</v>
      </c>
      <c r="Q16" s="29">
        <f t="shared" si="8"/>
        <v>52</v>
      </c>
      <c r="R16" s="29"/>
      <c r="S16" s="35">
        <v>1.79061371841155</v>
      </c>
      <c r="T16" s="28">
        <v>408</v>
      </c>
      <c r="U16" s="36" t="s">
        <v>33</v>
      </c>
      <c r="V16" s="37" t="s">
        <v>33</v>
      </c>
      <c r="W16" s="28">
        <v>0</v>
      </c>
      <c r="X16" s="38">
        <f t="shared" si="9"/>
        <v>0</v>
      </c>
      <c r="Y16" s="39">
        <f t="shared" si="10"/>
        <v>0</v>
      </c>
      <c r="Z16" s="28">
        <v>0</v>
      </c>
      <c r="AA16" s="28" t="s">
        <v>34</v>
      </c>
      <c r="AB16" s="40">
        <f t="shared" si="11"/>
        <v>-0.69</v>
      </c>
      <c r="AC16" s="41">
        <v>0.15893278645833336</v>
      </c>
      <c r="AD16" s="39">
        <f t="shared" si="12"/>
        <v>-1.7546179625000002</v>
      </c>
      <c r="AE16" s="39">
        <v>-5.42</v>
      </c>
      <c r="AF16" s="39">
        <v>-6.6</v>
      </c>
      <c r="AG16" s="39">
        <v>0</v>
      </c>
    </row>
    <row r="17" spans="1:33" ht="15.75" customHeight="1" x14ac:dyDescent="0.2">
      <c r="A17" s="28" t="s">
        <v>55</v>
      </c>
      <c r="B17" s="28" t="s">
        <v>47</v>
      </c>
      <c r="C17" s="15">
        <f t="shared" si="4"/>
        <v>19.95</v>
      </c>
      <c r="D17" s="29">
        <v>5</v>
      </c>
      <c r="E17" s="29">
        <v>0</v>
      </c>
      <c r="F17" s="32">
        <v>99.75</v>
      </c>
      <c r="G17" s="30">
        <v>-0.23000000000000004</v>
      </c>
      <c r="H17" s="31">
        <f t="shared" si="1"/>
        <v>2.3057644110275693E-3</v>
      </c>
      <c r="I17" s="31">
        <f t="shared" si="2"/>
        <v>0.23419412304197984</v>
      </c>
      <c r="J17" s="32">
        <f t="shared" si="5"/>
        <v>23.36086377343749</v>
      </c>
      <c r="K17" s="32">
        <f t="shared" si="3"/>
        <v>4.672172754687498</v>
      </c>
      <c r="L17" s="29">
        <v>21</v>
      </c>
      <c r="M17" s="33">
        <f t="shared" si="6"/>
        <v>0.23809523809523808</v>
      </c>
      <c r="N17" s="29">
        <v>58</v>
      </c>
      <c r="O17" s="34">
        <f t="shared" ref="O17:P17" si="25">D17/7</f>
        <v>0.7142857142857143</v>
      </c>
      <c r="P17" s="34">
        <f t="shared" si="25"/>
        <v>0</v>
      </c>
      <c r="Q17" s="29">
        <f t="shared" si="8"/>
        <v>81</v>
      </c>
      <c r="R17" s="29"/>
      <c r="S17" s="35">
        <v>1.65333333333333</v>
      </c>
      <c r="T17" s="28">
        <v>408</v>
      </c>
      <c r="U17" s="36" t="s">
        <v>33</v>
      </c>
      <c r="V17" s="37" t="s">
        <v>33</v>
      </c>
      <c r="W17" s="28">
        <v>0</v>
      </c>
      <c r="X17" s="38">
        <f t="shared" si="9"/>
        <v>0</v>
      </c>
      <c r="Y17" s="39">
        <f t="shared" si="10"/>
        <v>0</v>
      </c>
      <c r="Z17" s="28">
        <v>0</v>
      </c>
      <c r="AA17" s="28" t="s">
        <v>34</v>
      </c>
      <c r="AB17" s="40">
        <f t="shared" si="11"/>
        <v>-0.69</v>
      </c>
      <c r="AC17" s="41">
        <v>0.15893278645833336</v>
      </c>
      <c r="AD17" s="39">
        <f t="shared" si="12"/>
        <v>-1.0966362265625</v>
      </c>
      <c r="AE17" s="39">
        <v>-5.42</v>
      </c>
      <c r="AF17" s="39">
        <v>-6.6</v>
      </c>
      <c r="AG17" s="39">
        <v>0</v>
      </c>
    </row>
    <row r="18" spans="1:33" ht="15.75" customHeight="1" x14ac:dyDescent="0.2">
      <c r="A18" s="28" t="s">
        <v>56</v>
      </c>
      <c r="B18" s="28" t="s">
        <v>192</v>
      </c>
      <c r="C18" s="15">
        <f t="shared" si="4"/>
        <v>19.95</v>
      </c>
      <c r="D18" s="29">
        <v>53</v>
      </c>
      <c r="E18" s="29">
        <v>0</v>
      </c>
      <c r="F18" s="32">
        <v>1057.3499999999999</v>
      </c>
      <c r="G18" s="30">
        <v>-0.16</v>
      </c>
      <c r="H18" s="31">
        <f t="shared" si="1"/>
        <v>1.5132170047760913E-4</v>
      </c>
      <c r="I18" s="31">
        <f t="shared" si="2"/>
        <v>0.23634856575252997</v>
      </c>
      <c r="J18" s="32">
        <f t="shared" si="5"/>
        <v>249.90315599843754</v>
      </c>
      <c r="K18" s="32">
        <f t="shared" si="3"/>
        <v>4.7151538867629723</v>
      </c>
      <c r="L18" s="29">
        <v>18</v>
      </c>
      <c r="M18" s="33">
        <f t="shared" si="6"/>
        <v>2.9444444444444446</v>
      </c>
      <c r="N18" s="29">
        <v>19</v>
      </c>
      <c r="O18" s="34">
        <f t="shared" ref="O18:P18" si="26">D18/7</f>
        <v>7.5714285714285712</v>
      </c>
      <c r="P18" s="34">
        <f t="shared" si="26"/>
        <v>0</v>
      </c>
      <c r="Q18" s="29">
        <f t="shared" si="8"/>
        <v>2</v>
      </c>
      <c r="R18" s="29"/>
      <c r="S18" s="35">
        <v>2.3070539419087099</v>
      </c>
      <c r="T18" s="28">
        <v>408</v>
      </c>
      <c r="U18" s="36">
        <v>0</v>
      </c>
      <c r="V18" s="37" t="s">
        <v>193</v>
      </c>
      <c r="W18" s="28">
        <v>0</v>
      </c>
      <c r="X18" s="38">
        <f t="shared" si="9"/>
        <v>0</v>
      </c>
      <c r="Y18" s="39">
        <f t="shared" si="10"/>
        <v>0</v>
      </c>
      <c r="Z18" s="28">
        <v>0</v>
      </c>
      <c r="AA18" s="28" t="s">
        <v>34</v>
      </c>
      <c r="AB18" s="40">
        <f t="shared" si="11"/>
        <v>-0.69</v>
      </c>
      <c r="AC18" s="41">
        <v>0.15893278645833336</v>
      </c>
      <c r="AD18" s="39">
        <f t="shared" si="12"/>
        <v>-11.624344001562502</v>
      </c>
      <c r="AE18" s="39">
        <v>-5.42</v>
      </c>
      <c r="AF18" s="39">
        <v>-6.6</v>
      </c>
      <c r="AG18" s="39">
        <v>0</v>
      </c>
    </row>
    <row r="19" spans="1:33" ht="15.75" customHeight="1" x14ac:dyDescent="0.2">
      <c r="A19" s="28" t="s">
        <v>57</v>
      </c>
      <c r="B19" s="28" t="s">
        <v>194</v>
      </c>
      <c r="C19" s="15">
        <f t="shared" si="4"/>
        <v>21.95</v>
      </c>
      <c r="D19" s="29">
        <v>1</v>
      </c>
      <c r="E19" s="29">
        <v>0</v>
      </c>
      <c r="F19" s="32">
        <v>21.95</v>
      </c>
      <c r="G19" s="30">
        <v>0</v>
      </c>
      <c r="H19" s="31">
        <f t="shared" si="1"/>
        <v>0</v>
      </c>
      <c r="I19" s="31">
        <f t="shared" si="2"/>
        <v>0.27841333734339402</v>
      </c>
      <c r="J19" s="32">
        <f t="shared" si="5"/>
        <v>6.111172754687499</v>
      </c>
      <c r="K19" s="32">
        <f t="shared" si="3"/>
        <v>6.111172754687499</v>
      </c>
      <c r="L19" s="29">
        <v>2</v>
      </c>
      <c r="M19" s="33">
        <f t="shared" si="6"/>
        <v>0.5</v>
      </c>
      <c r="N19" s="29">
        <v>3</v>
      </c>
      <c r="O19" s="34">
        <f t="shared" ref="O19:P19" si="27">D19/7</f>
        <v>0.14285714285714285</v>
      </c>
      <c r="P19" s="34">
        <f t="shared" si="27"/>
        <v>0</v>
      </c>
      <c r="Q19" s="29">
        <f t="shared" si="8"/>
        <v>21</v>
      </c>
      <c r="R19" s="29"/>
      <c r="S19" s="35">
        <v>3.4693877551020398</v>
      </c>
      <c r="T19" s="28">
        <v>408</v>
      </c>
      <c r="U19" s="36">
        <v>204</v>
      </c>
      <c r="V19" s="37" t="s">
        <v>195</v>
      </c>
      <c r="W19" s="28">
        <v>0</v>
      </c>
      <c r="X19" s="38">
        <f t="shared" si="9"/>
        <v>0</v>
      </c>
      <c r="Y19" s="39">
        <f t="shared" si="10"/>
        <v>0</v>
      </c>
      <c r="Z19" s="28">
        <v>0</v>
      </c>
      <c r="AA19" s="28" t="s">
        <v>34</v>
      </c>
      <c r="AB19" s="40">
        <f t="shared" si="11"/>
        <v>-0.69</v>
      </c>
      <c r="AC19" s="41">
        <v>0.15893278645833336</v>
      </c>
      <c r="AD19" s="39">
        <f t="shared" si="12"/>
        <v>-0.21932724531250003</v>
      </c>
      <c r="AE19" s="39">
        <v>-5.42</v>
      </c>
      <c r="AF19" s="39">
        <v>-6.907</v>
      </c>
      <c r="AG19" s="39">
        <v>0</v>
      </c>
    </row>
    <row r="20" spans="1:33" ht="15.75" customHeight="1" x14ac:dyDescent="0.2">
      <c r="A20" s="28" t="s">
        <v>58</v>
      </c>
      <c r="B20" s="28" t="s">
        <v>150</v>
      </c>
      <c r="C20" s="15">
        <f t="shared" si="4"/>
        <v>21.95</v>
      </c>
      <c r="D20" s="29">
        <v>2</v>
      </c>
      <c r="E20" s="29">
        <v>0</v>
      </c>
      <c r="F20" s="32">
        <v>43.9</v>
      </c>
      <c r="G20" s="30">
        <v>0</v>
      </c>
      <c r="H20" s="31">
        <f t="shared" si="1"/>
        <v>0</v>
      </c>
      <c r="I20" s="31">
        <f t="shared" si="2"/>
        <v>0.27841333734339402</v>
      </c>
      <c r="J20" s="32">
        <f t="shared" si="5"/>
        <v>12.222345509374998</v>
      </c>
      <c r="K20" s="32">
        <f t="shared" si="3"/>
        <v>6.111172754687499</v>
      </c>
      <c r="L20" s="29">
        <v>9</v>
      </c>
      <c r="M20" s="33">
        <f t="shared" si="6"/>
        <v>0.22222222222222221</v>
      </c>
      <c r="N20" s="29">
        <v>2</v>
      </c>
      <c r="O20" s="34">
        <f t="shared" ref="O20:P20" si="28">D20/7</f>
        <v>0.2857142857142857</v>
      </c>
      <c r="P20" s="34">
        <f t="shared" si="28"/>
        <v>0</v>
      </c>
      <c r="Q20" s="29">
        <f t="shared" si="8"/>
        <v>7</v>
      </c>
      <c r="R20" s="29"/>
      <c r="S20" s="35">
        <v>2.43416370106761</v>
      </c>
      <c r="T20" s="28">
        <v>408</v>
      </c>
      <c r="U20" s="36">
        <v>204</v>
      </c>
      <c r="V20" s="37" t="s">
        <v>196</v>
      </c>
      <c r="W20" s="28">
        <v>0</v>
      </c>
      <c r="X20" s="38">
        <f t="shared" si="9"/>
        <v>0</v>
      </c>
      <c r="Y20" s="39">
        <f t="shared" si="10"/>
        <v>0</v>
      </c>
      <c r="Z20" s="28">
        <v>0</v>
      </c>
      <c r="AA20" s="28" t="s">
        <v>34</v>
      </c>
      <c r="AB20" s="40">
        <f t="shared" si="11"/>
        <v>-0.69</v>
      </c>
      <c r="AC20" s="41">
        <v>0.15893278645833336</v>
      </c>
      <c r="AD20" s="39">
        <f t="shared" si="12"/>
        <v>-0.43865449062500006</v>
      </c>
      <c r="AE20" s="39">
        <v>-5.42</v>
      </c>
      <c r="AF20" s="39">
        <v>-6.907</v>
      </c>
      <c r="AG20" s="39">
        <v>0</v>
      </c>
    </row>
    <row r="21" spans="1:33" ht="15.75" customHeight="1" x14ac:dyDescent="0.2">
      <c r="A21" s="28" t="s">
        <v>59</v>
      </c>
      <c r="B21" s="28" t="s">
        <v>197</v>
      </c>
      <c r="C21" s="15">
        <f t="shared" si="4"/>
        <v>21.95</v>
      </c>
      <c r="D21" s="29">
        <v>3</v>
      </c>
      <c r="E21" s="29">
        <v>0</v>
      </c>
      <c r="F21" s="32">
        <v>65.849999999999994</v>
      </c>
      <c r="G21" s="30">
        <v>0</v>
      </c>
      <c r="H21" s="31">
        <f t="shared" si="1"/>
        <v>0</v>
      </c>
      <c r="I21" s="31">
        <f t="shared" si="2"/>
        <v>0.27841333734339402</v>
      </c>
      <c r="J21" s="32">
        <f t="shared" si="5"/>
        <v>18.333518264062494</v>
      </c>
      <c r="K21" s="32">
        <f t="shared" si="3"/>
        <v>6.1111727546874981</v>
      </c>
      <c r="L21" s="29">
        <v>2</v>
      </c>
      <c r="M21" s="33">
        <f t="shared" si="6"/>
        <v>1.5</v>
      </c>
      <c r="N21" s="29">
        <v>79</v>
      </c>
      <c r="O21" s="34">
        <f t="shared" ref="O21:P21" si="29">D21/7</f>
        <v>0.42857142857142855</v>
      </c>
      <c r="P21" s="34">
        <f t="shared" si="29"/>
        <v>0</v>
      </c>
      <c r="Q21" s="29">
        <f t="shared" si="8"/>
        <v>184</v>
      </c>
      <c r="R21" s="29"/>
      <c r="S21" s="35">
        <v>1.6434108527131699</v>
      </c>
      <c r="T21" s="28">
        <v>408</v>
      </c>
      <c r="U21" s="36">
        <v>204</v>
      </c>
      <c r="V21" s="37" t="s">
        <v>198</v>
      </c>
      <c r="W21" s="28">
        <v>0</v>
      </c>
      <c r="X21" s="38">
        <f t="shared" si="9"/>
        <v>0</v>
      </c>
      <c r="Y21" s="39">
        <f t="shared" si="10"/>
        <v>0</v>
      </c>
      <c r="Z21" s="28">
        <v>0</v>
      </c>
      <c r="AA21" s="28" t="s">
        <v>34</v>
      </c>
      <c r="AB21" s="40">
        <f t="shared" si="11"/>
        <v>-0.69</v>
      </c>
      <c r="AC21" s="41">
        <v>0.15893278645833336</v>
      </c>
      <c r="AD21" s="39">
        <f t="shared" si="12"/>
        <v>-0.65798173593750009</v>
      </c>
      <c r="AE21" s="39">
        <v>-5.42</v>
      </c>
      <c r="AF21" s="39">
        <v>-6.907</v>
      </c>
      <c r="AG21" s="39">
        <v>0</v>
      </c>
    </row>
    <row r="22" spans="1:33" ht="15.75" customHeight="1" x14ac:dyDescent="0.2">
      <c r="A22" s="28" t="s">
        <v>60</v>
      </c>
      <c r="B22" s="28" t="s">
        <v>47</v>
      </c>
      <c r="C22" s="15">
        <f t="shared" si="4"/>
        <v>21.311250000000001</v>
      </c>
      <c r="D22" s="29">
        <v>8</v>
      </c>
      <c r="E22" s="29">
        <v>0</v>
      </c>
      <c r="F22" s="30">
        <v>170.49</v>
      </c>
      <c r="G22" s="30">
        <v>-0.06</v>
      </c>
      <c r="H22" s="31">
        <f t="shared" si="1"/>
        <v>3.51926799225761E-4</v>
      </c>
      <c r="I22" s="31">
        <f t="shared" si="2"/>
        <v>0.26092956793653593</v>
      </c>
      <c r="J22" s="32">
        <f t="shared" si="5"/>
        <v>44.485882037500012</v>
      </c>
      <c r="K22" s="32">
        <f t="shared" si="3"/>
        <v>5.5607352546875015</v>
      </c>
      <c r="L22" s="29">
        <v>18</v>
      </c>
      <c r="M22" s="33">
        <f t="shared" si="6"/>
        <v>0.44444444444444442</v>
      </c>
      <c r="N22" s="29">
        <v>73</v>
      </c>
      <c r="O22" s="34">
        <f t="shared" ref="O22:P22" si="30">D22/7</f>
        <v>1.1428571428571428</v>
      </c>
      <c r="P22" s="34">
        <f t="shared" si="30"/>
        <v>0</v>
      </c>
      <c r="Q22" s="29">
        <f t="shared" si="8"/>
        <v>63</v>
      </c>
      <c r="R22" s="29"/>
      <c r="S22" s="35">
        <v>1.7023809523809501</v>
      </c>
      <c r="T22" s="28">
        <v>408</v>
      </c>
      <c r="U22" s="36">
        <v>204</v>
      </c>
      <c r="V22" s="37" t="s">
        <v>198</v>
      </c>
      <c r="W22" s="28">
        <v>0</v>
      </c>
      <c r="X22" s="38">
        <f t="shared" si="9"/>
        <v>0</v>
      </c>
      <c r="Y22" s="39">
        <f t="shared" si="10"/>
        <v>0</v>
      </c>
      <c r="Z22" s="28">
        <v>0</v>
      </c>
      <c r="AA22" s="28" t="s">
        <v>34</v>
      </c>
      <c r="AB22" s="40">
        <f t="shared" si="11"/>
        <v>-0.69</v>
      </c>
      <c r="AC22" s="41">
        <v>0.15893278645833336</v>
      </c>
      <c r="AD22" s="39">
        <f t="shared" si="12"/>
        <v>-1.7546179625000002</v>
      </c>
      <c r="AE22" s="39">
        <v>-5.42</v>
      </c>
      <c r="AF22" s="39">
        <v>-6.907</v>
      </c>
      <c r="AG22" s="39">
        <v>0</v>
      </c>
    </row>
    <row r="23" spans="1:33" ht="15.75" customHeight="1" x14ac:dyDescent="0.2">
      <c r="A23" s="28" t="s">
        <v>62</v>
      </c>
      <c r="B23" s="28" t="s">
        <v>47</v>
      </c>
      <c r="C23" s="15">
        <f t="shared" si="4"/>
        <v>20.99</v>
      </c>
      <c r="D23" s="29">
        <v>7</v>
      </c>
      <c r="E23" s="29">
        <v>0</v>
      </c>
      <c r="F23" s="32">
        <v>146.92999999999998</v>
      </c>
      <c r="G23" s="30">
        <v>-9.0000000000000011E-2</v>
      </c>
      <c r="H23" s="31">
        <f t="shared" si="1"/>
        <v>6.1253658204587233E-4</v>
      </c>
      <c r="I23" s="31">
        <f t="shared" si="2"/>
        <v>0.25165867612340892</v>
      </c>
      <c r="J23" s="32">
        <f t="shared" si="5"/>
        <v>36.976209282812469</v>
      </c>
      <c r="K23" s="32">
        <f t="shared" si="3"/>
        <v>5.2823156118303531</v>
      </c>
      <c r="L23" s="29">
        <v>16</v>
      </c>
      <c r="M23" s="33">
        <f t="shared" si="6"/>
        <v>0.4375</v>
      </c>
      <c r="N23" s="29">
        <v>56</v>
      </c>
      <c r="O23" s="34">
        <f t="shared" ref="O23:P23" si="31">D23/7</f>
        <v>1</v>
      </c>
      <c r="P23" s="34">
        <f t="shared" si="31"/>
        <v>0</v>
      </c>
      <c r="Q23" s="29">
        <f t="shared" si="8"/>
        <v>56</v>
      </c>
      <c r="R23" s="29"/>
      <c r="S23" s="35">
        <v>2.1402214022140198</v>
      </c>
      <c r="T23" s="28">
        <v>408</v>
      </c>
      <c r="U23" s="36">
        <v>204</v>
      </c>
      <c r="V23" s="37" t="s">
        <v>198</v>
      </c>
      <c r="W23" s="28">
        <v>0</v>
      </c>
      <c r="X23" s="38">
        <f t="shared" si="9"/>
        <v>0</v>
      </c>
      <c r="Y23" s="39">
        <f t="shared" si="10"/>
        <v>0</v>
      </c>
      <c r="Z23" s="28">
        <v>0</v>
      </c>
      <c r="AA23" s="28" t="s">
        <v>34</v>
      </c>
      <c r="AB23" s="40">
        <f t="shared" si="11"/>
        <v>-0.69</v>
      </c>
      <c r="AC23" s="41">
        <v>0.15893278645833336</v>
      </c>
      <c r="AD23" s="39">
        <f t="shared" si="12"/>
        <v>-1.5352907171875003</v>
      </c>
      <c r="AE23" s="39">
        <v>-5.42</v>
      </c>
      <c r="AF23" s="39">
        <v>-6.907</v>
      </c>
      <c r="AG23" s="39">
        <v>0</v>
      </c>
    </row>
    <row r="24" spans="1:33" ht="15.75" customHeight="1" x14ac:dyDescent="0.2">
      <c r="A24" s="28" t="s">
        <v>64</v>
      </c>
      <c r="B24" s="28" t="s">
        <v>199</v>
      </c>
      <c r="C24" s="15">
        <f t="shared" si="4"/>
        <v>20.99</v>
      </c>
      <c r="D24" s="29">
        <v>8</v>
      </c>
      <c r="E24" s="29">
        <v>0</v>
      </c>
      <c r="F24" s="32">
        <v>167.92</v>
      </c>
      <c r="G24" s="32">
        <v>-7.0000000000000007E-2</v>
      </c>
      <c r="H24" s="31">
        <f t="shared" si="1"/>
        <v>4.1686517389232978E-4</v>
      </c>
      <c r="I24" s="31">
        <f t="shared" si="2"/>
        <v>0.25185434753156272</v>
      </c>
      <c r="J24" s="32">
        <f t="shared" si="5"/>
        <v>42.291382037500007</v>
      </c>
      <c r="K24" s="32">
        <f t="shared" si="3"/>
        <v>5.2864227546875009</v>
      </c>
      <c r="L24" s="29">
        <v>24</v>
      </c>
      <c r="M24" s="33">
        <f t="shared" si="6"/>
        <v>0.33333333333333331</v>
      </c>
      <c r="N24" s="29">
        <v>55</v>
      </c>
      <c r="O24" s="34">
        <f t="shared" ref="O24:P24" si="32">D24/7</f>
        <v>1.1428571428571428</v>
      </c>
      <c r="P24" s="34">
        <f t="shared" si="32"/>
        <v>0</v>
      </c>
      <c r="Q24" s="29">
        <f t="shared" si="8"/>
        <v>48</v>
      </c>
      <c r="R24" s="29"/>
      <c r="S24" s="35">
        <v>2.1992031872509901</v>
      </c>
      <c r="T24" s="28">
        <v>408</v>
      </c>
      <c r="U24" s="36">
        <v>204</v>
      </c>
      <c r="V24" s="37" t="s">
        <v>200</v>
      </c>
      <c r="W24" s="28">
        <v>0</v>
      </c>
      <c r="X24" s="38">
        <f t="shared" si="9"/>
        <v>0</v>
      </c>
      <c r="Y24" s="39">
        <f t="shared" si="10"/>
        <v>0</v>
      </c>
      <c r="Z24" s="28">
        <v>0</v>
      </c>
      <c r="AA24" s="28" t="s">
        <v>34</v>
      </c>
      <c r="AB24" s="40">
        <f t="shared" si="11"/>
        <v>-0.69</v>
      </c>
      <c r="AC24" s="41">
        <v>0.15893278645833336</v>
      </c>
      <c r="AD24" s="39">
        <f t="shared" si="12"/>
        <v>-1.7546179625000002</v>
      </c>
      <c r="AE24" s="39">
        <v>-5.42</v>
      </c>
      <c r="AF24" s="39">
        <v>-6.907</v>
      </c>
      <c r="AG24" s="39">
        <v>0</v>
      </c>
    </row>
    <row r="25" spans="1:33" ht="15.75" customHeight="1" x14ac:dyDescent="0.2">
      <c r="A25" s="28" t="s">
        <v>65</v>
      </c>
      <c r="B25" s="14" t="s">
        <v>47</v>
      </c>
      <c r="C25" s="15">
        <f t="shared" si="4"/>
        <v>21.09</v>
      </c>
      <c r="D25" s="29">
        <v>12</v>
      </c>
      <c r="E25" s="29">
        <v>0</v>
      </c>
      <c r="F25" s="32">
        <v>253.08</v>
      </c>
      <c r="G25" s="32">
        <v>-0.02</v>
      </c>
      <c r="H25" s="31">
        <f t="shared" si="1"/>
        <v>7.9026394815868501E-5</v>
      </c>
      <c r="I25" s="31">
        <f t="shared" si="2"/>
        <v>0.25488411986822346</v>
      </c>
      <c r="J25" s="32">
        <f t="shared" si="5"/>
        <v>64.506073056250003</v>
      </c>
      <c r="K25" s="32">
        <f t="shared" si="3"/>
        <v>5.3755060880208339</v>
      </c>
      <c r="L25" s="29">
        <v>17</v>
      </c>
      <c r="M25" s="33">
        <f t="shared" si="6"/>
        <v>0.70588235294117652</v>
      </c>
      <c r="N25" s="29">
        <v>46</v>
      </c>
      <c r="O25" s="34">
        <f t="shared" ref="O25:P25" si="33">D25/7</f>
        <v>1.7142857142857142</v>
      </c>
      <c r="P25" s="34">
        <f t="shared" si="33"/>
        <v>0</v>
      </c>
      <c r="Q25" s="29">
        <f t="shared" si="8"/>
        <v>26</v>
      </c>
      <c r="R25" s="29"/>
      <c r="S25" s="35">
        <v>1.794520547945206</v>
      </c>
      <c r="T25" s="28">
        <v>510</v>
      </c>
      <c r="U25" s="36">
        <v>204</v>
      </c>
      <c r="V25" s="37" t="s">
        <v>201</v>
      </c>
      <c r="W25" s="14">
        <v>0</v>
      </c>
      <c r="X25" s="38">
        <f t="shared" si="9"/>
        <v>0</v>
      </c>
      <c r="Y25" s="39">
        <f t="shared" si="10"/>
        <v>0</v>
      </c>
      <c r="Z25" s="14">
        <v>0</v>
      </c>
      <c r="AA25" s="28" t="s">
        <v>34</v>
      </c>
      <c r="AB25" s="40">
        <f t="shared" si="11"/>
        <v>-0.69</v>
      </c>
      <c r="AC25" s="41">
        <v>0.15893278645833336</v>
      </c>
      <c r="AD25" s="39">
        <f t="shared" si="12"/>
        <v>-2.6319269437500004</v>
      </c>
      <c r="AE25" s="39">
        <v>-5.42</v>
      </c>
      <c r="AF25" s="39">
        <v>-6.91</v>
      </c>
      <c r="AG25" s="39">
        <v>0</v>
      </c>
    </row>
    <row r="26" spans="1:33" ht="15.75" customHeight="1" x14ac:dyDescent="0.2">
      <c r="A26" s="14" t="s">
        <v>67</v>
      </c>
      <c r="B26" s="14" t="s">
        <v>47</v>
      </c>
      <c r="C26" s="15">
        <f t="shared" si="4"/>
        <v>21.04</v>
      </c>
      <c r="D26" s="16">
        <v>8</v>
      </c>
      <c r="E26" s="16">
        <v>0</v>
      </c>
      <c r="F26" s="17">
        <v>168.32</v>
      </c>
      <c r="G26" s="17">
        <v>-0.08</v>
      </c>
      <c r="H26" s="31">
        <f t="shared" si="1"/>
        <v>4.7528517110266165E-4</v>
      </c>
      <c r="I26" s="31">
        <f t="shared" si="2"/>
        <v>0.23976581533685834</v>
      </c>
      <c r="J26" s="32">
        <f t="shared" si="5"/>
        <v>40.357382037499995</v>
      </c>
      <c r="K26" s="32">
        <f t="shared" si="3"/>
        <v>5.0446727546874994</v>
      </c>
      <c r="L26" s="16">
        <v>19</v>
      </c>
      <c r="M26" s="33">
        <f t="shared" si="6"/>
        <v>0.42105263157894735</v>
      </c>
      <c r="N26" s="16">
        <v>38</v>
      </c>
      <c r="O26" s="34">
        <f t="shared" ref="O26:P26" si="34">D26/7</f>
        <v>1.1428571428571428</v>
      </c>
      <c r="P26" s="34">
        <f t="shared" si="34"/>
        <v>0</v>
      </c>
      <c r="Q26" s="29">
        <f t="shared" si="8"/>
        <v>33</v>
      </c>
      <c r="R26" s="29"/>
      <c r="S26" s="21">
        <v>1.9851851851851849</v>
      </c>
      <c r="T26" s="28">
        <v>306</v>
      </c>
      <c r="U26" s="36" t="s">
        <v>33</v>
      </c>
      <c r="V26" s="37" t="s">
        <v>33</v>
      </c>
      <c r="W26" s="14">
        <v>1</v>
      </c>
      <c r="X26" s="38">
        <f t="shared" si="9"/>
        <v>0.125</v>
      </c>
      <c r="Y26" s="39">
        <f t="shared" si="10"/>
        <v>0.08</v>
      </c>
      <c r="Z26" s="14">
        <v>0</v>
      </c>
      <c r="AA26" s="28" t="s">
        <v>34</v>
      </c>
      <c r="AB26" s="40">
        <f t="shared" si="11"/>
        <v>-0.69</v>
      </c>
      <c r="AC26" s="41">
        <v>0.15893278645833336</v>
      </c>
      <c r="AD26" s="39">
        <f t="shared" si="12"/>
        <v>-1.7546179625000002</v>
      </c>
      <c r="AE26" s="25">
        <v>-5.68</v>
      </c>
      <c r="AF26" s="25">
        <v>-6.93</v>
      </c>
      <c r="AG26" s="25">
        <v>0</v>
      </c>
    </row>
    <row r="27" spans="1:33" ht="15.75" customHeight="1" x14ac:dyDescent="0.2">
      <c r="A27" s="14" t="s">
        <v>69</v>
      </c>
      <c r="B27" s="14" t="s">
        <v>202</v>
      </c>
      <c r="C27" s="15">
        <f t="shared" si="4"/>
        <v>20.990000000000002</v>
      </c>
      <c r="D27" s="16">
        <v>7</v>
      </c>
      <c r="E27" s="16">
        <v>0</v>
      </c>
      <c r="F27" s="17">
        <v>146.93</v>
      </c>
      <c r="G27" s="17">
        <v>-0.22</v>
      </c>
      <c r="H27" s="31">
        <f t="shared" si="1"/>
        <v>1.4973116450010208E-3</v>
      </c>
      <c r="I27" s="31">
        <f t="shared" si="2"/>
        <v>0.20995682077916922</v>
      </c>
      <c r="J27" s="32">
        <f t="shared" si="5"/>
        <v>30.848955677083335</v>
      </c>
      <c r="K27" s="32">
        <f t="shared" si="3"/>
        <v>4.4069936681547626</v>
      </c>
      <c r="L27" s="16">
        <v>14</v>
      </c>
      <c r="M27" s="33">
        <f t="shared" si="6"/>
        <v>0.5</v>
      </c>
      <c r="N27" s="16">
        <v>235</v>
      </c>
      <c r="O27" s="34">
        <f t="shared" ref="O27:P27" si="35">D27/7</f>
        <v>1</v>
      </c>
      <c r="P27" s="34">
        <f t="shared" si="35"/>
        <v>0</v>
      </c>
      <c r="Q27" s="29">
        <f t="shared" si="8"/>
        <v>235</v>
      </c>
      <c r="R27" s="29"/>
      <c r="S27" s="21">
        <v>1.295336787564767</v>
      </c>
      <c r="T27" s="28">
        <v>306</v>
      </c>
      <c r="U27" s="36" t="s">
        <v>33</v>
      </c>
      <c r="V27" s="37" t="s">
        <v>33</v>
      </c>
      <c r="W27" s="14">
        <v>0</v>
      </c>
      <c r="X27" s="38">
        <f t="shared" si="9"/>
        <v>0</v>
      </c>
      <c r="Y27" s="39">
        <f t="shared" si="10"/>
        <v>0</v>
      </c>
      <c r="Z27" s="14">
        <v>0</v>
      </c>
      <c r="AA27" s="28" t="s">
        <v>34</v>
      </c>
      <c r="AB27" s="40">
        <f t="shared" si="11"/>
        <v>-0.69</v>
      </c>
      <c r="AC27" s="41">
        <v>0.1714331597222222</v>
      </c>
      <c r="AD27" s="39">
        <f t="shared" si="12"/>
        <v>-1.6560443229166664</v>
      </c>
      <c r="AE27" s="25">
        <v>-5.68</v>
      </c>
      <c r="AF27" s="25">
        <v>-7.4865000000000004</v>
      </c>
      <c r="AG27" s="25">
        <v>0</v>
      </c>
    </row>
    <row r="28" spans="1:33" ht="15.75" customHeight="1" x14ac:dyDescent="0.2">
      <c r="A28" s="14" t="s">
        <v>71</v>
      </c>
      <c r="B28" s="14" t="s">
        <v>47</v>
      </c>
      <c r="C28" s="15">
        <f t="shared" si="4"/>
        <v>20.885384615384616</v>
      </c>
      <c r="D28" s="16">
        <v>13</v>
      </c>
      <c r="E28" s="16">
        <v>0</v>
      </c>
      <c r="F28" s="17">
        <v>271.51</v>
      </c>
      <c r="G28" s="17">
        <v>-0.08</v>
      </c>
      <c r="H28" s="31">
        <f t="shared" si="1"/>
        <v>2.9464844757099188E-4</v>
      </c>
      <c r="I28" s="31">
        <f t="shared" si="2"/>
        <v>0.20796099265066956</v>
      </c>
      <c r="J28" s="32">
        <f t="shared" si="5"/>
        <v>56.46348911458329</v>
      </c>
      <c r="K28" s="32">
        <f t="shared" si="3"/>
        <v>4.3433453165064071</v>
      </c>
      <c r="L28" s="16">
        <v>11</v>
      </c>
      <c r="M28" s="33">
        <f t="shared" si="6"/>
        <v>1.1818181818181819</v>
      </c>
      <c r="N28" s="16">
        <v>222</v>
      </c>
      <c r="O28" s="34">
        <f t="shared" ref="O28:P28" si="36">D28/7</f>
        <v>1.8571428571428572</v>
      </c>
      <c r="P28" s="34">
        <f t="shared" si="36"/>
        <v>0</v>
      </c>
      <c r="Q28" s="29">
        <f t="shared" si="8"/>
        <v>119</v>
      </c>
      <c r="R28" s="29"/>
      <c r="S28" s="21">
        <v>1.4515235457063711</v>
      </c>
      <c r="T28" s="28">
        <v>306</v>
      </c>
      <c r="U28" s="36" t="s">
        <v>33</v>
      </c>
      <c r="V28" s="37" t="s">
        <v>33</v>
      </c>
      <c r="W28" s="14">
        <v>0</v>
      </c>
      <c r="X28" s="38">
        <f t="shared" si="9"/>
        <v>0</v>
      </c>
      <c r="Y28" s="39">
        <f t="shared" si="10"/>
        <v>0</v>
      </c>
      <c r="Z28" s="14">
        <v>0</v>
      </c>
      <c r="AA28" s="28" t="s">
        <v>34</v>
      </c>
      <c r="AB28" s="40">
        <f t="shared" si="11"/>
        <v>-0.69</v>
      </c>
      <c r="AC28" s="41">
        <v>0.1714331597222222</v>
      </c>
      <c r="AD28" s="39">
        <f t="shared" si="12"/>
        <v>-3.0755108854166662</v>
      </c>
      <c r="AE28" s="25">
        <v>-5.68</v>
      </c>
      <c r="AF28" s="25">
        <v>-7.4865000000000004</v>
      </c>
      <c r="AG28" s="25">
        <v>0</v>
      </c>
    </row>
    <row r="29" spans="1:33" ht="15.75" customHeight="1" x14ac:dyDescent="0.2">
      <c r="A29" s="28" t="s">
        <v>72</v>
      </c>
      <c r="B29" s="28" t="s">
        <v>47</v>
      </c>
      <c r="C29" s="15">
        <f t="shared" si="4"/>
        <v>20.028749999999999</v>
      </c>
      <c r="D29" s="29">
        <v>8</v>
      </c>
      <c r="E29" s="29">
        <v>0</v>
      </c>
      <c r="F29" s="32">
        <v>160.22999999999999</v>
      </c>
      <c r="G29" s="32">
        <v>0</v>
      </c>
      <c r="H29" s="31">
        <f t="shared" si="1"/>
        <v>0</v>
      </c>
      <c r="I29" s="31">
        <f t="shared" si="2"/>
        <v>0.18080807537082105</v>
      </c>
      <c r="J29" s="32">
        <f t="shared" si="5"/>
        <v>28.970877916666655</v>
      </c>
      <c r="K29" s="32">
        <f t="shared" si="3"/>
        <v>3.6213597395833319</v>
      </c>
      <c r="L29" s="29">
        <v>20</v>
      </c>
      <c r="M29" s="33">
        <f t="shared" si="6"/>
        <v>0.4</v>
      </c>
      <c r="N29" s="16">
        <v>204</v>
      </c>
      <c r="O29" s="34">
        <f t="shared" ref="O29:P29" si="37">D29/7</f>
        <v>1.1428571428571428</v>
      </c>
      <c r="P29" s="34">
        <f t="shared" si="37"/>
        <v>0</v>
      </c>
      <c r="Q29" s="29">
        <f t="shared" si="8"/>
        <v>178</v>
      </c>
      <c r="R29" s="29"/>
      <c r="S29" s="21">
        <v>1.29126213592233</v>
      </c>
      <c r="T29" s="28">
        <v>306</v>
      </c>
      <c r="U29" s="36" t="s">
        <v>33</v>
      </c>
      <c r="V29" s="37" t="s">
        <v>33</v>
      </c>
      <c r="W29" s="14">
        <v>0</v>
      </c>
      <c r="X29" s="38">
        <f t="shared" si="9"/>
        <v>0</v>
      </c>
      <c r="Y29" s="39">
        <f t="shared" si="10"/>
        <v>0</v>
      </c>
      <c r="Z29" s="14">
        <v>0</v>
      </c>
      <c r="AA29" s="28" t="s">
        <v>34</v>
      </c>
      <c r="AB29" s="40">
        <f t="shared" si="11"/>
        <v>-0.69</v>
      </c>
      <c r="AC29" s="41">
        <v>0.1714331597222222</v>
      </c>
      <c r="AD29" s="39">
        <f t="shared" si="12"/>
        <v>-1.8926220833333329</v>
      </c>
      <c r="AE29" s="39">
        <v>-5.68</v>
      </c>
      <c r="AF29" s="25">
        <v>-7.4865000000000004</v>
      </c>
      <c r="AG29" s="39">
        <v>0</v>
      </c>
    </row>
    <row r="30" spans="1:33" ht="15.75" customHeight="1" x14ac:dyDescent="0.2">
      <c r="A30" s="14" t="s">
        <v>74</v>
      </c>
      <c r="B30" s="14" t="s">
        <v>203</v>
      </c>
      <c r="C30" s="15">
        <f t="shared" si="4"/>
        <v>20.020875000000007</v>
      </c>
      <c r="D30" s="16">
        <v>80</v>
      </c>
      <c r="E30" s="16">
        <v>0</v>
      </c>
      <c r="F30" s="17">
        <v>1601.6700000000005</v>
      </c>
      <c r="G30" s="17">
        <v>0</v>
      </c>
      <c r="H30" s="31">
        <f t="shared" si="1"/>
        <v>0</v>
      </c>
      <c r="I30" s="31">
        <f t="shared" si="2"/>
        <v>0.18333127211389799</v>
      </c>
      <c r="J30" s="32">
        <f t="shared" si="5"/>
        <v>293.63619860666711</v>
      </c>
      <c r="K30" s="32">
        <f t="shared" si="3"/>
        <v>3.6704524825833387</v>
      </c>
      <c r="L30" s="16">
        <v>22</v>
      </c>
      <c r="M30" s="33">
        <f t="shared" si="6"/>
        <v>3.6363636363636362</v>
      </c>
      <c r="N30" s="16">
        <v>136</v>
      </c>
      <c r="O30" s="34">
        <f t="shared" ref="O30:P30" si="38">D30/7</f>
        <v>11.428571428571429</v>
      </c>
      <c r="P30" s="34">
        <f t="shared" si="38"/>
        <v>0</v>
      </c>
      <c r="Q30" s="29">
        <f t="shared" si="8"/>
        <v>11</v>
      </c>
      <c r="R30" s="29"/>
      <c r="S30" s="21">
        <v>1.532994923857868</v>
      </c>
      <c r="T30" s="28">
        <v>306</v>
      </c>
      <c r="U30" s="36" t="s">
        <v>33</v>
      </c>
      <c r="V30" s="37" t="s">
        <v>33</v>
      </c>
      <c r="W30" s="14">
        <v>0</v>
      </c>
      <c r="X30" s="38">
        <f t="shared" si="9"/>
        <v>0</v>
      </c>
      <c r="Y30" s="39">
        <f t="shared" si="10"/>
        <v>0</v>
      </c>
      <c r="Z30" s="14">
        <v>0</v>
      </c>
      <c r="AA30" s="28" t="s">
        <v>34</v>
      </c>
      <c r="AB30" s="40">
        <f t="shared" si="11"/>
        <v>-0.69</v>
      </c>
      <c r="AC30" s="41">
        <v>0.1714331597222222</v>
      </c>
      <c r="AD30" s="39">
        <f t="shared" si="12"/>
        <v>-18.926220833333328</v>
      </c>
      <c r="AE30" s="25">
        <v>-5.68</v>
      </c>
      <c r="AF30" s="25">
        <v>-7.4307135070000001</v>
      </c>
      <c r="AG30" s="25">
        <v>0</v>
      </c>
    </row>
    <row r="31" spans="1:33" ht="15.75" customHeight="1" x14ac:dyDescent="0.2">
      <c r="A31" s="14" t="s">
        <v>75</v>
      </c>
      <c r="B31" s="48" t="s">
        <v>47</v>
      </c>
      <c r="C31" s="15">
        <f t="shared" si="4"/>
        <v>20.505555555555564</v>
      </c>
      <c r="D31" s="16">
        <v>18</v>
      </c>
      <c r="E31" s="16">
        <v>1</v>
      </c>
      <c r="F31" s="17">
        <v>369.10000000000014</v>
      </c>
      <c r="G31" s="42">
        <v>0</v>
      </c>
      <c r="H31" s="31">
        <f t="shared" si="1"/>
        <v>0</v>
      </c>
      <c r="I31" s="31">
        <f t="shared" si="2"/>
        <v>0.19908901974126283</v>
      </c>
      <c r="J31" s="32">
        <f t="shared" si="5"/>
        <v>73.483757186500142</v>
      </c>
      <c r="K31" s="32">
        <f t="shared" si="3"/>
        <v>4.0824309548055631</v>
      </c>
      <c r="L31" s="16">
        <v>39</v>
      </c>
      <c r="M31" s="33">
        <f t="shared" si="6"/>
        <v>0.46153846153846156</v>
      </c>
      <c r="N31" s="16">
        <v>117</v>
      </c>
      <c r="O31" s="34">
        <f t="shared" ref="O31:P32" si="39">D31/7</f>
        <v>2.5714285714285716</v>
      </c>
      <c r="P31" s="34">
        <f t="shared" si="39"/>
        <v>0.14285714285714285</v>
      </c>
      <c r="Q31" s="29">
        <f t="shared" si="8"/>
        <v>43</v>
      </c>
      <c r="R31" s="29"/>
      <c r="S31" s="21">
        <v>2.8333333333333299</v>
      </c>
      <c r="T31" s="14">
        <v>204</v>
      </c>
      <c r="U31" s="22" t="s">
        <v>33</v>
      </c>
      <c r="V31" s="1" t="s">
        <v>965</v>
      </c>
      <c r="W31" s="14">
        <v>0</v>
      </c>
      <c r="X31" s="38">
        <f t="shared" si="9"/>
        <v>0</v>
      </c>
      <c r="Y31" s="39">
        <f t="shared" si="10"/>
        <v>0</v>
      </c>
      <c r="Z31" s="14">
        <v>0</v>
      </c>
      <c r="AA31" s="14" t="s">
        <v>34</v>
      </c>
      <c r="AB31" s="40">
        <f t="shared" si="11"/>
        <v>-0.69</v>
      </c>
      <c r="AC31" s="27">
        <v>0.1714331597222222</v>
      </c>
      <c r="AD31" s="39">
        <f t="shared" si="12"/>
        <v>-4.258399687499999</v>
      </c>
      <c r="AE31" s="43">
        <v>-5.68</v>
      </c>
      <c r="AF31" s="43">
        <v>-7.4307135069999992</v>
      </c>
      <c r="AG31" s="25">
        <v>0</v>
      </c>
    </row>
    <row r="32" spans="1:33" s="51" customFormat="1" ht="15.75" customHeight="1" x14ac:dyDescent="0.2">
      <c r="A32" s="51" t="s">
        <v>934</v>
      </c>
      <c r="C32" s="15">
        <f t="shared" si="4"/>
        <v>20.149374999999999</v>
      </c>
      <c r="D32" s="52">
        <v>16</v>
      </c>
      <c r="E32" s="52">
        <v>0</v>
      </c>
      <c r="F32" s="53">
        <v>322.39</v>
      </c>
      <c r="G32" s="53">
        <v>-0.08</v>
      </c>
      <c r="H32" s="31">
        <f t="shared" si="1"/>
        <v>2.4814665467291173E-4</v>
      </c>
      <c r="I32" s="31">
        <f t="shared" si="2"/>
        <v>0.18733471795444445</v>
      </c>
      <c r="J32" s="32">
        <f t="shared" si="5"/>
        <v>60.394839721333348</v>
      </c>
      <c r="K32" s="32">
        <f t="shared" si="3"/>
        <v>3.7746774825833342</v>
      </c>
      <c r="L32" s="52">
        <v>31</v>
      </c>
      <c r="M32" s="33">
        <f t="shared" si="6"/>
        <v>0.5161290322580645</v>
      </c>
      <c r="N32" s="52">
        <v>101</v>
      </c>
      <c r="O32" s="34">
        <f t="shared" si="39"/>
        <v>2.2857142857142856</v>
      </c>
      <c r="P32" s="34">
        <f t="shared" si="39"/>
        <v>0</v>
      </c>
      <c r="Q32" s="29">
        <f t="shared" si="8"/>
        <v>44</v>
      </c>
      <c r="R32" s="29" t="str">
        <f ca="1">IFERROR(VLOOKUP($B$2,IMPORTRANGE("https://docs.google.com/spreadsheets/d/1KiWZV1ko8G7lnRucBRBd29jj3Be6ltMfljMDqzOkQmI/edit#gid=1381463014","Lookup!A:F"),6,FALSE),"")</f>
        <v/>
      </c>
      <c r="S32" s="54">
        <v>1.842364532019704</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0.1714331597222222</v>
      </c>
      <c r="AD32" s="39">
        <f t="shared" si="12"/>
        <v>-3.7852441666666659</v>
      </c>
      <c r="AE32" s="58">
        <v>-5.68</v>
      </c>
      <c r="AF32" s="58">
        <v>-7.4307135070000001</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6640625" customWidth="1"/>
    <col min="16" max="16" width="11.5" customWidth="1"/>
    <col min="17" max="17" width="8.5" customWidth="1"/>
    <col min="18" max="18" width="8.5" style="48" customWidth="1"/>
    <col min="19" max="19" width="8.33203125" customWidth="1"/>
    <col min="20" max="20" width="12.83203125" customWidth="1"/>
    <col min="21" max="21" width="21.6640625" customWidth="1"/>
    <col min="22" max="22" width="65.6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Info!B1:BJ5000""),3,FALSE),"""")"),"4 Prong Dryer Cord - 10 Ft Electric Dryer Power Plug, 10 Gauge, 30 Amp, 14-30R, Black")</f>
        <v>4 Prong Dryer Cord - 10 Ft Electric Dryer Power Plug, 10 Gauge, 30 Amp, 14-30R,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Info!B1:BJ5000""),2,FALSE),"""")"),"B089DPYSNV")</f>
        <v>B089DPYSNV</v>
      </c>
      <c r="B2" s="3" t="s">
        <v>204</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57.75" customHeight="1" x14ac:dyDescent="0.2">
      <c r="A3" s="76" t="s">
        <v>30</v>
      </c>
      <c r="B3" s="77"/>
      <c r="C3" s="47">
        <f>((AE32+AF32)/0.85)*-1</f>
        <v>20.281951228705886</v>
      </c>
      <c r="D3" s="5">
        <f>SUM(D4:D99765)</f>
        <v>483</v>
      </c>
      <c r="E3" s="5"/>
      <c r="F3" s="6">
        <f t="shared" ref="F3:G3" si="0">SUM(F4:F99765)</f>
        <v>17926.89</v>
      </c>
      <c r="G3" s="6">
        <f t="shared" si="0"/>
        <v>-0.82</v>
      </c>
      <c r="H3" s="7">
        <f t="shared" ref="H3:H32" si="1">G3/F3*-1</f>
        <v>4.5741341638175948E-5</v>
      </c>
      <c r="I3" s="8">
        <f t="shared" ref="I3:I32" si="2">J3/F3</f>
        <v>0.44806569630318527</v>
      </c>
      <c r="J3" s="6">
        <f>SUM(J4:J99765)</f>
        <v>8032.4244504006083</v>
      </c>
      <c r="K3" s="6">
        <f t="shared" ref="K3:K32" si="3">J3/D3</f>
        <v>16.630278365218651</v>
      </c>
      <c r="L3" s="5"/>
      <c r="M3" s="9"/>
      <c r="N3" s="10"/>
      <c r="O3" s="5" t="str">
        <f ca="1">IFERROR(__xludf.DUMMYFUNCTION("IFERROR(VLOOKUP(B2,IMPORTRANGE(""https://docs.google.com/spreadsheets/d/1N8jvpEHDVkurDv7NrPxwI3eH6hQsvtb1QltGNCalRjU/edit#gid=865736387"",""Compiled Sheet!a1:g5000""),2,FALSE),"""")"),"5 - March
5 - April
5 - May
5 - June
5 - July
5 - Aug
5 - Sept
4 - Oct
4 - Nov
4 - Dec
4 - Jan
11 - Feb")</f>
        <v>5 - March
5 - April
5 - May
5 - June
5 - July
5 - Aug
5 - Sept
4 - Oct
4 - Nov
4 - Dec
4 - Jan
11 -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1</v>
      </c>
      <c r="X3" s="7">
        <f>W3/D3</f>
        <v>2.070393374741201E-3</v>
      </c>
      <c r="Y3" s="6"/>
      <c r="Z3" s="5"/>
      <c r="AA3" s="5"/>
      <c r="AB3" s="5"/>
      <c r="AC3" s="5"/>
      <c r="AD3" s="6">
        <f>SUM(AD4:AD99765)</f>
        <v>-117.74625615833332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Info!B2:BZ7000""),37,FALSE)),"""")*-1"),-11.2596585444)</f>
        <v>-11.259658544400001</v>
      </c>
      <c r="AG3" s="6">
        <f>SUM(AG4:AG99765)</f>
        <v>0</v>
      </c>
    </row>
    <row r="4" spans="1:33" ht="15.75" customHeight="1" x14ac:dyDescent="0.2">
      <c r="A4" s="14" t="s">
        <v>31</v>
      </c>
      <c r="B4" s="14" t="s">
        <v>205</v>
      </c>
      <c r="C4" s="15" t="str">
        <f t="shared" ref="C4:C32" si="4">IFERROR(F4/D4," - ")</f>
        <v xml:space="preserve"> - </v>
      </c>
      <c r="D4" s="16">
        <v>0</v>
      </c>
      <c r="E4" s="16">
        <v>0</v>
      </c>
      <c r="F4" s="17">
        <v>0</v>
      </c>
      <c r="G4" s="17">
        <v>0</v>
      </c>
      <c r="H4" s="18" t="e">
        <f t="shared" si="1"/>
        <v>#DIV/0!</v>
      </c>
      <c r="I4" s="18" t="e">
        <f t="shared" si="2"/>
        <v>#DIV/0!</v>
      </c>
      <c r="J4" s="17">
        <f t="shared" ref="J4:J32" si="5">F4*0.85+G4+AF4*D4+D4*AE4+AG4+AD4</f>
        <v>0</v>
      </c>
      <c r="K4" s="17" t="e">
        <f t="shared" si="3"/>
        <v>#DIV/0!</v>
      </c>
      <c r="L4" s="16">
        <v>0</v>
      </c>
      <c r="M4" s="19" t="str">
        <f t="shared" ref="M4:M32" si="6">IFERROR(D4/L4,"-")</f>
        <v>-</v>
      </c>
      <c r="N4" s="16">
        <v>1</v>
      </c>
      <c r="O4" s="20">
        <f t="shared" ref="O4:P4" si="7">D4/7</f>
        <v>0</v>
      </c>
      <c r="P4" s="20">
        <f t="shared" si="7"/>
        <v>0</v>
      </c>
      <c r="Q4" s="16" t="e">
        <f t="shared" ref="Q4:Q32" si="8">ROUNDDOWN(N4/(O4+P4),0)</f>
        <v>#DIV/0!</v>
      </c>
      <c r="R4" s="16"/>
      <c r="S4" s="21">
        <v>2.8900523560209401</v>
      </c>
      <c r="T4" s="14">
        <v>400</v>
      </c>
      <c r="U4" s="22">
        <v>280</v>
      </c>
      <c r="V4" s="23" t="s">
        <v>206</v>
      </c>
      <c r="W4" s="14">
        <v>0</v>
      </c>
      <c r="X4" s="24">
        <f t="shared" ref="X4:X32" si="9">IFERROR(W4/D4,0)</f>
        <v>0</v>
      </c>
      <c r="Y4" s="25">
        <f t="shared" ref="Y4:Y32" si="10">IFERROR(G4/(W4+Z4)*-1,0)</f>
        <v>0</v>
      </c>
      <c r="Z4" s="14">
        <v>0</v>
      </c>
      <c r="AA4" s="2" t="e">
        <v>#N/A</v>
      </c>
      <c r="AB4" s="26" t="e">
        <f t="shared" ref="AB4:AB32" si="11">IF(OR(AA4="UsLargeStandardSize",AA4="UsSmallStandardSize"),-0.69,-0.48)</f>
        <v>#N/A</v>
      </c>
      <c r="AC4" s="27" t="e">
        <v>#N/A</v>
      </c>
      <c r="AD4" s="25">
        <f t="shared" ref="AD4:AD32" si="12">IFERROR(AB4*AC4*D4*2,0)</f>
        <v>0</v>
      </c>
      <c r="AE4" s="25">
        <v>0</v>
      </c>
      <c r="AF4" s="25">
        <v>-7.83</v>
      </c>
      <c r="AG4" s="25">
        <v>0</v>
      </c>
    </row>
    <row r="5" spans="1:33" ht="15.75" customHeight="1" x14ac:dyDescent="0.2">
      <c r="A5" s="28" t="s">
        <v>35</v>
      </c>
      <c r="B5" s="28" t="s">
        <v>131</v>
      </c>
      <c r="C5" s="15">
        <f t="shared" si="4"/>
        <v>35.99</v>
      </c>
      <c r="D5" s="29">
        <v>1</v>
      </c>
      <c r="E5" s="29">
        <v>0</v>
      </c>
      <c r="F5" s="30">
        <v>35.99</v>
      </c>
      <c r="G5" s="30">
        <v>0</v>
      </c>
      <c r="H5" s="31">
        <f t="shared" si="1"/>
        <v>0</v>
      </c>
      <c r="I5" s="31">
        <f t="shared" si="2"/>
        <v>0.46683578771881068</v>
      </c>
      <c r="J5" s="32">
        <f t="shared" si="5"/>
        <v>16.801419999999997</v>
      </c>
      <c r="K5" s="32">
        <f t="shared" si="3"/>
        <v>16.801419999999997</v>
      </c>
      <c r="L5" s="29">
        <v>3</v>
      </c>
      <c r="M5" s="33">
        <f t="shared" si="6"/>
        <v>0.33333333333333331</v>
      </c>
      <c r="N5" s="29">
        <v>0</v>
      </c>
      <c r="O5" s="34">
        <f t="shared" ref="O5:P5" si="13">D5/7</f>
        <v>0.14285714285714285</v>
      </c>
      <c r="P5" s="34">
        <f t="shared" si="13"/>
        <v>0</v>
      </c>
      <c r="Q5" s="29">
        <f t="shared" si="8"/>
        <v>0</v>
      </c>
      <c r="R5" s="29"/>
      <c r="S5" s="35">
        <v>2.7887323943661899</v>
      </c>
      <c r="T5" s="28">
        <v>400</v>
      </c>
      <c r="U5" s="36">
        <v>280</v>
      </c>
      <c r="V5" s="37" t="s">
        <v>207</v>
      </c>
      <c r="W5" s="28">
        <v>0</v>
      </c>
      <c r="X5" s="38">
        <f t="shared" si="9"/>
        <v>0</v>
      </c>
      <c r="Y5" s="39">
        <f t="shared" si="10"/>
        <v>0</v>
      </c>
      <c r="Z5" s="28">
        <v>0</v>
      </c>
      <c r="AA5" s="28" t="s">
        <v>34</v>
      </c>
      <c r="AB5" s="40">
        <f t="shared" si="11"/>
        <v>-0.69</v>
      </c>
      <c r="AC5" s="41">
        <v>0.11600000000000001</v>
      </c>
      <c r="AD5" s="39">
        <f t="shared" si="12"/>
        <v>-0.16008</v>
      </c>
      <c r="AE5" s="39">
        <v>-5.8</v>
      </c>
      <c r="AF5" s="39">
        <v>-7.83</v>
      </c>
      <c r="AG5" s="39">
        <v>0</v>
      </c>
    </row>
    <row r="6" spans="1:33" ht="15.75" customHeight="1" x14ac:dyDescent="0.2">
      <c r="A6" s="28" t="s">
        <v>37</v>
      </c>
      <c r="B6" s="28" t="s">
        <v>131</v>
      </c>
      <c r="C6" s="15" t="str">
        <f t="shared" si="4"/>
        <v xml:space="preserve"> - </v>
      </c>
      <c r="D6" s="29">
        <v>0</v>
      </c>
      <c r="E6" s="29">
        <v>0</v>
      </c>
      <c r="F6" s="30">
        <v>0</v>
      </c>
      <c r="G6" s="30">
        <v>0</v>
      </c>
      <c r="H6" s="31" t="e">
        <f t="shared" si="1"/>
        <v>#DIV/0!</v>
      </c>
      <c r="I6" s="31" t="e">
        <f t="shared" si="2"/>
        <v>#DIV/0!</v>
      </c>
      <c r="J6" s="32">
        <f t="shared" si="5"/>
        <v>0</v>
      </c>
      <c r="K6" s="32" t="e">
        <f t="shared" si="3"/>
        <v>#DIV/0!</v>
      </c>
      <c r="L6" s="29">
        <v>0</v>
      </c>
      <c r="M6" s="33" t="str">
        <f t="shared" si="6"/>
        <v>-</v>
      </c>
      <c r="N6" s="29">
        <v>0</v>
      </c>
      <c r="O6" s="34">
        <f t="shared" ref="O6:P6" si="14">D6/7</f>
        <v>0</v>
      </c>
      <c r="P6" s="34">
        <f t="shared" si="14"/>
        <v>0</v>
      </c>
      <c r="Q6" s="29" t="e">
        <f t="shared" si="8"/>
        <v>#DIV/0!</v>
      </c>
      <c r="R6" s="29"/>
      <c r="S6" s="35" t="e">
        <v>#N/A</v>
      </c>
      <c r="T6" s="28">
        <v>120</v>
      </c>
      <c r="U6" s="36">
        <v>120</v>
      </c>
      <c r="V6" s="37" t="s">
        <v>208</v>
      </c>
      <c r="W6" s="28">
        <v>0</v>
      </c>
      <c r="X6" s="38">
        <f t="shared" si="9"/>
        <v>0</v>
      </c>
      <c r="Y6" s="39">
        <f t="shared" si="10"/>
        <v>0</v>
      </c>
      <c r="Z6" s="28">
        <v>0</v>
      </c>
      <c r="AA6" s="28" t="e">
        <v>#N/A</v>
      </c>
      <c r="AB6" s="40" t="e">
        <f t="shared" si="11"/>
        <v>#N/A</v>
      </c>
      <c r="AC6" s="41" t="e">
        <v>#N/A</v>
      </c>
      <c r="AD6" s="39">
        <f t="shared" si="12"/>
        <v>0</v>
      </c>
      <c r="AE6" s="39">
        <v>0</v>
      </c>
      <c r="AF6" s="39">
        <v>-7.83</v>
      </c>
      <c r="AG6" s="39">
        <v>0</v>
      </c>
    </row>
    <row r="7" spans="1:33" ht="15.75" customHeight="1" x14ac:dyDescent="0.2">
      <c r="A7" s="28" t="s">
        <v>40</v>
      </c>
      <c r="B7" s="28" t="s">
        <v>209</v>
      </c>
      <c r="C7" s="15">
        <f t="shared" si="4"/>
        <v>33.360000000000007</v>
      </c>
      <c r="D7" s="29">
        <v>3</v>
      </c>
      <c r="E7" s="29">
        <v>1</v>
      </c>
      <c r="F7" s="30">
        <v>100.08000000000001</v>
      </c>
      <c r="G7" s="30">
        <v>0</v>
      </c>
      <c r="H7" s="31">
        <f t="shared" si="1"/>
        <v>0</v>
      </c>
      <c r="I7" s="31">
        <f t="shared" si="2"/>
        <v>0.42295948766947988</v>
      </c>
      <c r="J7" s="32">
        <f t="shared" si="5"/>
        <v>42.329785525961555</v>
      </c>
      <c r="K7" s="32">
        <f t="shared" si="3"/>
        <v>14.109928508653852</v>
      </c>
      <c r="L7" s="29">
        <v>7</v>
      </c>
      <c r="M7" s="33">
        <f t="shared" si="6"/>
        <v>0.42857142857142855</v>
      </c>
      <c r="N7" s="29">
        <v>199</v>
      </c>
      <c r="O7" s="34">
        <f t="shared" ref="O7:P7" si="15">D7/7</f>
        <v>0.42857142857142855</v>
      </c>
      <c r="P7" s="34">
        <f t="shared" si="15"/>
        <v>0.14285714285714285</v>
      </c>
      <c r="Q7" s="29">
        <f t="shared" si="8"/>
        <v>348</v>
      </c>
      <c r="R7" s="29"/>
      <c r="S7" s="35">
        <v>0.74725274725274704</v>
      </c>
      <c r="T7" s="28">
        <v>120</v>
      </c>
      <c r="U7" s="36">
        <v>120</v>
      </c>
      <c r="V7" s="37" t="s">
        <v>210</v>
      </c>
      <c r="W7" s="28">
        <v>0</v>
      </c>
      <c r="X7" s="38">
        <f t="shared" si="9"/>
        <v>0</v>
      </c>
      <c r="Y7" s="39">
        <f t="shared" si="10"/>
        <v>0</v>
      </c>
      <c r="Z7" s="28">
        <v>0</v>
      </c>
      <c r="AA7" s="28" t="s">
        <v>34</v>
      </c>
      <c r="AB7" s="40">
        <f t="shared" si="11"/>
        <v>-0.69</v>
      </c>
      <c r="AC7" s="41">
        <v>0.13687826388888891</v>
      </c>
      <c r="AD7" s="39">
        <f t="shared" si="12"/>
        <v>-0.5666760125000001</v>
      </c>
      <c r="AE7" s="39">
        <v>-5.8</v>
      </c>
      <c r="AF7" s="39">
        <v>-8.2571794871794868</v>
      </c>
      <c r="AG7" s="39">
        <v>0</v>
      </c>
    </row>
    <row r="8" spans="1:33" ht="15.75" customHeight="1" x14ac:dyDescent="0.2">
      <c r="A8" s="28" t="s">
        <v>42</v>
      </c>
      <c r="B8" s="28" t="s">
        <v>211</v>
      </c>
      <c r="C8" s="15">
        <f t="shared" si="4"/>
        <v>29.432903225806459</v>
      </c>
      <c r="D8" s="29">
        <v>31</v>
      </c>
      <c r="E8" s="29">
        <v>0</v>
      </c>
      <c r="F8" s="30">
        <v>912.42000000000019</v>
      </c>
      <c r="G8" s="30">
        <v>0</v>
      </c>
      <c r="H8" s="31">
        <f t="shared" si="1"/>
        <v>0</v>
      </c>
      <c r="I8" s="31">
        <f t="shared" si="2"/>
        <v>0.36588560955572363</v>
      </c>
      <c r="J8" s="32">
        <f t="shared" si="5"/>
        <v>333.84134787083343</v>
      </c>
      <c r="K8" s="32">
        <f t="shared" si="3"/>
        <v>10.769075737768821</v>
      </c>
      <c r="L8" s="29">
        <v>18</v>
      </c>
      <c r="M8" s="33">
        <f t="shared" si="6"/>
        <v>1.7222222222222223</v>
      </c>
      <c r="N8" s="29">
        <v>287</v>
      </c>
      <c r="O8" s="34">
        <f t="shared" ref="O8:P8" si="16">D8/7</f>
        <v>4.4285714285714288</v>
      </c>
      <c r="P8" s="34">
        <f t="shared" si="16"/>
        <v>0</v>
      </c>
      <c r="Q8" s="29">
        <f t="shared" si="8"/>
        <v>64</v>
      </c>
      <c r="R8" s="29"/>
      <c r="S8" s="35">
        <v>0.61971830985915399</v>
      </c>
      <c r="T8" s="28">
        <v>0</v>
      </c>
      <c r="U8" s="36" t="s">
        <v>33</v>
      </c>
      <c r="V8" s="37" t="s">
        <v>33</v>
      </c>
      <c r="W8" s="28">
        <v>0</v>
      </c>
      <c r="X8" s="38">
        <f t="shared" si="9"/>
        <v>0</v>
      </c>
      <c r="Y8" s="39">
        <f t="shared" si="10"/>
        <v>0</v>
      </c>
      <c r="Z8" s="28">
        <v>0</v>
      </c>
      <c r="AA8" s="28" t="s">
        <v>34</v>
      </c>
      <c r="AB8" s="40">
        <f t="shared" si="11"/>
        <v>-0.69</v>
      </c>
      <c r="AC8" s="41">
        <v>0.13687826388888891</v>
      </c>
      <c r="AD8" s="39">
        <f t="shared" si="12"/>
        <v>-5.8556521291666668</v>
      </c>
      <c r="AE8" s="39">
        <v>-5.8</v>
      </c>
      <c r="AF8" s="39">
        <v>-8.26</v>
      </c>
      <c r="AG8" s="39">
        <v>0</v>
      </c>
    </row>
    <row r="9" spans="1:33" ht="15.75" customHeight="1" x14ac:dyDescent="0.2">
      <c r="A9" s="28" t="s">
        <v>44</v>
      </c>
      <c r="B9" s="28" t="s">
        <v>212</v>
      </c>
      <c r="C9" s="15">
        <f t="shared" si="4"/>
        <v>31.450099999999956</v>
      </c>
      <c r="D9" s="29">
        <v>100</v>
      </c>
      <c r="E9" s="29">
        <v>0</v>
      </c>
      <c r="F9" s="30">
        <v>3145.0099999999957</v>
      </c>
      <c r="G9" s="30">
        <v>0</v>
      </c>
      <c r="H9" s="31">
        <f t="shared" si="1"/>
        <v>0</v>
      </c>
      <c r="I9" s="31">
        <f t="shared" si="2"/>
        <v>0.39175940563027795</v>
      </c>
      <c r="J9" s="32">
        <f t="shared" si="5"/>
        <v>1232.0872483012788</v>
      </c>
      <c r="K9" s="32">
        <f t="shared" si="3"/>
        <v>12.320872483012788</v>
      </c>
      <c r="L9" s="29">
        <v>104</v>
      </c>
      <c r="M9" s="33">
        <f t="shared" si="6"/>
        <v>0.96153846153846156</v>
      </c>
      <c r="N9" s="29">
        <v>190</v>
      </c>
      <c r="O9" s="34">
        <f t="shared" ref="O9:P9" si="17">D9/7</f>
        <v>14.285714285714286</v>
      </c>
      <c r="P9" s="34">
        <f t="shared" si="17"/>
        <v>0</v>
      </c>
      <c r="Q9" s="29">
        <f t="shared" si="8"/>
        <v>13</v>
      </c>
      <c r="R9" s="29"/>
      <c r="S9" s="35">
        <v>2.0465116279069702</v>
      </c>
      <c r="T9" s="28">
        <v>0</v>
      </c>
      <c r="U9" s="36" t="s">
        <v>33</v>
      </c>
      <c r="V9" s="37" t="s">
        <v>33</v>
      </c>
      <c r="W9" s="28">
        <v>0</v>
      </c>
      <c r="X9" s="38">
        <f t="shared" si="9"/>
        <v>0</v>
      </c>
      <c r="Y9" s="39">
        <f t="shared" si="10"/>
        <v>0</v>
      </c>
      <c r="Z9" s="28">
        <v>0</v>
      </c>
      <c r="AA9" s="28" t="s">
        <v>34</v>
      </c>
      <c r="AB9" s="40">
        <f t="shared" si="11"/>
        <v>-0.69</v>
      </c>
      <c r="AC9" s="41">
        <v>0.13687826388888891</v>
      </c>
      <c r="AD9" s="39">
        <f t="shared" si="12"/>
        <v>-18.889200416666668</v>
      </c>
      <c r="AE9" s="39">
        <v>-5.8</v>
      </c>
      <c r="AF9" s="39">
        <v>-8.4228205128205094</v>
      </c>
      <c r="AG9" s="39">
        <v>0</v>
      </c>
    </row>
    <row r="10" spans="1:33" ht="15.75" customHeight="1" x14ac:dyDescent="0.2">
      <c r="A10" s="28" t="s">
        <v>46</v>
      </c>
      <c r="B10" s="28" t="s">
        <v>213</v>
      </c>
      <c r="C10" s="15">
        <f t="shared" si="4"/>
        <v>36.593750000000028</v>
      </c>
      <c r="D10" s="29">
        <v>72</v>
      </c>
      <c r="E10" s="29">
        <v>0</v>
      </c>
      <c r="F10" s="30">
        <v>2634.7500000000018</v>
      </c>
      <c r="G10" s="30">
        <v>0</v>
      </c>
      <c r="H10" s="31">
        <f t="shared" si="1"/>
        <v>0</v>
      </c>
      <c r="I10" s="31">
        <f t="shared" si="2"/>
        <v>0.45617011055201589</v>
      </c>
      <c r="J10" s="32">
        <f t="shared" si="5"/>
        <v>1201.8941987769247</v>
      </c>
      <c r="K10" s="32">
        <f t="shared" si="3"/>
        <v>16.692974983012842</v>
      </c>
      <c r="L10" s="29">
        <v>84</v>
      </c>
      <c r="M10" s="33">
        <f t="shared" si="6"/>
        <v>0.8571428571428571</v>
      </c>
      <c r="N10" s="29">
        <v>110</v>
      </c>
      <c r="O10" s="34">
        <f t="shared" ref="O10:P10" si="18">D10/7</f>
        <v>10.285714285714286</v>
      </c>
      <c r="P10" s="34">
        <f t="shared" si="18"/>
        <v>0</v>
      </c>
      <c r="Q10" s="29">
        <f t="shared" si="8"/>
        <v>10</v>
      </c>
      <c r="R10" s="29"/>
      <c r="S10" s="35">
        <v>5.2738853503184702</v>
      </c>
      <c r="T10" s="28">
        <v>0</v>
      </c>
      <c r="U10" s="36" t="s">
        <v>33</v>
      </c>
      <c r="V10" s="37" t="s">
        <v>33</v>
      </c>
      <c r="W10" s="28">
        <v>0</v>
      </c>
      <c r="X10" s="38">
        <f t="shared" si="9"/>
        <v>0</v>
      </c>
      <c r="Y10" s="39">
        <f t="shared" si="10"/>
        <v>0</v>
      </c>
      <c r="Z10" s="28">
        <v>0</v>
      </c>
      <c r="AA10" s="28" t="s">
        <v>34</v>
      </c>
      <c r="AB10" s="40">
        <f t="shared" si="11"/>
        <v>-0.69</v>
      </c>
      <c r="AC10" s="41">
        <v>0.13687826388888891</v>
      </c>
      <c r="AD10" s="39">
        <f t="shared" si="12"/>
        <v>-13.600224300000001</v>
      </c>
      <c r="AE10" s="39">
        <v>-5.8</v>
      </c>
      <c r="AF10" s="39">
        <v>-8.4228205128205094</v>
      </c>
      <c r="AG10" s="39">
        <v>0</v>
      </c>
    </row>
    <row r="11" spans="1:33" ht="15.75" customHeight="1" x14ac:dyDescent="0.2">
      <c r="A11" s="28" t="s">
        <v>48</v>
      </c>
      <c r="B11" s="28" t="s">
        <v>47</v>
      </c>
      <c r="C11" s="15">
        <f t="shared" si="4"/>
        <v>40.537671232876761</v>
      </c>
      <c r="D11" s="29">
        <v>73</v>
      </c>
      <c r="E11" s="29">
        <v>1</v>
      </c>
      <c r="F11" s="30">
        <v>2959.2500000000036</v>
      </c>
      <c r="G11" s="30">
        <v>-0.13</v>
      </c>
      <c r="H11" s="31">
        <f t="shared" si="1"/>
        <v>4.3930049843710344E-5</v>
      </c>
      <c r="I11" s="31">
        <f t="shared" si="2"/>
        <v>0.49444199924303012</v>
      </c>
      <c r="J11" s="32">
        <f t="shared" si="5"/>
        <v>1463.1774862599386</v>
      </c>
      <c r="K11" s="32">
        <f t="shared" si="3"/>
        <v>20.043527209040256</v>
      </c>
      <c r="L11" s="29">
        <v>136</v>
      </c>
      <c r="M11" s="33">
        <f t="shared" si="6"/>
        <v>0.53676470588235292</v>
      </c>
      <c r="N11" s="29">
        <v>132</v>
      </c>
      <c r="O11" s="34">
        <f t="shared" ref="O11:P11" si="19">D11/7</f>
        <v>10.428571428571429</v>
      </c>
      <c r="P11" s="34">
        <f t="shared" si="19"/>
        <v>0.14285714285714285</v>
      </c>
      <c r="Q11" s="29">
        <f t="shared" si="8"/>
        <v>12</v>
      </c>
      <c r="R11" s="29"/>
      <c r="S11" s="35">
        <v>3.0517711171662101</v>
      </c>
      <c r="T11" s="28">
        <v>600</v>
      </c>
      <c r="U11" s="36" t="s">
        <v>33</v>
      </c>
      <c r="V11" s="37" t="s">
        <v>33</v>
      </c>
      <c r="W11" s="28">
        <v>0</v>
      </c>
      <c r="X11" s="38">
        <f t="shared" si="9"/>
        <v>0</v>
      </c>
      <c r="Y11" s="39">
        <f t="shared" si="10"/>
        <v>0</v>
      </c>
      <c r="Z11" s="28">
        <v>0</v>
      </c>
      <c r="AA11" s="28" t="s">
        <v>34</v>
      </c>
      <c r="AB11" s="40">
        <f t="shared" si="11"/>
        <v>-0.69</v>
      </c>
      <c r="AC11" s="41">
        <v>0.13687826388888891</v>
      </c>
      <c r="AD11" s="39">
        <f t="shared" si="12"/>
        <v>-13.789116304166669</v>
      </c>
      <c r="AE11" s="39">
        <v>-5.8</v>
      </c>
      <c r="AF11" s="39">
        <v>-8.4228205128205094</v>
      </c>
      <c r="AG11" s="39">
        <v>0</v>
      </c>
    </row>
    <row r="12" spans="1:33" ht="15.75" customHeight="1" x14ac:dyDescent="0.2">
      <c r="A12" s="28" t="s">
        <v>49</v>
      </c>
      <c r="B12" s="28" t="s">
        <v>214</v>
      </c>
      <c r="C12" s="15">
        <f t="shared" si="4"/>
        <v>40.787936507936493</v>
      </c>
      <c r="D12" s="29">
        <v>63</v>
      </c>
      <c r="E12" s="29">
        <v>2</v>
      </c>
      <c r="F12" s="30">
        <v>2569.639999999999</v>
      </c>
      <c r="G12" s="30">
        <v>-0.13</v>
      </c>
      <c r="H12" s="31">
        <f t="shared" si="1"/>
        <v>5.0590744228763586E-5</v>
      </c>
      <c r="I12" s="31">
        <f t="shared" si="2"/>
        <v>0.49341132932232046</v>
      </c>
      <c r="J12" s="32">
        <f t="shared" si="5"/>
        <v>1267.889488279807</v>
      </c>
      <c r="K12" s="32">
        <f t="shared" si="3"/>
        <v>20.125229972695347</v>
      </c>
      <c r="L12" s="29">
        <v>107</v>
      </c>
      <c r="M12" s="33">
        <f t="shared" si="6"/>
        <v>0.58878504672897192</v>
      </c>
      <c r="N12" s="29">
        <v>66</v>
      </c>
      <c r="O12" s="34">
        <f t="shared" ref="O12:P12" si="20">D12/7</f>
        <v>9</v>
      </c>
      <c r="P12" s="34">
        <f t="shared" si="20"/>
        <v>0.2857142857142857</v>
      </c>
      <c r="Q12" s="29">
        <f t="shared" si="8"/>
        <v>7</v>
      </c>
      <c r="R12" s="29"/>
      <c r="S12" s="35">
        <v>4.7945205479451998</v>
      </c>
      <c r="T12" s="28">
        <v>600</v>
      </c>
      <c r="U12" s="36" t="s">
        <v>33</v>
      </c>
      <c r="V12" s="37" t="s">
        <v>33</v>
      </c>
      <c r="W12" s="28">
        <v>0</v>
      </c>
      <c r="X12" s="38">
        <f t="shared" si="9"/>
        <v>0</v>
      </c>
      <c r="Y12" s="39">
        <f t="shared" si="10"/>
        <v>0.13</v>
      </c>
      <c r="Z12" s="28">
        <v>1</v>
      </c>
      <c r="AA12" s="28" t="s">
        <v>34</v>
      </c>
      <c r="AB12" s="40">
        <f t="shared" si="11"/>
        <v>-0.69</v>
      </c>
      <c r="AC12" s="41">
        <v>0.23161743055555556</v>
      </c>
      <c r="AD12" s="39">
        <f t="shared" si="12"/>
        <v>-20.136819412499996</v>
      </c>
      <c r="AE12" s="39">
        <v>-5.8</v>
      </c>
      <c r="AF12" s="39">
        <v>-8.4228205128205094</v>
      </c>
      <c r="AG12" s="39">
        <v>0</v>
      </c>
    </row>
    <row r="13" spans="1:33" ht="15.75" customHeight="1" x14ac:dyDescent="0.2">
      <c r="A13" s="28" t="s">
        <v>50</v>
      </c>
      <c r="B13" s="28" t="s">
        <v>47</v>
      </c>
      <c r="C13" s="15">
        <f t="shared" si="4"/>
        <v>43.219230769230734</v>
      </c>
      <c r="D13" s="29">
        <v>39</v>
      </c>
      <c r="E13" s="29">
        <v>1</v>
      </c>
      <c r="F13" s="32">
        <v>1685.5499999999986</v>
      </c>
      <c r="G13" s="30">
        <v>0</v>
      </c>
      <c r="H13" s="31">
        <f t="shared" si="1"/>
        <v>0</v>
      </c>
      <c r="I13" s="31">
        <f t="shared" si="2"/>
        <v>0.51150179459968537</v>
      </c>
      <c r="J13" s="32">
        <f t="shared" si="5"/>
        <v>862.16184988749887</v>
      </c>
      <c r="K13" s="32">
        <f t="shared" si="3"/>
        <v>22.106714099679458</v>
      </c>
      <c r="L13" s="29">
        <v>51</v>
      </c>
      <c r="M13" s="33">
        <f t="shared" si="6"/>
        <v>0.76470588235294112</v>
      </c>
      <c r="N13" s="29">
        <v>27</v>
      </c>
      <c r="O13" s="34">
        <f t="shared" ref="O13:P13" si="21">D13/7</f>
        <v>5.5714285714285712</v>
      </c>
      <c r="P13" s="34">
        <f t="shared" si="21"/>
        <v>0.14285714285714285</v>
      </c>
      <c r="Q13" s="29">
        <f t="shared" si="8"/>
        <v>4</v>
      </c>
      <c r="R13" s="29"/>
      <c r="S13" s="35">
        <v>4.03252032520325</v>
      </c>
      <c r="T13" s="28">
        <v>600</v>
      </c>
      <c r="U13" s="36" t="s">
        <v>33</v>
      </c>
      <c r="V13" s="37" t="s">
        <v>33</v>
      </c>
      <c r="W13" s="28">
        <v>0</v>
      </c>
      <c r="X13" s="38">
        <f t="shared" si="9"/>
        <v>0</v>
      </c>
      <c r="Y13" s="39">
        <f t="shared" si="10"/>
        <v>0</v>
      </c>
      <c r="Z13" s="28">
        <v>0</v>
      </c>
      <c r="AA13" s="28" t="s">
        <v>34</v>
      </c>
      <c r="AB13" s="40">
        <f t="shared" si="11"/>
        <v>-0.69</v>
      </c>
      <c r="AC13" s="41">
        <v>0.23161743055555556</v>
      </c>
      <c r="AD13" s="39">
        <f t="shared" si="12"/>
        <v>-12.465650112499999</v>
      </c>
      <c r="AE13" s="39">
        <v>-5.8</v>
      </c>
      <c r="AF13" s="39">
        <v>-8.51</v>
      </c>
      <c r="AG13" s="39">
        <v>0</v>
      </c>
    </row>
    <row r="14" spans="1:33" ht="15.75" customHeight="1" x14ac:dyDescent="0.2">
      <c r="A14" s="28" t="s">
        <v>51</v>
      </c>
      <c r="B14" s="28" t="s">
        <v>215</v>
      </c>
      <c r="C14" s="15">
        <f t="shared" si="4"/>
        <v>41.948571428571434</v>
      </c>
      <c r="D14" s="29">
        <v>21</v>
      </c>
      <c r="E14" s="29">
        <v>0</v>
      </c>
      <c r="F14" s="32">
        <v>880.92000000000007</v>
      </c>
      <c r="G14" s="30">
        <v>-0.08</v>
      </c>
      <c r="H14" s="31">
        <f t="shared" si="1"/>
        <v>9.0814148844389953E-5</v>
      </c>
      <c r="I14" s="31">
        <f t="shared" si="2"/>
        <v>0.50115757033839614</v>
      </c>
      <c r="J14" s="32">
        <f t="shared" si="5"/>
        <v>441.47972686249994</v>
      </c>
      <c r="K14" s="32">
        <f t="shared" si="3"/>
        <v>21.022844136309523</v>
      </c>
      <c r="L14" s="29">
        <v>35</v>
      </c>
      <c r="M14" s="33">
        <f t="shared" si="6"/>
        <v>0.6</v>
      </c>
      <c r="N14" s="29">
        <v>4</v>
      </c>
      <c r="O14" s="34">
        <f t="shared" ref="O14:P14" si="22">D14/7</f>
        <v>3</v>
      </c>
      <c r="P14" s="34">
        <f t="shared" si="22"/>
        <v>0</v>
      </c>
      <c r="Q14" s="29">
        <f t="shared" si="8"/>
        <v>1</v>
      </c>
      <c r="R14" s="29"/>
      <c r="S14" s="35">
        <v>9.3409090909090899</v>
      </c>
      <c r="T14" s="28">
        <v>600</v>
      </c>
      <c r="U14" s="36" t="s">
        <v>33</v>
      </c>
      <c r="V14" s="37" t="s">
        <v>33</v>
      </c>
      <c r="W14" s="28">
        <v>1</v>
      </c>
      <c r="X14" s="38">
        <f t="shared" si="9"/>
        <v>4.7619047619047616E-2</v>
      </c>
      <c r="Y14" s="39">
        <f t="shared" si="10"/>
        <v>0.08</v>
      </c>
      <c r="Z14" s="28">
        <v>0</v>
      </c>
      <c r="AA14" s="28" t="s">
        <v>34</v>
      </c>
      <c r="AB14" s="40">
        <f t="shared" si="11"/>
        <v>-0.69</v>
      </c>
      <c r="AC14" s="41">
        <v>0.23161743055555556</v>
      </c>
      <c r="AD14" s="39">
        <f t="shared" si="12"/>
        <v>-6.7122731374999987</v>
      </c>
      <c r="AE14" s="39">
        <v>-5.8</v>
      </c>
      <c r="AF14" s="39">
        <v>-8.51</v>
      </c>
      <c r="AG14" s="39">
        <v>0</v>
      </c>
    </row>
    <row r="15" spans="1:33" ht="15.75" customHeight="1" x14ac:dyDescent="0.2">
      <c r="A15" s="28" t="s">
        <v>53</v>
      </c>
      <c r="B15" s="28" t="s">
        <v>52</v>
      </c>
      <c r="C15" s="15">
        <f t="shared" si="4"/>
        <v>44.56</v>
      </c>
      <c r="D15" s="29">
        <v>6</v>
      </c>
      <c r="E15" s="29">
        <v>0</v>
      </c>
      <c r="F15" s="32">
        <v>267.36</v>
      </c>
      <c r="G15" s="30">
        <v>-0.08</v>
      </c>
      <c r="H15" s="31">
        <f t="shared" si="1"/>
        <v>2.9922202274087372E-4</v>
      </c>
      <c r="I15" s="31">
        <f t="shared" si="2"/>
        <v>0.50186343385323184</v>
      </c>
      <c r="J15" s="32">
        <f t="shared" si="5"/>
        <v>134.17820767500007</v>
      </c>
      <c r="K15" s="32">
        <f t="shared" si="3"/>
        <v>22.363034612500012</v>
      </c>
      <c r="L15" s="29">
        <v>28</v>
      </c>
      <c r="M15" s="33">
        <f t="shared" si="6"/>
        <v>0.21428571428571427</v>
      </c>
      <c r="N15" s="29">
        <v>0</v>
      </c>
      <c r="O15" s="34">
        <f t="shared" ref="O15:P15" si="23">D15/7</f>
        <v>0.8571428571428571</v>
      </c>
      <c r="P15" s="34">
        <f t="shared" si="23"/>
        <v>0</v>
      </c>
      <c r="Q15" s="29">
        <f t="shared" si="8"/>
        <v>0</v>
      </c>
      <c r="R15" s="29"/>
      <c r="S15" s="35">
        <v>17.072164948453601</v>
      </c>
      <c r="T15" s="28">
        <v>600</v>
      </c>
      <c r="U15" s="36" t="s">
        <v>33</v>
      </c>
      <c r="V15" s="37" t="s">
        <v>33</v>
      </c>
      <c r="W15" s="28">
        <v>0</v>
      </c>
      <c r="X15" s="38">
        <f t="shared" si="9"/>
        <v>0</v>
      </c>
      <c r="Y15" s="39">
        <f t="shared" si="10"/>
        <v>0</v>
      </c>
      <c r="Z15" s="28">
        <v>0</v>
      </c>
      <c r="AA15" s="28" t="s">
        <v>34</v>
      </c>
      <c r="AB15" s="40">
        <f t="shared" si="11"/>
        <v>-0.69</v>
      </c>
      <c r="AC15" s="41">
        <v>0.23161743055555556</v>
      </c>
      <c r="AD15" s="39">
        <f t="shared" si="12"/>
        <v>-1.9177923249999997</v>
      </c>
      <c r="AE15" s="39">
        <v>-5.8</v>
      </c>
      <c r="AF15" s="39">
        <v>-9.3799999999999901</v>
      </c>
      <c r="AG15" s="39">
        <v>0</v>
      </c>
    </row>
    <row r="16" spans="1:33" ht="15.75" customHeight="1" x14ac:dyDescent="0.2">
      <c r="A16" s="28" t="s">
        <v>54</v>
      </c>
      <c r="B16" s="28"/>
      <c r="C16" s="15">
        <f t="shared" si="4"/>
        <v>44.16</v>
      </c>
      <c r="D16" s="29">
        <v>2</v>
      </c>
      <c r="E16" s="29">
        <v>0</v>
      </c>
      <c r="F16" s="32">
        <v>88.32</v>
      </c>
      <c r="G16" s="30">
        <v>0</v>
      </c>
      <c r="H16" s="31">
        <f t="shared" si="1"/>
        <v>0</v>
      </c>
      <c r="I16" s="31">
        <f t="shared" si="2"/>
        <v>0.49901195529513903</v>
      </c>
      <c r="J16" s="32">
        <f t="shared" si="5"/>
        <v>44.072735891666674</v>
      </c>
      <c r="K16" s="32">
        <f t="shared" si="3"/>
        <v>22.036367945833337</v>
      </c>
      <c r="L16" s="29">
        <v>14</v>
      </c>
      <c r="M16" s="33">
        <f t="shared" si="6"/>
        <v>0.14285714285714285</v>
      </c>
      <c r="N16" s="29">
        <v>1</v>
      </c>
      <c r="O16" s="34">
        <f t="shared" ref="O16:P16" si="24">D16/7</f>
        <v>0.2857142857142857</v>
      </c>
      <c r="P16" s="34">
        <f t="shared" si="24"/>
        <v>0</v>
      </c>
      <c r="Q16" s="29">
        <f t="shared" si="8"/>
        <v>3</v>
      </c>
      <c r="R16" s="29"/>
      <c r="S16" s="35">
        <v>5.4473684210526301</v>
      </c>
      <c r="T16" s="28">
        <v>600</v>
      </c>
      <c r="U16" s="36" t="s">
        <v>33</v>
      </c>
      <c r="V16" s="37" t="s">
        <v>33</v>
      </c>
      <c r="W16" s="28">
        <v>0</v>
      </c>
      <c r="X16" s="38">
        <f t="shared" si="9"/>
        <v>0</v>
      </c>
      <c r="Y16" s="39">
        <f t="shared" si="10"/>
        <v>0</v>
      </c>
      <c r="Z16" s="28">
        <v>0</v>
      </c>
      <c r="AA16" s="28" t="s">
        <v>34</v>
      </c>
      <c r="AB16" s="40">
        <f t="shared" si="11"/>
        <v>-0.69</v>
      </c>
      <c r="AC16" s="41">
        <v>0.23161743055555556</v>
      </c>
      <c r="AD16" s="39">
        <f t="shared" si="12"/>
        <v>-0.63926410833333325</v>
      </c>
      <c r="AE16" s="39">
        <v>-5.8</v>
      </c>
      <c r="AF16" s="39">
        <v>-9.3799999999999901</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0</v>
      </c>
      <c r="O17" s="34">
        <f t="shared" ref="O17:P17" si="25">D17/7</f>
        <v>0</v>
      </c>
      <c r="P17" s="34">
        <f t="shared" si="25"/>
        <v>0</v>
      </c>
      <c r="Q17" s="29" t="e">
        <f t="shared" si="8"/>
        <v>#DIV/0!</v>
      </c>
      <c r="R17" s="29"/>
      <c r="S17" s="35" t="e">
        <v>#N/A</v>
      </c>
      <c r="T17" s="28">
        <v>600</v>
      </c>
      <c r="U17" s="36" t="s">
        <v>33</v>
      </c>
      <c r="V17" s="37" t="s">
        <v>33</v>
      </c>
      <c r="W17" s="28">
        <v>0</v>
      </c>
      <c r="X17" s="38">
        <f t="shared" si="9"/>
        <v>0</v>
      </c>
      <c r="Y17" s="39">
        <f t="shared" si="10"/>
        <v>0</v>
      </c>
      <c r="Z17" s="28">
        <v>0</v>
      </c>
      <c r="AA17" s="28" t="e">
        <v>#N/A</v>
      </c>
      <c r="AB17" s="40" t="e">
        <f t="shared" si="11"/>
        <v>#N/A</v>
      </c>
      <c r="AC17" s="41" t="e">
        <v>#N/A</v>
      </c>
      <c r="AD17" s="39">
        <f t="shared" si="12"/>
        <v>0</v>
      </c>
      <c r="AE17" s="39">
        <v>0</v>
      </c>
      <c r="AF17" s="39">
        <v>-9.3799999999999901</v>
      </c>
      <c r="AG17" s="39">
        <v>0</v>
      </c>
    </row>
    <row r="18" spans="1:33" ht="15.75" customHeight="1" x14ac:dyDescent="0.2">
      <c r="A18" s="28" t="s">
        <v>56</v>
      </c>
      <c r="B18" s="28"/>
      <c r="C18" s="15">
        <f t="shared" si="4"/>
        <v>42.99</v>
      </c>
      <c r="D18" s="29">
        <v>2</v>
      </c>
      <c r="E18" s="29">
        <v>0</v>
      </c>
      <c r="F18" s="32">
        <v>85.98</v>
      </c>
      <c r="G18" s="30">
        <v>-0.06</v>
      </c>
      <c r="H18" s="31">
        <f t="shared" si="1"/>
        <v>6.9783670621074664E-4</v>
      </c>
      <c r="I18" s="31">
        <f t="shared" si="2"/>
        <v>0.48876175728851684</v>
      </c>
      <c r="J18" s="32">
        <f t="shared" si="5"/>
        <v>42.023735891666682</v>
      </c>
      <c r="K18" s="32">
        <f t="shared" si="3"/>
        <v>21.011867945833341</v>
      </c>
      <c r="L18" s="29">
        <v>3</v>
      </c>
      <c r="M18" s="33">
        <f t="shared" si="6"/>
        <v>0.66666666666666663</v>
      </c>
      <c r="N18" s="29">
        <v>1</v>
      </c>
      <c r="O18" s="34">
        <f t="shared" ref="O18:P18" si="26">D18/7</f>
        <v>0.2857142857142857</v>
      </c>
      <c r="P18" s="34">
        <f t="shared" si="26"/>
        <v>0</v>
      </c>
      <c r="Q18" s="29">
        <f t="shared" si="8"/>
        <v>3</v>
      </c>
      <c r="R18" s="29"/>
      <c r="S18" s="35">
        <v>7.7746478873239404</v>
      </c>
      <c r="T18" s="28">
        <v>600</v>
      </c>
      <c r="U18" s="36">
        <v>0</v>
      </c>
      <c r="V18" s="37" t="s">
        <v>216</v>
      </c>
      <c r="W18" s="28">
        <v>0</v>
      </c>
      <c r="X18" s="38">
        <f t="shared" si="9"/>
        <v>0</v>
      </c>
      <c r="Y18" s="39">
        <f t="shared" si="10"/>
        <v>0</v>
      </c>
      <c r="Z18" s="28">
        <v>0</v>
      </c>
      <c r="AA18" s="28" t="s">
        <v>34</v>
      </c>
      <c r="AB18" s="40">
        <f t="shared" si="11"/>
        <v>-0.69</v>
      </c>
      <c r="AC18" s="41">
        <v>0.23161743055555556</v>
      </c>
      <c r="AD18" s="39">
        <f t="shared" si="12"/>
        <v>-0.63926410833333325</v>
      </c>
      <c r="AE18" s="39">
        <v>-5.8</v>
      </c>
      <c r="AF18" s="39">
        <v>-9.3799999999999901</v>
      </c>
      <c r="AG18" s="39">
        <v>0</v>
      </c>
    </row>
    <row r="19" spans="1:33" ht="15.75" customHeight="1" x14ac:dyDescent="0.2">
      <c r="A19" s="28" t="s">
        <v>57</v>
      </c>
      <c r="B19" s="28"/>
      <c r="C19" s="15">
        <f t="shared" si="4"/>
        <v>42.99</v>
      </c>
      <c r="D19" s="29">
        <v>1</v>
      </c>
      <c r="E19" s="29">
        <v>0</v>
      </c>
      <c r="F19" s="32">
        <v>42.99</v>
      </c>
      <c r="G19" s="30">
        <v>0</v>
      </c>
      <c r="H19" s="31">
        <f t="shared" si="1"/>
        <v>0</v>
      </c>
      <c r="I19" s="31">
        <f t="shared" si="2"/>
        <v>0.47934096175467161</v>
      </c>
      <c r="J19" s="32">
        <f t="shared" si="5"/>
        <v>20.606867945833333</v>
      </c>
      <c r="K19" s="32">
        <f t="shared" si="3"/>
        <v>20.606867945833333</v>
      </c>
      <c r="L19" s="29">
        <v>12</v>
      </c>
      <c r="M19" s="33">
        <f t="shared" si="6"/>
        <v>8.3333333333333329E-2</v>
      </c>
      <c r="N19" s="29">
        <v>1</v>
      </c>
      <c r="O19" s="34">
        <f t="shared" ref="O19:P19" si="27">D19/7</f>
        <v>0.14285714285714285</v>
      </c>
      <c r="P19" s="34">
        <f t="shared" si="27"/>
        <v>0</v>
      </c>
      <c r="Q19" s="29">
        <f t="shared" si="8"/>
        <v>7</v>
      </c>
      <c r="R19" s="29"/>
      <c r="S19" s="35" t="e">
        <v>#N/A</v>
      </c>
      <c r="T19" s="28">
        <v>600</v>
      </c>
      <c r="U19" s="36">
        <v>300</v>
      </c>
      <c r="V19" s="37" t="s">
        <v>216</v>
      </c>
      <c r="W19" s="28">
        <v>0</v>
      </c>
      <c r="X19" s="38">
        <f t="shared" si="9"/>
        <v>0</v>
      </c>
      <c r="Y19" s="39">
        <f t="shared" si="10"/>
        <v>0</v>
      </c>
      <c r="Z19" s="28">
        <v>0</v>
      </c>
      <c r="AA19" s="28" t="s">
        <v>34</v>
      </c>
      <c r="AB19" s="40">
        <f t="shared" si="11"/>
        <v>-0.69</v>
      </c>
      <c r="AC19" s="41">
        <v>0.23161743055555556</v>
      </c>
      <c r="AD19" s="39">
        <f t="shared" si="12"/>
        <v>-0.31963205416666662</v>
      </c>
      <c r="AE19" s="39">
        <v>-5.8</v>
      </c>
      <c r="AF19" s="39">
        <v>-9.8149999999999995</v>
      </c>
      <c r="AG19" s="39">
        <v>0</v>
      </c>
    </row>
    <row r="20" spans="1:33" ht="15.75" customHeight="1" x14ac:dyDescent="0.2">
      <c r="A20" s="28" t="s">
        <v>58</v>
      </c>
      <c r="B20" s="28" t="s">
        <v>52</v>
      </c>
      <c r="C20" s="15">
        <f t="shared" si="4"/>
        <v>44.75</v>
      </c>
      <c r="D20" s="29">
        <v>2</v>
      </c>
      <c r="E20" s="29">
        <v>0</v>
      </c>
      <c r="F20" s="32">
        <v>89.5</v>
      </c>
      <c r="G20" s="30">
        <v>-0.02</v>
      </c>
      <c r="H20" s="31">
        <f t="shared" si="1"/>
        <v>2.2346368715083799E-4</v>
      </c>
      <c r="I20" s="31">
        <f t="shared" si="2"/>
        <v>0.49369537309124778</v>
      </c>
      <c r="J20" s="32">
        <f t="shared" si="5"/>
        <v>44.185735891666674</v>
      </c>
      <c r="K20" s="32">
        <f t="shared" si="3"/>
        <v>22.092867945833337</v>
      </c>
      <c r="L20" s="29">
        <v>16</v>
      </c>
      <c r="M20" s="33">
        <f t="shared" si="6"/>
        <v>0.125</v>
      </c>
      <c r="N20" s="29">
        <v>0</v>
      </c>
      <c r="O20" s="34">
        <f t="shared" ref="O20:P20" si="28">D20/7</f>
        <v>0.2857142857142857</v>
      </c>
      <c r="P20" s="34">
        <f t="shared" si="28"/>
        <v>0</v>
      </c>
      <c r="Q20" s="29">
        <f t="shared" si="8"/>
        <v>0</v>
      </c>
      <c r="R20" s="29"/>
      <c r="S20" s="35" t="e">
        <v>#N/A</v>
      </c>
      <c r="T20" s="28">
        <v>600</v>
      </c>
      <c r="U20" s="36">
        <v>300</v>
      </c>
      <c r="V20" s="37" t="s">
        <v>217</v>
      </c>
      <c r="W20" s="28">
        <v>0</v>
      </c>
      <c r="X20" s="38">
        <f t="shared" si="9"/>
        <v>0</v>
      </c>
      <c r="Y20" s="39">
        <f t="shared" si="10"/>
        <v>0</v>
      </c>
      <c r="Z20" s="28">
        <v>0</v>
      </c>
      <c r="AA20" s="28" t="s">
        <v>34</v>
      </c>
      <c r="AB20" s="40">
        <f t="shared" si="11"/>
        <v>-0.69</v>
      </c>
      <c r="AC20" s="41">
        <v>0.23161743055555556</v>
      </c>
      <c r="AD20" s="39">
        <f t="shared" si="12"/>
        <v>-0.63926410833333325</v>
      </c>
      <c r="AE20" s="39">
        <v>-5.8</v>
      </c>
      <c r="AF20" s="39">
        <v>-9.8149999999999995</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600</v>
      </c>
      <c r="U21" s="36">
        <v>300</v>
      </c>
      <c r="V21" s="37" t="s">
        <v>218</v>
      </c>
      <c r="W21" s="28">
        <v>0</v>
      </c>
      <c r="X21" s="38">
        <f t="shared" si="9"/>
        <v>0</v>
      </c>
      <c r="Y21" s="39">
        <f t="shared" si="10"/>
        <v>0</v>
      </c>
      <c r="Z21" s="28">
        <v>0</v>
      </c>
      <c r="AA21" s="28" t="s">
        <v>34</v>
      </c>
      <c r="AB21" s="40">
        <f t="shared" si="11"/>
        <v>-0.69</v>
      </c>
      <c r="AC21" s="41">
        <v>0.23161743055555556</v>
      </c>
      <c r="AD21" s="39">
        <f t="shared" si="12"/>
        <v>0</v>
      </c>
      <c r="AE21" s="39">
        <v>-5.8</v>
      </c>
      <c r="AF21" s="39">
        <v>-9.8149999999999995</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1010</v>
      </c>
      <c r="U22" s="36">
        <v>300</v>
      </c>
      <c r="V22" s="37" t="s">
        <v>219</v>
      </c>
      <c r="W22" s="28">
        <v>0</v>
      </c>
      <c r="X22" s="38">
        <f t="shared" si="9"/>
        <v>0</v>
      </c>
      <c r="Y22" s="39">
        <f t="shared" si="10"/>
        <v>0</v>
      </c>
      <c r="Z22" s="28">
        <v>0</v>
      </c>
      <c r="AA22" s="28" t="s">
        <v>34</v>
      </c>
      <c r="AB22" s="40">
        <f t="shared" si="11"/>
        <v>-0.69</v>
      </c>
      <c r="AC22" s="41">
        <v>0.23161743055555556</v>
      </c>
      <c r="AD22" s="39">
        <f t="shared" si="12"/>
        <v>0</v>
      </c>
      <c r="AE22" s="39">
        <v>-5.8</v>
      </c>
      <c r="AF22" s="39">
        <v>-9.8149999999999995</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1200</v>
      </c>
      <c r="U23" s="36">
        <v>300</v>
      </c>
      <c r="V23" s="37" t="s">
        <v>219</v>
      </c>
      <c r="W23" s="28">
        <v>0</v>
      </c>
      <c r="X23" s="38">
        <f t="shared" si="9"/>
        <v>0</v>
      </c>
      <c r="Y23" s="39">
        <f t="shared" si="10"/>
        <v>0</v>
      </c>
      <c r="Z23" s="28">
        <v>0</v>
      </c>
      <c r="AA23" s="28" t="s">
        <v>34</v>
      </c>
      <c r="AB23" s="40">
        <f t="shared" si="11"/>
        <v>-0.69</v>
      </c>
      <c r="AC23" s="41">
        <v>0.23161743055555556</v>
      </c>
      <c r="AD23" s="39">
        <f t="shared" si="12"/>
        <v>0</v>
      </c>
      <c r="AE23" s="39">
        <v>-5.8</v>
      </c>
      <c r="AF23" s="39">
        <v>-9.8149999999999995</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1</v>
      </c>
      <c r="O24" s="34">
        <f t="shared" ref="O24:P24" si="32">D24/7</f>
        <v>0</v>
      </c>
      <c r="P24" s="34">
        <f t="shared" si="32"/>
        <v>0</v>
      </c>
      <c r="Q24" s="29" t="e">
        <f t="shared" si="8"/>
        <v>#DIV/0!</v>
      </c>
      <c r="R24" s="29"/>
      <c r="S24" s="35" t="e">
        <v>#N/A</v>
      </c>
      <c r="T24" s="28">
        <v>1200</v>
      </c>
      <c r="U24" s="36">
        <v>300</v>
      </c>
      <c r="V24" s="37" t="s">
        <v>220</v>
      </c>
      <c r="W24" s="28">
        <v>0</v>
      </c>
      <c r="X24" s="38">
        <f t="shared" si="9"/>
        <v>0</v>
      </c>
      <c r="Y24" s="39">
        <f t="shared" si="10"/>
        <v>0</v>
      </c>
      <c r="Z24" s="28">
        <v>0</v>
      </c>
      <c r="AA24" s="28" t="s">
        <v>34</v>
      </c>
      <c r="AB24" s="40">
        <f t="shared" si="11"/>
        <v>-0.69</v>
      </c>
      <c r="AC24" s="41">
        <v>0.23161743055555556</v>
      </c>
      <c r="AD24" s="39">
        <f t="shared" si="12"/>
        <v>0</v>
      </c>
      <c r="AE24" s="39">
        <v>-5.8</v>
      </c>
      <c r="AF24" s="39">
        <v>-9.8149999999999995</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1</v>
      </c>
      <c r="O25" s="34">
        <f t="shared" ref="O25:P25" si="33">D25/7</f>
        <v>0</v>
      </c>
      <c r="P25" s="34">
        <f t="shared" si="33"/>
        <v>0</v>
      </c>
      <c r="Q25" s="29" t="e">
        <f t="shared" si="8"/>
        <v>#DIV/0!</v>
      </c>
      <c r="R25" s="29"/>
      <c r="S25" s="35">
        <v>3.3913043478260869</v>
      </c>
      <c r="T25" s="28">
        <v>1600</v>
      </c>
      <c r="U25" s="36">
        <v>300</v>
      </c>
      <c r="V25" s="37" t="s">
        <v>221</v>
      </c>
      <c r="W25" s="14">
        <v>0</v>
      </c>
      <c r="X25" s="38">
        <f t="shared" si="9"/>
        <v>0</v>
      </c>
      <c r="Y25" s="39">
        <f t="shared" si="10"/>
        <v>0</v>
      </c>
      <c r="Z25" s="14">
        <v>0</v>
      </c>
      <c r="AA25" s="28" t="s">
        <v>34</v>
      </c>
      <c r="AB25" s="40">
        <f t="shared" si="11"/>
        <v>-0.69</v>
      </c>
      <c r="AC25" s="41">
        <v>0.23161743055555556</v>
      </c>
      <c r="AD25" s="39">
        <f t="shared" si="12"/>
        <v>0</v>
      </c>
      <c r="AE25" s="39">
        <v>-5.8</v>
      </c>
      <c r="AF25" s="39">
        <v>-9.82</v>
      </c>
      <c r="AG25" s="39">
        <v>0</v>
      </c>
    </row>
    <row r="26" spans="1:33" ht="15.75" customHeight="1" x14ac:dyDescent="0.2">
      <c r="A26" s="14" t="s">
        <v>67</v>
      </c>
      <c r="B26" s="14"/>
      <c r="C26" s="15" t="str">
        <f t="shared" si="4"/>
        <v xml:space="preserve"> - </v>
      </c>
      <c r="D26" s="16">
        <v>0</v>
      </c>
      <c r="E26" s="16">
        <v>0</v>
      </c>
      <c r="F26" s="17">
        <v>0</v>
      </c>
      <c r="G26" s="17">
        <v>-0.17</v>
      </c>
      <c r="H26" s="31" t="e">
        <f t="shared" si="1"/>
        <v>#DIV/0!</v>
      </c>
      <c r="I26" s="31" t="e">
        <f t="shared" si="2"/>
        <v>#DIV/0!</v>
      </c>
      <c r="J26" s="32">
        <f t="shared" si="5"/>
        <v>-0.17</v>
      </c>
      <c r="K26" s="32" t="e">
        <f t="shared" si="3"/>
        <v>#DIV/0!</v>
      </c>
      <c r="L26" s="16">
        <v>0</v>
      </c>
      <c r="M26" s="33" t="str">
        <f t="shared" si="6"/>
        <v>-</v>
      </c>
      <c r="N26" s="16">
        <v>1</v>
      </c>
      <c r="O26" s="34">
        <f t="shared" ref="O26:P26" si="34">D26/7</f>
        <v>0</v>
      </c>
      <c r="P26" s="34">
        <f t="shared" si="34"/>
        <v>0</v>
      </c>
      <c r="Q26" s="29" t="e">
        <f t="shared" si="8"/>
        <v>#DIV/0!</v>
      </c>
      <c r="R26" s="29"/>
      <c r="S26" s="21">
        <v>2.827586206896552</v>
      </c>
      <c r="T26" s="28">
        <v>1300</v>
      </c>
      <c r="U26" s="36">
        <v>110</v>
      </c>
      <c r="V26" s="37" t="s">
        <v>222</v>
      </c>
      <c r="W26" s="14">
        <v>0</v>
      </c>
      <c r="X26" s="38">
        <f t="shared" si="9"/>
        <v>0</v>
      </c>
      <c r="Y26" s="39">
        <f t="shared" si="10"/>
        <v>8.5000000000000006E-2</v>
      </c>
      <c r="Z26" s="14">
        <v>2</v>
      </c>
      <c r="AA26" s="28" t="s">
        <v>34</v>
      </c>
      <c r="AB26" s="40">
        <f t="shared" si="11"/>
        <v>-0.69</v>
      </c>
      <c r="AC26" s="41">
        <v>0.23161743055555556</v>
      </c>
      <c r="AD26" s="39">
        <f t="shared" si="12"/>
        <v>0</v>
      </c>
      <c r="AE26" s="25">
        <v>-5.98</v>
      </c>
      <c r="AF26" s="25">
        <v>-9.8490000000000002</v>
      </c>
      <c r="AG26" s="25">
        <v>0</v>
      </c>
    </row>
    <row r="27" spans="1:33" ht="15.75" customHeight="1" x14ac:dyDescent="0.2">
      <c r="A27" s="14" t="s">
        <v>69</v>
      </c>
      <c r="B27" s="14" t="s">
        <v>223</v>
      </c>
      <c r="C27" s="15">
        <f t="shared" si="4"/>
        <v>40.340000000000003</v>
      </c>
      <c r="D27" s="16">
        <v>1</v>
      </c>
      <c r="E27" s="16">
        <v>0</v>
      </c>
      <c r="F27" s="17">
        <v>40.340000000000003</v>
      </c>
      <c r="G27" s="17">
        <v>-7.0000000000000007E-2</v>
      </c>
      <c r="H27" s="31">
        <f t="shared" si="1"/>
        <v>1.7352503718393653E-3</v>
      </c>
      <c r="I27" s="31">
        <f t="shared" si="2"/>
        <v>0.40734675126012221</v>
      </c>
      <c r="J27" s="32">
        <f t="shared" si="5"/>
        <v>16.432367945833331</v>
      </c>
      <c r="K27" s="32">
        <f t="shared" si="3"/>
        <v>16.432367945833331</v>
      </c>
      <c r="L27" s="16">
        <v>8</v>
      </c>
      <c r="M27" s="33">
        <f t="shared" si="6"/>
        <v>0.125</v>
      </c>
      <c r="N27" s="16">
        <v>300</v>
      </c>
      <c r="O27" s="34">
        <f t="shared" ref="O27:P27" si="35">D27/7</f>
        <v>0.14285714285714285</v>
      </c>
      <c r="P27" s="34">
        <f t="shared" si="35"/>
        <v>0</v>
      </c>
      <c r="Q27" s="29">
        <f t="shared" si="8"/>
        <v>2100</v>
      </c>
      <c r="R27" s="29"/>
      <c r="S27" s="21">
        <v>0.22754491017964071</v>
      </c>
      <c r="T27" s="28">
        <v>1300</v>
      </c>
      <c r="U27" s="36">
        <v>110</v>
      </c>
      <c r="V27" s="37" t="s">
        <v>224</v>
      </c>
      <c r="W27" s="14">
        <v>0</v>
      </c>
      <c r="X27" s="38">
        <f t="shared" si="9"/>
        <v>0</v>
      </c>
      <c r="Y27" s="39">
        <f t="shared" si="10"/>
        <v>0</v>
      </c>
      <c r="Z27" s="14">
        <v>0</v>
      </c>
      <c r="AA27" s="28" t="s">
        <v>34</v>
      </c>
      <c r="AB27" s="40">
        <f t="shared" si="11"/>
        <v>-0.69</v>
      </c>
      <c r="AC27" s="41">
        <v>0.23161743055555556</v>
      </c>
      <c r="AD27" s="39">
        <f t="shared" si="12"/>
        <v>-0.31963205416666662</v>
      </c>
      <c r="AE27" s="25">
        <v>-5.98</v>
      </c>
      <c r="AF27" s="25">
        <v>-11.487</v>
      </c>
      <c r="AG27" s="25">
        <v>0</v>
      </c>
    </row>
    <row r="28" spans="1:33" ht="15.75" customHeight="1" x14ac:dyDescent="0.2">
      <c r="A28" s="14" t="s">
        <v>71</v>
      </c>
      <c r="B28" s="14" t="s">
        <v>225</v>
      </c>
      <c r="C28" s="15">
        <f t="shared" si="4"/>
        <v>39.591428571428573</v>
      </c>
      <c r="D28" s="16">
        <v>7</v>
      </c>
      <c r="E28" s="16">
        <v>0</v>
      </c>
      <c r="F28" s="17">
        <v>277.14</v>
      </c>
      <c r="G28" s="17">
        <v>0</v>
      </c>
      <c r="H28" s="31">
        <f t="shared" si="1"/>
        <v>0</v>
      </c>
      <c r="I28" s="31">
        <f t="shared" si="2"/>
        <v>0.40074538363582773</v>
      </c>
      <c r="J28" s="32">
        <f t="shared" si="5"/>
        <v>111.0625756208333</v>
      </c>
      <c r="K28" s="32">
        <f t="shared" si="3"/>
        <v>15.866082231547614</v>
      </c>
      <c r="L28" s="16">
        <v>15</v>
      </c>
      <c r="M28" s="33">
        <f t="shared" si="6"/>
        <v>0.46666666666666667</v>
      </c>
      <c r="N28" s="16">
        <v>293</v>
      </c>
      <c r="O28" s="34">
        <f t="shared" ref="O28:P28" si="36">D28/7</f>
        <v>1</v>
      </c>
      <c r="P28" s="34">
        <f t="shared" si="36"/>
        <v>0</v>
      </c>
      <c r="Q28" s="29">
        <f t="shared" si="8"/>
        <v>293</v>
      </c>
      <c r="R28" s="29"/>
      <c r="S28" s="21">
        <v>0.18633540372670809</v>
      </c>
      <c r="T28" s="28">
        <v>1300</v>
      </c>
      <c r="U28" s="36">
        <v>44384</v>
      </c>
      <c r="V28" s="37" t="s">
        <v>224</v>
      </c>
      <c r="W28" s="14">
        <v>0</v>
      </c>
      <c r="X28" s="38">
        <f t="shared" si="9"/>
        <v>0</v>
      </c>
      <c r="Y28" s="39">
        <f t="shared" si="10"/>
        <v>0</v>
      </c>
      <c r="Z28" s="14">
        <v>0</v>
      </c>
      <c r="AA28" s="28" t="s">
        <v>34</v>
      </c>
      <c r="AB28" s="40">
        <f t="shared" si="11"/>
        <v>-0.69</v>
      </c>
      <c r="AC28" s="41">
        <v>0.23161743055555556</v>
      </c>
      <c r="AD28" s="39">
        <f t="shared" si="12"/>
        <v>-2.2374243791666664</v>
      </c>
      <c r="AE28" s="25">
        <v>-5.98</v>
      </c>
      <c r="AF28" s="25">
        <v>-11.487</v>
      </c>
      <c r="AG28" s="25">
        <v>0</v>
      </c>
    </row>
    <row r="29" spans="1:33" ht="15.75" customHeight="1" x14ac:dyDescent="0.2">
      <c r="A29" s="28" t="s">
        <v>72</v>
      </c>
      <c r="B29" s="28" t="s">
        <v>226</v>
      </c>
      <c r="C29" s="15">
        <f t="shared" si="4"/>
        <v>36.99</v>
      </c>
      <c r="D29" s="29">
        <v>2</v>
      </c>
      <c r="E29" s="29">
        <v>0</v>
      </c>
      <c r="F29" s="32">
        <v>73.98</v>
      </c>
      <c r="G29" s="32">
        <v>0</v>
      </c>
      <c r="H29" s="31">
        <f t="shared" si="1"/>
        <v>0</v>
      </c>
      <c r="I29" s="31">
        <f t="shared" si="2"/>
        <v>0.36915025536180957</v>
      </c>
      <c r="J29" s="32">
        <f t="shared" si="5"/>
        <v>27.309735891666673</v>
      </c>
      <c r="K29" s="32">
        <f t="shared" si="3"/>
        <v>13.654867945833336</v>
      </c>
      <c r="L29" s="29">
        <v>11</v>
      </c>
      <c r="M29" s="33">
        <f t="shared" si="6"/>
        <v>0.18181818181818182</v>
      </c>
      <c r="N29" s="16">
        <v>251</v>
      </c>
      <c r="O29" s="34">
        <f t="shared" ref="O29:P29" si="37">D29/7</f>
        <v>0.2857142857142857</v>
      </c>
      <c r="P29" s="34">
        <f t="shared" si="37"/>
        <v>0</v>
      </c>
      <c r="Q29" s="29">
        <f t="shared" si="8"/>
        <v>878</v>
      </c>
      <c r="R29" s="29"/>
      <c r="S29" s="21">
        <v>0.23021582733812951</v>
      </c>
      <c r="T29" s="28">
        <v>1190</v>
      </c>
      <c r="U29" s="36" t="s">
        <v>33</v>
      </c>
      <c r="V29" s="37" t="s">
        <v>33</v>
      </c>
      <c r="W29" s="14">
        <v>0</v>
      </c>
      <c r="X29" s="38">
        <f t="shared" si="9"/>
        <v>0</v>
      </c>
      <c r="Y29" s="39">
        <f t="shared" si="10"/>
        <v>0</v>
      </c>
      <c r="Z29" s="14">
        <v>0</v>
      </c>
      <c r="AA29" s="28" t="s">
        <v>34</v>
      </c>
      <c r="AB29" s="40">
        <f t="shared" si="11"/>
        <v>-0.69</v>
      </c>
      <c r="AC29" s="41">
        <v>0.23161743055555556</v>
      </c>
      <c r="AD29" s="39">
        <f t="shared" si="12"/>
        <v>-0.63926410833333325</v>
      </c>
      <c r="AE29" s="39">
        <v>-5.98</v>
      </c>
      <c r="AF29" s="25">
        <v>-11.487</v>
      </c>
      <c r="AG29" s="39">
        <v>0</v>
      </c>
    </row>
    <row r="30" spans="1:33" ht="15.75" customHeight="1" x14ac:dyDescent="0.2">
      <c r="A30" s="14" t="s">
        <v>74</v>
      </c>
      <c r="B30" s="14" t="s">
        <v>227</v>
      </c>
      <c r="C30" s="15">
        <f t="shared" si="4"/>
        <v>36.99</v>
      </c>
      <c r="D30" s="16">
        <v>5</v>
      </c>
      <c r="E30" s="16">
        <v>1</v>
      </c>
      <c r="F30" s="17">
        <v>184.95000000000002</v>
      </c>
      <c r="G30" s="17">
        <v>0</v>
      </c>
      <c r="H30" s="31">
        <f t="shared" si="1"/>
        <v>0</v>
      </c>
      <c r="I30" s="31">
        <f t="shared" si="2"/>
        <v>0.37529628011444532</v>
      </c>
      <c r="J30" s="32">
        <f t="shared" si="5"/>
        <v>69.411047007166673</v>
      </c>
      <c r="K30" s="32">
        <f t="shared" si="3"/>
        <v>13.882209401433334</v>
      </c>
      <c r="L30" s="16">
        <v>13</v>
      </c>
      <c r="M30" s="33">
        <f t="shared" si="6"/>
        <v>0.38461538461538464</v>
      </c>
      <c r="N30" s="16">
        <v>276</v>
      </c>
      <c r="O30" s="34">
        <f t="shared" ref="O30:P30" si="38">D30/7</f>
        <v>0.7142857142857143</v>
      </c>
      <c r="P30" s="34">
        <f t="shared" si="38"/>
        <v>0.14285714285714285</v>
      </c>
      <c r="Q30" s="29">
        <f t="shared" si="8"/>
        <v>322</v>
      </c>
      <c r="R30" s="29"/>
      <c r="S30" s="21">
        <v>0.23529411764705879</v>
      </c>
      <c r="T30" s="28">
        <v>1190</v>
      </c>
      <c r="U30" s="36" t="s">
        <v>33</v>
      </c>
      <c r="V30" s="37" t="s">
        <v>33</v>
      </c>
      <c r="W30" s="14">
        <v>0</v>
      </c>
      <c r="X30" s="38">
        <f t="shared" si="9"/>
        <v>0</v>
      </c>
      <c r="Y30" s="39">
        <f t="shared" si="10"/>
        <v>0</v>
      </c>
      <c r="Z30" s="14">
        <v>0</v>
      </c>
      <c r="AA30" s="28" t="s">
        <v>34</v>
      </c>
      <c r="AB30" s="40">
        <f t="shared" si="11"/>
        <v>-0.69</v>
      </c>
      <c r="AC30" s="41">
        <v>0.23161743055555556</v>
      </c>
      <c r="AD30" s="39">
        <f t="shared" si="12"/>
        <v>-1.5981602708333331</v>
      </c>
      <c r="AE30" s="25">
        <v>-5.98</v>
      </c>
      <c r="AF30" s="25">
        <v>-11.259658544400001</v>
      </c>
      <c r="AG30" s="25">
        <v>0</v>
      </c>
    </row>
    <row r="31" spans="1:33" ht="15.75" customHeight="1" x14ac:dyDescent="0.2">
      <c r="A31" s="14" t="s">
        <v>75</v>
      </c>
      <c r="B31" s="14"/>
      <c r="C31" s="15">
        <f t="shared" si="4"/>
        <v>35.845999999999997</v>
      </c>
      <c r="D31" s="16">
        <v>20</v>
      </c>
      <c r="E31" s="16">
        <v>0</v>
      </c>
      <c r="F31" s="17">
        <v>716.92</v>
      </c>
      <c r="G31" s="42">
        <v>0</v>
      </c>
      <c r="H31" s="31">
        <f t="shared" si="1"/>
        <v>0</v>
      </c>
      <c r="I31" s="31">
        <f t="shared" si="2"/>
        <v>0.36014644315776739</v>
      </c>
      <c r="J31" s="32">
        <f t="shared" si="5"/>
        <v>258.1961880286666</v>
      </c>
      <c r="K31" s="32">
        <f t="shared" si="3"/>
        <v>12.90980940143333</v>
      </c>
      <c r="L31" s="16">
        <v>37</v>
      </c>
      <c r="M31" s="33">
        <f t="shared" si="6"/>
        <v>0.54054054054054057</v>
      </c>
      <c r="N31" s="16">
        <v>271</v>
      </c>
      <c r="O31" s="34">
        <f t="shared" ref="O31:P32" si="39">D31/7</f>
        <v>2.8571428571428572</v>
      </c>
      <c r="P31" s="34">
        <f t="shared" si="39"/>
        <v>0</v>
      </c>
      <c r="Q31" s="29">
        <f t="shared" si="8"/>
        <v>94</v>
      </c>
      <c r="R31" s="29"/>
      <c r="S31" s="21">
        <v>0.288524590163934</v>
      </c>
      <c r="T31" s="14">
        <v>390</v>
      </c>
      <c r="U31" s="22" t="s">
        <v>33</v>
      </c>
      <c r="V31" s="1" t="s">
        <v>964</v>
      </c>
      <c r="W31" s="14">
        <v>0</v>
      </c>
      <c r="X31" s="38">
        <f t="shared" si="9"/>
        <v>0</v>
      </c>
      <c r="Y31" s="39">
        <f t="shared" si="10"/>
        <v>0</v>
      </c>
      <c r="Z31" s="14">
        <v>0</v>
      </c>
      <c r="AA31" s="14" t="s">
        <v>34</v>
      </c>
      <c r="AB31" s="40">
        <f t="shared" si="11"/>
        <v>-0.69</v>
      </c>
      <c r="AC31" s="27">
        <v>0.23161743055555556</v>
      </c>
      <c r="AD31" s="39">
        <f t="shared" si="12"/>
        <v>-6.3926410833333325</v>
      </c>
      <c r="AE31" s="43">
        <v>-5.98</v>
      </c>
      <c r="AF31" s="43">
        <v>-11.259658544400001</v>
      </c>
      <c r="AG31" s="25">
        <v>0</v>
      </c>
    </row>
    <row r="32" spans="1:33" s="51" customFormat="1" ht="15.75" customHeight="1" x14ac:dyDescent="0.2">
      <c r="A32" s="51" t="s">
        <v>934</v>
      </c>
      <c r="C32" s="15">
        <f t="shared" si="4"/>
        <v>35.493749999999999</v>
      </c>
      <c r="D32" s="52">
        <v>32</v>
      </c>
      <c r="E32" s="52">
        <v>1</v>
      </c>
      <c r="F32" s="53">
        <v>1135.8</v>
      </c>
      <c r="G32" s="53">
        <v>-0.08</v>
      </c>
      <c r="H32" s="31">
        <f t="shared" si="1"/>
        <v>7.0434935728121151E-5</v>
      </c>
      <c r="I32" s="31">
        <f t="shared" si="2"/>
        <v>0.35521456316769379</v>
      </c>
      <c r="J32" s="32">
        <f t="shared" si="5"/>
        <v>403.45270084586656</v>
      </c>
      <c r="K32" s="32">
        <f t="shared" si="3"/>
        <v>12.60789690143333</v>
      </c>
      <c r="L32" s="52">
        <v>40</v>
      </c>
      <c r="M32" s="33">
        <f t="shared" si="6"/>
        <v>0.8</v>
      </c>
      <c r="N32" s="52">
        <v>237</v>
      </c>
      <c r="O32" s="34">
        <f t="shared" si="39"/>
        <v>4.5714285714285712</v>
      </c>
      <c r="P32" s="34">
        <f t="shared" si="39"/>
        <v>0.14285714285714285</v>
      </c>
      <c r="Q32" s="29">
        <f t="shared" si="8"/>
        <v>50</v>
      </c>
      <c r="R32" s="29" t="str">
        <f ca="1">IFERROR(VLOOKUP($B$2,IMPORTRANGE("https://docs.google.com/spreadsheets/d/1KiWZV1ko8G7lnRucBRBd29jj3Be6ltMfljMDqzOkQmI/edit#gid=1381463014","Lookup!A:F"),6,FALSE),"")</f>
        <v/>
      </c>
      <c r="S32" s="54">
        <v>0.43339253996447602</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0.23161743055555556</v>
      </c>
      <c r="AD32" s="39">
        <f t="shared" si="12"/>
        <v>-10.228225733333332</v>
      </c>
      <c r="AE32" s="58">
        <v>-5.98</v>
      </c>
      <c r="AF32" s="58">
        <v>-11.259658544400001</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14"/>
      <c r="B148" s="14"/>
      <c r="C148" s="45"/>
      <c r="D148" s="45"/>
      <c r="E148" s="45"/>
      <c r="F148" s="45"/>
      <c r="G148" s="45"/>
      <c r="H148" s="45"/>
      <c r="I148" s="45"/>
      <c r="J148" s="45"/>
      <c r="K148" s="45"/>
      <c r="L148" s="45"/>
      <c r="M148" s="45"/>
      <c r="N148" s="45"/>
      <c r="O148" s="45"/>
      <c r="P148" s="45"/>
      <c r="Q148" s="45"/>
      <c r="R148" s="45"/>
      <c r="S148" s="35"/>
      <c r="T148" s="14"/>
      <c r="U148" s="14"/>
      <c r="V148" s="14"/>
      <c r="W148" s="14"/>
      <c r="X148" s="14"/>
      <c r="Y148" s="14"/>
      <c r="Z148" s="14"/>
      <c r="AA148" s="14"/>
      <c r="AB148" s="14"/>
      <c r="AC148" s="14"/>
      <c r="AD148" s="14"/>
      <c r="AE148" s="14"/>
      <c r="AF148" s="14"/>
      <c r="AG148" s="14"/>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24.5" customWidth="1"/>
    <col min="22" max="22" width="22.832031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Info!B1:BJ5000""),3,FALSE),"""")"),"12 AWG Replacement Power Cord with Open End - 6 Ft Black Extension Cable, 12/3 SJT, NEMA 5-15P")</f>
        <v>12 AWG Replacement Power Cord with Open End - 6 Ft Black Extension Cable, 12/3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Info!B1:BJ5000""),2,FALSE),"""")"),"B082FKNTWH")</f>
        <v>B082FKNTWH</v>
      </c>
      <c r="B2" s="3" t="s">
        <v>228</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37.5" customHeight="1" x14ac:dyDescent="0.2">
      <c r="A3" s="76" t="s">
        <v>30</v>
      </c>
      <c r="B3" s="77"/>
      <c r="C3" s="47">
        <f>((AE32+AF32)/0.85)*-1</f>
        <v>8.8680450827529427</v>
      </c>
      <c r="D3" s="5">
        <f>SUM(D4:D99765)</f>
        <v>481</v>
      </c>
      <c r="E3" s="5"/>
      <c r="F3" s="6">
        <f t="shared" ref="F3:G3" si="0">SUM(F4:F99765)</f>
        <v>8232.6699999999964</v>
      </c>
      <c r="G3" s="6">
        <f t="shared" si="0"/>
        <v>-1.2</v>
      </c>
      <c r="H3" s="7">
        <f t="shared" ref="H3:H32" si="1">G3/F3*-1</f>
        <v>1.4576073133017604E-4</v>
      </c>
      <c r="I3" s="8">
        <f t="shared" ref="I3:I32" si="2">J3/F3</f>
        <v>0.41325740584049092</v>
      </c>
      <c r="J3" s="6">
        <f>SUM(J4:J99765)</f>
        <v>3402.2118473408327</v>
      </c>
      <c r="K3" s="6">
        <f t="shared" ref="K3:K32" si="3">J3/D3</f>
        <v>7.0732055038270953</v>
      </c>
      <c r="L3" s="5"/>
      <c r="M3" s="9"/>
      <c r="N3" s="10">
        <v>15</v>
      </c>
      <c r="O3" s="5" t="str">
        <f ca="1">IFERROR(__xludf.DUMMYFUNCTION("IFERROR(VLOOKUP(B2,IMPORTRANGE(""https://docs.google.com/spreadsheets/d/1N8jvpEHDVkurDv7NrPxwI3eH6hQsvtb1QltGNCalRjU/edit#gid=865736387"",""Compiled Sheet!a1:g5000""),2,FALSE),"""")"),"5 - March
5 - April
5 - May
5 - June
5 - July
5 - Aug
5 - Sept
3 - Oct
3 - Nov
1 - Dec
2 - Jan
4 - Feb")</f>
        <v>5 - March
5 - April
5 - May
5 - June
5 - July
5 - Aug
5 - Sept
3 - Oct
3 - Nov
1 - Dec
2 - Jan
4 -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2</v>
      </c>
      <c r="X3" s="7">
        <f>W3/D3</f>
        <v>4.1580041580041582E-3</v>
      </c>
      <c r="Y3" s="6"/>
      <c r="Z3" s="5"/>
      <c r="AA3" s="5"/>
      <c r="AB3" s="5"/>
      <c r="AC3" s="5"/>
      <c r="AD3" s="6">
        <f>SUM(AD4:AD99765)</f>
        <v>-33.844281525226123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Info!B2:BZ7000""),37,FALSE)),"""")*-1"),-3.28783832034)</f>
        <v>-3.2878383203400001</v>
      </c>
      <c r="AG3" s="6">
        <f>SUM(AG4:AG99765)</f>
        <v>0</v>
      </c>
    </row>
    <row r="4" spans="1:33" ht="15.75" customHeight="1" x14ac:dyDescent="0.2">
      <c r="A4" s="14" t="s">
        <v>31</v>
      </c>
      <c r="B4" s="14" t="s">
        <v>194</v>
      </c>
      <c r="C4" s="15">
        <f t="shared" ref="C4:C32" si="4">IFERROR(F4/D4," - ")</f>
        <v>14.923333333333334</v>
      </c>
      <c r="D4" s="16">
        <v>15</v>
      </c>
      <c r="E4" s="16">
        <v>0</v>
      </c>
      <c r="F4" s="17">
        <v>223.85</v>
      </c>
      <c r="G4" s="17">
        <v>-0.13</v>
      </c>
      <c r="H4" s="18">
        <f t="shared" si="1"/>
        <v>5.8074603529148982E-4</v>
      </c>
      <c r="I4" s="18">
        <f t="shared" si="2"/>
        <v>0.36545782822853834</v>
      </c>
      <c r="J4" s="17">
        <f t="shared" ref="J4:J32" si="5">F4*0.85+G4+AF4*D4+D4*AE4+AG4+AD4</f>
        <v>81.807734848958304</v>
      </c>
      <c r="K4" s="17">
        <f t="shared" si="3"/>
        <v>5.4538489899305533</v>
      </c>
      <c r="L4" s="16">
        <v>31</v>
      </c>
      <c r="M4" s="19">
        <f t="shared" ref="M4:M32" si="6">IFERROR(D4/L4,"-")</f>
        <v>0.4838709677419355</v>
      </c>
      <c r="N4" s="16">
        <v>54</v>
      </c>
      <c r="O4" s="20">
        <f t="shared" ref="O4:P4" si="7">D4/7</f>
        <v>2.1428571428571428</v>
      </c>
      <c r="P4" s="20">
        <f t="shared" si="7"/>
        <v>0</v>
      </c>
      <c r="Q4" s="16">
        <f t="shared" ref="Q4:Q32" si="8">ROUNDDOWN(N4/(O4+P4),0)</f>
        <v>25</v>
      </c>
      <c r="R4" s="16"/>
      <c r="S4" s="21">
        <v>2.8508287292817598</v>
      </c>
      <c r="T4" s="14">
        <v>300</v>
      </c>
      <c r="U4" s="22">
        <v>100</v>
      </c>
      <c r="V4" s="23" t="s">
        <v>229</v>
      </c>
      <c r="W4" s="14">
        <v>0</v>
      </c>
      <c r="X4" s="24">
        <f t="shared" ref="X4:X32" si="9">IFERROR(W4/D4,0)</f>
        <v>0</v>
      </c>
      <c r="Y4" s="25">
        <f t="shared" ref="Y4:Y32" si="10">IFERROR(G4/(W4+Z4)*-1,0)</f>
        <v>0</v>
      </c>
      <c r="Z4" s="14">
        <v>0</v>
      </c>
      <c r="AA4" s="2" t="s">
        <v>34</v>
      </c>
      <c r="AB4" s="26">
        <f t="shared" ref="AB4:AB32" si="11">IF(OR(AA4="UsLargeStandardSize",AA4="UsSmallStandardSize"),-0.69,-0.48)</f>
        <v>-0.69</v>
      </c>
      <c r="AC4" s="27">
        <v>3.7911359953703705E-2</v>
      </c>
      <c r="AD4" s="25">
        <f t="shared" ref="AD4:AD32" si="12">IFERROR(AB4*AC4*D4*2,0)</f>
        <v>-0.78476515104166666</v>
      </c>
      <c r="AE4" s="25">
        <v>-4.9000000000000004</v>
      </c>
      <c r="AF4" s="25">
        <v>-2.27</v>
      </c>
      <c r="AG4" s="25">
        <v>0</v>
      </c>
    </row>
    <row r="5" spans="1:33" ht="15.75" customHeight="1" x14ac:dyDescent="0.2">
      <c r="A5" s="28" t="s">
        <v>35</v>
      </c>
      <c r="B5" s="28" t="s">
        <v>194</v>
      </c>
      <c r="C5" s="15">
        <f t="shared" si="4"/>
        <v>15.118</v>
      </c>
      <c r="D5" s="29">
        <v>20</v>
      </c>
      <c r="E5" s="29">
        <v>0</v>
      </c>
      <c r="F5" s="30">
        <v>302.36</v>
      </c>
      <c r="G5" s="30">
        <v>-0.05</v>
      </c>
      <c r="H5" s="31">
        <f t="shared" si="1"/>
        <v>1.653657891255457E-4</v>
      </c>
      <c r="I5" s="31">
        <f t="shared" si="2"/>
        <v>0.37210091944911694</v>
      </c>
      <c r="J5" s="32">
        <f t="shared" si="5"/>
        <v>112.50843400463501</v>
      </c>
      <c r="K5" s="32">
        <f t="shared" si="3"/>
        <v>5.6254217002317501</v>
      </c>
      <c r="L5" s="29">
        <v>64</v>
      </c>
      <c r="M5" s="33">
        <f t="shared" si="6"/>
        <v>0.3125</v>
      </c>
      <c r="N5" s="29">
        <v>37</v>
      </c>
      <c r="O5" s="34">
        <f t="shared" ref="O5:P5" si="13">D5/7</f>
        <v>2.8571428571428572</v>
      </c>
      <c r="P5" s="34">
        <f t="shared" si="13"/>
        <v>0</v>
      </c>
      <c r="Q5" s="29">
        <f t="shared" si="8"/>
        <v>12</v>
      </c>
      <c r="R5" s="29"/>
      <c r="S5" s="35">
        <v>2.6385542168674698</v>
      </c>
      <c r="T5" s="28">
        <v>300</v>
      </c>
      <c r="U5" s="36">
        <v>100</v>
      </c>
      <c r="V5" s="37" t="s">
        <v>230</v>
      </c>
      <c r="W5" s="28">
        <v>0</v>
      </c>
      <c r="X5" s="38">
        <f t="shared" si="9"/>
        <v>0</v>
      </c>
      <c r="Y5" s="39">
        <f t="shared" si="10"/>
        <v>0</v>
      </c>
      <c r="Z5" s="28">
        <v>0</v>
      </c>
      <c r="AA5" s="28" t="s">
        <v>34</v>
      </c>
      <c r="AB5" s="40">
        <f t="shared" si="11"/>
        <v>-0.69</v>
      </c>
      <c r="AC5" s="41">
        <v>3.7955289687137891E-2</v>
      </c>
      <c r="AD5" s="39">
        <f t="shared" si="12"/>
        <v>-1.0475659953650056</v>
      </c>
      <c r="AE5" s="39">
        <v>-4.9000000000000004</v>
      </c>
      <c r="AF5" s="39">
        <v>-2.27</v>
      </c>
      <c r="AG5" s="39">
        <v>0</v>
      </c>
    </row>
    <row r="6" spans="1:33" ht="15.75" customHeight="1" x14ac:dyDescent="0.2">
      <c r="A6" s="28" t="s">
        <v>37</v>
      </c>
      <c r="B6" s="28" t="s">
        <v>194</v>
      </c>
      <c r="C6" s="15">
        <f t="shared" si="4"/>
        <v>15.561764705882354</v>
      </c>
      <c r="D6" s="29">
        <v>17</v>
      </c>
      <c r="E6" s="29">
        <v>1</v>
      </c>
      <c r="F6" s="30">
        <v>264.55</v>
      </c>
      <c r="G6" s="30">
        <v>-0.16</v>
      </c>
      <c r="H6" s="31">
        <f t="shared" si="1"/>
        <v>6.0480060480060474E-4</v>
      </c>
      <c r="I6" s="31">
        <f t="shared" si="2"/>
        <v>0.38528860138153886</v>
      </c>
      <c r="J6" s="32">
        <f t="shared" si="5"/>
        <v>101.92809949548611</v>
      </c>
      <c r="K6" s="32">
        <f t="shared" si="3"/>
        <v>5.9957705585580063</v>
      </c>
      <c r="L6" s="29">
        <v>52</v>
      </c>
      <c r="M6" s="33">
        <f t="shared" si="6"/>
        <v>0.32692307692307693</v>
      </c>
      <c r="N6" s="29">
        <v>25</v>
      </c>
      <c r="O6" s="34">
        <f t="shared" ref="O6:P6" si="14">D6/7</f>
        <v>2.4285714285714284</v>
      </c>
      <c r="P6" s="34">
        <f t="shared" si="14"/>
        <v>0.14285714285714285</v>
      </c>
      <c r="Q6" s="29">
        <f t="shared" si="8"/>
        <v>9</v>
      </c>
      <c r="R6" s="29"/>
      <c r="S6" s="35">
        <v>3.0882352941176401</v>
      </c>
      <c r="T6" s="28">
        <v>200</v>
      </c>
      <c r="U6" s="36">
        <v>75</v>
      </c>
      <c r="V6" s="37" t="s">
        <v>231</v>
      </c>
      <c r="W6" s="28">
        <v>0</v>
      </c>
      <c r="X6" s="38">
        <f t="shared" si="9"/>
        <v>0</v>
      </c>
      <c r="Y6" s="39">
        <f t="shared" si="10"/>
        <v>0</v>
      </c>
      <c r="Z6" s="28">
        <v>0</v>
      </c>
      <c r="AA6" s="28" t="s">
        <v>34</v>
      </c>
      <c r="AB6" s="40">
        <f t="shared" si="11"/>
        <v>-0.69</v>
      </c>
      <c r="AC6" s="41">
        <v>3.7911359953703705E-2</v>
      </c>
      <c r="AD6" s="39">
        <f t="shared" si="12"/>
        <v>-0.88940050451388886</v>
      </c>
      <c r="AE6" s="39">
        <v>-4.9000000000000004</v>
      </c>
      <c r="AF6" s="39">
        <v>-2.27</v>
      </c>
      <c r="AG6" s="39">
        <v>0</v>
      </c>
    </row>
    <row r="7" spans="1:33" ht="15.75" customHeight="1" x14ac:dyDescent="0.2">
      <c r="A7" s="28" t="s">
        <v>40</v>
      </c>
      <c r="B7" s="28" t="s">
        <v>131</v>
      </c>
      <c r="C7" s="15">
        <f t="shared" si="4"/>
        <v>15.425999999999998</v>
      </c>
      <c r="D7" s="29">
        <v>20</v>
      </c>
      <c r="E7" s="29">
        <v>0</v>
      </c>
      <c r="F7" s="30">
        <v>308.52</v>
      </c>
      <c r="G7" s="30">
        <v>-0.08</v>
      </c>
      <c r="H7" s="31">
        <f t="shared" si="1"/>
        <v>2.5930247633864907E-4</v>
      </c>
      <c r="I7" s="31">
        <f t="shared" si="2"/>
        <v>0.38154948290314322</v>
      </c>
      <c r="J7" s="32">
        <f t="shared" si="5"/>
        <v>117.71564646527774</v>
      </c>
      <c r="K7" s="32">
        <f t="shared" si="3"/>
        <v>5.8857823232638875</v>
      </c>
      <c r="L7" s="29">
        <v>48</v>
      </c>
      <c r="M7" s="33">
        <f t="shared" si="6"/>
        <v>0.41666666666666669</v>
      </c>
      <c r="N7" s="29">
        <v>0</v>
      </c>
      <c r="O7" s="34">
        <f t="shared" ref="O7:P7" si="15">D7/7</f>
        <v>2.8571428571428572</v>
      </c>
      <c r="P7" s="34">
        <f t="shared" si="15"/>
        <v>0</v>
      </c>
      <c r="Q7" s="29">
        <f t="shared" si="8"/>
        <v>0</v>
      </c>
      <c r="R7" s="29"/>
      <c r="S7" s="35">
        <v>3.8214285714285698</v>
      </c>
      <c r="T7" s="28">
        <v>200</v>
      </c>
      <c r="U7" s="36">
        <v>75</v>
      </c>
      <c r="V7" s="37" t="s">
        <v>232</v>
      </c>
      <c r="W7" s="28">
        <v>0</v>
      </c>
      <c r="X7" s="38">
        <f t="shared" si="9"/>
        <v>0</v>
      </c>
      <c r="Y7" s="39">
        <f t="shared" si="10"/>
        <v>0</v>
      </c>
      <c r="Z7" s="28">
        <v>0</v>
      </c>
      <c r="AA7" s="28" t="s">
        <v>34</v>
      </c>
      <c r="AB7" s="40">
        <f t="shared" si="11"/>
        <v>-0.69</v>
      </c>
      <c r="AC7" s="41">
        <v>3.7911359953703705E-2</v>
      </c>
      <c r="AD7" s="39">
        <f t="shared" si="12"/>
        <v>-1.0463535347222221</v>
      </c>
      <c r="AE7" s="39">
        <v>-4.9000000000000004</v>
      </c>
      <c r="AF7" s="39">
        <v>-2.27</v>
      </c>
      <c r="AG7" s="39">
        <v>0</v>
      </c>
    </row>
    <row r="8" spans="1:33" ht="15.75" customHeight="1" x14ac:dyDescent="0.2">
      <c r="A8" s="28" t="s">
        <v>42</v>
      </c>
      <c r="B8" s="28" t="s">
        <v>233</v>
      </c>
      <c r="C8" s="15">
        <f t="shared" si="4"/>
        <v>15.43</v>
      </c>
      <c r="D8" s="29">
        <v>1</v>
      </c>
      <c r="E8" s="29">
        <v>0</v>
      </c>
      <c r="F8" s="30">
        <v>15.43</v>
      </c>
      <c r="G8" s="30">
        <v>-0.08</v>
      </c>
      <c r="H8" s="31">
        <f t="shared" si="1"/>
        <v>5.1847051198963059E-3</v>
      </c>
      <c r="I8" s="31">
        <f t="shared" si="2"/>
        <v>0.3767454519289623</v>
      </c>
      <c r="J8" s="32">
        <f t="shared" si="5"/>
        <v>5.813182323263888</v>
      </c>
      <c r="K8" s="32">
        <f t="shared" si="3"/>
        <v>5.813182323263888</v>
      </c>
      <c r="L8" s="29">
        <v>5</v>
      </c>
      <c r="M8" s="33">
        <f t="shared" si="6"/>
        <v>0.2</v>
      </c>
      <c r="N8" s="29">
        <v>101</v>
      </c>
      <c r="O8" s="34">
        <f t="shared" ref="O8:P8" si="16">D8/7</f>
        <v>0.14285714285714285</v>
      </c>
      <c r="P8" s="34">
        <f t="shared" si="16"/>
        <v>0</v>
      </c>
      <c r="Q8" s="29">
        <f t="shared" si="8"/>
        <v>707</v>
      </c>
      <c r="R8" s="29"/>
      <c r="S8" s="35">
        <v>2.89393939393939</v>
      </c>
      <c r="T8" s="28">
        <v>125</v>
      </c>
      <c r="U8" s="36">
        <v>125</v>
      </c>
      <c r="V8" s="37" t="s">
        <v>234</v>
      </c>
      <c r="W8" s="28">
        <v>0</v>
      </c>
      <c r="X8" s="38">
        <f t="shared" si="9"/>
        <v>0</v>
      </c>
      <c r="Y8" s="39">
        <f t="shared" si="10"/>
        <v>0</v>
      </c>
      <c r="Z8" s="28">
        <v>0</v>
      </c>
      <c r="AA8" s="28" t="s">
        <v>34</v>
      </c>
      <c r="AB8" s="40">
        <f t="shared" si="11"/>
        <v>-0.69</v>
      </c>
      <c r="AC8" s="41">
        <v>3.7911359953703705E-2</v>
      </c>
      <c r="AD8" s="39">
        <f t="shared" si="12"/>
        <v>-5.231767673611111E-2</v>
      </c>
      <c r="AE8" s="39">
        <v>-4.9000000000000004</v>
      </c>
      <c r="AF8" s="39">
        <v>-2.27</v>
      </c>
      <c r="AG8" s="39">
        <v>0</v>
      </c>
    </row>
    <row r="9" spans="1:33" ht="15.75" customHeight="1" x14ac:dyDescent="0.2">
      <c r="A9" s="28" t="s">
        <v>44</v>
      </c>
      <c r="B9" s="28" t="s">
        <v>235</v>
      </c>
      <c r="C9" s="15">
        <f t="shared" si="4"/>
        <v>14.346086956521743</v>
      </c>
      <c r="D9" s="29">
        <v>23</v>
      </c>
      <c r="E9" s="29">
        <v>1</v>
      </c>
      <c r="F9" s="30">
        <v>329.96000000000009</v>
      </c>
      <c r="G9" s="30">
        <v>0</v>
      </c>
      <c r="H9" s="31">
        <f t="shared" si="1"/>
        <v>0</v>
      </c>
      <c r="I9" s="31">
        <f t="shared" si="2"/>
        <v>0.34656532135734475</v>
      </c>
      <c r="J9" s="32">
        <f t="shared" si="5"/>
        <v>114.3526934350695</v>
      </c>
      <c r="K9" s="32">
        <f t="shared" si="3"/>
        <v>4.9718562363073691</v>
      </c>
      <c r="L9" s="29">
        <v>67</v>
      </c>
      <c r="M9" s="33">
        <f t="shared" si="6"/>
        <v>0.34328358208955223</v>
      </c>
      <c r="N9" s="29">
        <v>81</v>
      </c>
      <c r="O9" s="34">
        <f t="shared" ref="O9:P9" si="17">D9/7</f>
        <v>3.2857142857142856</v>
      </c>
      <c r="P9" s="34">
        <f t="shared" si="17"/>
        <v>0.14285714285714285</v>
      </c>
      <c r="Q9" s="29">
        <f t="shared" si="8"/>
        <v>23</v>
      </c>
      <c r="R9" s="29"/>
      <c r="S9" s="35">
        <v>2.7526881720430101</v>
      </c>
      <c r="T9" s="28">
        <v>125</v>
      </c>
      <c r="U9" s="36">
        <v>125</v>
      </c>
      <c r="V9" s="37" t="s">
        <v>236</v>
      </c>
      <c r="W9" s="28">
        <v>0</v>
      </c>
      <c r="X9" s="38">
        <f t="shared" si="9"/>
        <v>0</v>
      </c>
      <c r="Y9" s="39">
        <f t="shared" si="10"/>
        <v>0</v>
      </c>
      <c r="Z9" s="28">
        <v>0</v>
      </c>
      <c r="AA9" s="28" t="s">
        <v>34</v>
      </c>
      <c r="AB9" s="40">
        <f t="shared" si="11"/>
        <v>-0.69</v>
      </c>
      <c r="AC9" s="41">
        <v>3.7911359953703705E-2</v>
      </c>
      <c r="AD9" s="39">
        <f t="shared" si="12"/>
        <v>-1.2033065649305554</v>
      </c>
      <c r="AE9" s="39">
        <v>-4.9000000000000004</v>
      </c>
      <c r="AF9" s="39">
        <v>-2.27</v>
      </c>
      <c r="AG9" s="39">
        <v>0</v>
      </c>
    </row>
    <row r="10" spans="1:33" ht="15.75" customHeight="1" x14ac:dyDescent="0.2">
      <c r="A10" s="28" t="s">
        <v>46</v>
      </c>
      <c r="B10" s="28" t="s">
        <v>237</v>
      </c>
      <c r="C10" s="15">
        <f t="shared" si="4"/>
        <v>15.054210526315789</v>
      </c>
      <c r="D10" s="29">
        <v>19</v>
      </c>
      <c r="E10" s="29">
        <v>2</v>
      </c>
      <c r="F10" s="30">
        <v>286.02999999999997</v>
      </c>
      <c r="G10" s="30">
        <v>-0.08</v>
      </c>
      <c r="H10" s="31">
        <f t="shared" si="1"/>
        <v>2.796909415096319E-4</v>
      </c>
      <c r="I10" s="31">
        <f t="shared" si="2"/>
        <v>0.3591254908296817</v>
      </c>
      <c r="J10" s="32">
        <f t="shared" si="5"/>
        <v>102.72066414201385</v>
      </c>
      <c r="K10" s="32">
        <f t="shared" si="3"/>
        <v>5.4063507443165184</v>
      </c>
      <c r="L10" s="29">
        <v>64</v>
      </c>
      <c r="M10" s="33">
        <f t="shared" si="6"/>
        <v>0.296875</v>
      </c>
      <c r="N10" s="29">
        <v>32</v>
      </c>
      <c r="O10" s="34">
        <f t="shared" ref="O10:P10" si="18">D10/7</f>
        <v>2.7142857142857144</v>
      </c>
      <c r="P10" s="34">
        <f t="shared" si="18"/>
        <v>0.2857142857142857</v>
      </c>
      <c r="Q10" s="29">
        <f t="shared" si="8"/>
        <v>10</v>
      </c>
      <c r="R10" s="29"/>
      <c r="S10" s="35">
        <v>3.60180995475113</v>
      </c>
      <c r="T10" s="28">
        <v>125</v>
      </c>
      <c r="U10" s="36">
        <v>125</v>
      </c>
      <c r="V10" s="37" t="s">
        <v>238</v>
      </c>
      <c r="W10" s="28">
        <v>0</v>
      </c>
      <c r="X10" s="38">
        <f t="shared" si="9"/>
        <v>0</v>
      </c>
      <c r="Y10" s="39">
        <f t="shared" si="10"/>
        <v>0</v>
      </c>
      <c r="Z10" s="28">
        <v>0</v>
      </c>
      <c r="AA10" s="28" t="s">
        <v>34</v>
      </c>
      <c r="AB10" s="40">
        <f t="shared" si="11"/>
        <v>-0.69</v>
      </c>
      <c r="AC10" s="41">
        <v>3.7911359953703705E-2</v>
      </c>
      <c r="AD10" s="39">
        <f t="shared" si="12"/>
        <v>-0.99403585798611105</v>
      </c>
      <c r="AE10" s="39">
        <v>-4.9000000000000004</v>
      </c>
      <c r="AF10" s="39">
        <v>-2.4331999999999998</v>
      </c>
      <c r="AG10" s="39">
        <v>0</v>
      </c>
    </row>
    <row r="11" spans="1:33" ht="15.75" customHeight="1" x14ac:dyDescent="0.2">
      <c r="A11" s="28" t="s">
        <v>48</v>
      </c>
      <c r="B11" s="28" t="s">
        <v>150</v>
      </c>
      <c r="C11" s="15">
        <f t="shared" si="4"/>
        <v>14.685</v>
      </c>
      <c r="D11" s="29">
        <v>30</v>
      </c>
      <c r="E11" s="29">
        <v>4</v>
      </c>
      <c r="F11" s="30">
        <v>440.55</v>
      </c>
      <c r="G11" s="30">
        <v>0</v>
      </c>
      <c r="H11" s="31">
        <f t="shared" si="1"/>
        <v>0</v>
      </c>
      <c r="I11" s="31">
        <f t="shared" si="2"/>
        <v>0.3470706382883138</v>
      </c>
      <c r="J11" s="32">
        <f t="shared" si="5"/>
        <v>152.90196969791666</v>
      </c>
      <c r="K11" s="32">
        <f t="shared" si="3"/>
        <v>5.0967323232638888</v>
      </c>
      <c r="L11" s="29">
        <v>56</v>
      </c>
      <c r="M11" s="33">
        <f t="shared" si="6"/>
        <v>0.5357142857142857</v>
      </c>
      <c r="N11" s="29">
        <v>27</v>
      </c>
      <c r="O11" s="34">
        <f t="shared" ref="O11:P11" si="19">D11/7</f>
        <v>4.2857142857142856</v>
      </c>
      <c r="P11" s="34">
        <f t="shared" si="19"/>
        <v>0.5714285714285714</v>
      </c>
      <c r="Q11" s="29">
        <f t="shared" si="8"/>
        <v>5</v>
      </c>
      <c r="R11" s="29"/>
      <c r="S11" s="35" t="e">
        <v>#N/A</v>
      </c>
      <c r="T11" s="28">
        <v>525</v>
      </c>
      <c r="U11" s="36">
        <v>125</v>
      </c>
      <c r="V11" s="37" t="s">
        <v>239</v>
      </c>
      <c r="W11" s="28">
        <v>0</v>
      </c>
      <c r="X11" s="38">
        <f t="shared" si="9"/>
        <v>0</v>
      </c>
      <c r="Y11" s="39">
        <f t="shared" si="10"/>
        <v>0</v>
      </c>
      <c r="Z11" s="28">
        <v>0</v>
      </c>
      <c r="AA11" s="28" t="s">
        <v>34</v>
      </c>
      <c r="AB11" s="40">
        <f t="shared" si="11"/>
        <v>-0.69</v>
      </c>
      <c r="AC11" s="41">
        <v>3.7911359953703705E-2</v>
      </c>
      <c r="AD11" s="39">
        <f t="shared" si="12"/>
        <v>-1.5695303020833333</v>
      </c>
      <c r="AE11" s="39">
        <v>-4.9000000000000004</v>
      </c>
      <c r="AF11" s="39">
        <v>-2.4331999999999998</v>
      </c>
      <c r="AG11" s="39">
        <v>0</v>
      </c>
    </row>
    <row r="12" spans="1:33" ht="15.75" customHeight="1" x14ac:dyDescent="0.2">
      <c r="A12" s="28" t="s">
        <v>49</v>
      </c>
      <c r="B12" s="28" t="s">
        <v>47</v>
      </c>
      <c r="C12" s="15">
        <f t="shared" si="4"/>
        <v>14.842962962962964</v>
      </c>
      <c r="D12" s="29">
        <v>27</v>
      </c>
      <c r="E12" s="29">
        <v>1</v>
      </c>
      <c r="F12" s="30">
        <v>400.76000000000005</v>
      </c>
      <c r="G12" s="30">
        <v>-0.15</v>
      </c>
      <c r="H12" s="31">
        <f t="shared" si="1"/>
        <v>3.7428885118275272E-4</v>
      </c>
      <c r="I12" s="31">
        <f t="shared" si="2"/>
        <v>0.35204866435803234</v>
      </c>
      <c r="J12" s="32">
        <f t="shared" si="5"/>
        <v>141.08702272812505</v>
      </c>
      <c r="K12" s="32">
        <f t="shared" si="3"/>
        <v>5.2254452862268534</v>
      </c>
      <c r="L12" s="29">
        <v>44</v>
      </c>
      <c r="M12" s="33">
        <f t="shared" si="6"/>
        <v>0.61363636363636365</v>
      </c>
      <c r="N12" s="29">
        <v>77</v>
      </c>
      <c r="O12" s="34">
        <f t="shared" ref="O12:P12" si="20">D12/7</f>
        <v>3.8571428571428572</v>
      </c>
      <c r="P12" s="34">
        <f t="shared" si="20"/>
        <v>0.14285714285714285</v>
      </c>
      <c r="Q12" s="29">
        <f t="shared" si="8"/>
        <v>19</v>
      </c>
      <c r="R12" s="29"/>
      <c r="S12" s="35">
        <v>4.6041666666666599</v>
      </c>
      <c r="T12" s="28">
        <v>400</v>
      </c>
      <c r="U12" s="36" t="s">
        <v>33</v>
      </c>
      <c r="V12" s="37" t="s">
        <v>33</v>
      </c>
      <c r="W12" s="28">
        <v>0</v>
      </c>
      <c r="X12" s="38">
        <f t="shared" si="9"/>
        <v>0</v>
      </c>
      <c r="Y12" s="39">
        <f t="shared" si="10"/>
        <v>0</v>
      </c>
      <c r="Z12" s="28">
        <v>0</v>
      </c>
      <c r="AA12" s="28" t="s">
        <v>34</v>
      </c>
      <c r="AB12" s="40">
        <f t="shared" si="11"/>
        <v>-0.69</v>
      </c>
      <c r="AC12" s="41">
        <v>3.7911359953703705E-2</v>
      </c>
      <c r="AD12" s="39">
        <f t="shared" si="12"/>
        <v>-1.412577271875</v>
      </c>
      <c r="AE12" s="39">
        <v>-4.9000000000000004</v>
      </c>
      <c r="AF12" s="39">
        <v>-2.4331999999999998</v>
      </c>
      <c r="AG12" s="39">
        <v>0</v>
      </c>
    </row>
    <row r="13" spans="1:33" ht="15.75" customHeight="1" x14ac:dyDescent="0.2">
      <c r="A13" s="28" t="s">
        <v>50</v>
      </c>
      <c r="B13" s="28" t="s">
        <v>240</v>
      </c>
      <c r="C13" s="15">
        <f t="shared" si="4"/>
        <v>15.416041666666663</v>
      </c>
      <c r="D13" s="29">
        <v>48</v>
      </c>
      <c r="E13" s="29">
        <v>1</v>
      </c>
      <c r="F13" s="32">
        <v>739.9699999999998</v>
      </c>
      <c r="G13" s="30">
        <v>0</v>
      </c>
      <c r="H13" s="31">
        <f t="shared" si="1"/>
        <v>0</v>
      </c>
      <c r="I13" s="31">
        <f t="shared" si="2"/>
        <v>0.36936315190705904</v>
      </c>
      <c r="J13" s="32">
        <f t="shared" si="5"/>
        <v>273.31765151666639</v>
      </c>
      <c r="K13" s="32">
        <f t="shared" si="3"/>
        <v>5.69411773993055</v>
      </c>
      <c r="L13" s="29">
        <v>46</v>
      </c>
      <c r="M13" s="33">
        <f t="shared" si="6"/>
        <v>1.0434782608695652</v>
      </c>
      <c r="N13" s="29">
        <v>154</v>
      </c>
      <c r="O13" s="34">
        <f t="shared" ref="O13:P13" si="21">D13/7</f>
        <v>6.8571428571428568</v>
      </c>
      <c r="P13" s="34">
        <f t="shared" si="21"/>
        <v>0.14285714285714285</v>
      </c>
      <c r="Q13" s="29">
        <f t="shared" si="8"/>
        <v>22</v>
      </c>
      <c r="R13" s="29"/>
      <c r="S13" s="35">
        <v>2.8523676880222801</v>
      </c>
      <c r="T13" s="28">
        <v>400</v>
      </c>
      <c r="U13" s="36" t="s">
        <v>33</v>
      </c>
      <c r="V13" s="37" t="s">
        <v>33</v>
      </c>
      <c r="W13" s="28">
        <v>0</v>
      </c>
      <c r="X13" s="38">
        <f t="shared" si="9"/>
        <v>0</v>
      </c>
      <c r="Y13" s="39">
        <f t="shared" si="10"/>
        <v>0</v>
      </c>
      <c r="Z13" s="28">
        <v>0</v>
      </c>
      <c r="AA13" s="28" t="s">
        <v>34</v>
      </c>
      <c r="AB13" s="40">
        <f t="shared" si="11"/>
        <v>-0.69</v>
      </c>
      <c r="AC13" s="41">
        <v>3.7911359953703705E-2</v>
      </c>
      <c r="AD13" s="39">
        <f t="shared" si="12"/>
        <v>-2.5112484833333335</v>
      </c>
      <c r="AE13" s="39">
        <v>-4.9000000000000004</v>
      </c>
      <c r="AF13" s="39">
        <v>-2.4571999999999998</v>
      </c>
      <c r="AG13" s="39">
        <v>0</v>
      </c>
    </row>
    <row r="14" spans="1:33" ht="15.75" customHeight="1" x14ac:dyDescent="0.2">
      <c r="A14" s="28" t="s">
        <v>51</v>
      </c>
      <c r="B14" s="28" t="s">
        <v>47</v>
      </c>
      <c r="C14" s="15">
        <f t="shared" si="4"/>
        <v>16.782499999999999</v>
      </c>
      <c r="D14" s="29">
        <v>20</v>
      </c>
      <c r="E14" s="29">
        <v>2</v>
      </c>
      <c r="F14" s="32">
        <v>335.65</v>
      </c>
      <c r="G14" s="30">
        <v>0</v>
      </c>
      <c r="H14" s="31">
        <f t="shared" si="1"/>
        <v>0</v>
      </c>
      <c r="I14" s="31">
        <f t="shared" si="2"/>
        <v>0.40849738258685458</v>
      </c>
      <c r="J14" s="32">
        <f t="shared" si="5"/>
        <v>137.11214646527773</v>
      </c>
      <c r="K14" s="32">
        <f t="shared" si="3"/>
        <v>6.8556073232638868</v>
      </c>
      <c r="L14" s="29">
        <v>54</v>
      </c>
      <c r="M14" s="33">
        <f t="shared" si="6"/>
        <v>0.37037037037037035</v>
      </c>
      <c r="N14" s="29">
        <v>136</v>
      </c>
      <c r="O14" s="34">
        <f t="shared" ref="O14:P14" si="22">D14/7</f>
        <v>2.8571428571428572</v>
      </c>
      <c r="P14" s="34">
        <f t="shared" si="22"/>
        <v>0.2857142857142857</v>
      </c>
      <c r="Q14" s="29">
        <f t="shared" si="8"/>
        <v>43</v>
      </c>
      <c r="R14" s="29"/>
      <c r="S14" s="35">
        <v>3.25835866261398</v>
      </c>
      <c r="T14" s="28">
        <v>400</v>
      </c>
      <c r="U14" s="36" t="s">
        <v>33</v>
      </c>
      <c r="V14" s="37" t="s">
        <v>33</v>
      </c>
      <c r="W14" s="28">
        <v>0</v>
      </c>
      <c r="X14" s="38">
        <f t="shared" si="9"/>
        <v>0</v>
      </c>
      <c r="Y14" s="39">
        <f t="shared" si="10"/>
        <v>0</v>
      </c>
      <c r="Z14" s="28">
        <v>0</v>
      </c>
      <c r="AA14" s="28" t="s">
        <v>34</v>
      </c>
      <c r="AB14" s="40">
        <f t="shared" si="11"/>
        <v>-0.69</v>
      </c>
      <c r="AC14" s="41">
        <v>3.7911359953703705E-2</v>
      </c>
      <c r="AD14" s="39">
        <f t="shared" si="12"/>
        <v>-1.0463535347222221</v>
      </c>
      <c r="AE14" s="39">
        <v>-4.9000000000000004</v>
      </c>
      <c r="AF14" s="39">
        <v>-2.4571999999999998</v>
      </c>
      <c r="AG14" s="39">
        <v>0</v>
      </c>
    </row>
    <row r="15" spans="1:33" ht="15.75" customHeight="1" x14ac:dyDescent="0.2">
      <c r="A15" s="28" t="s">
        <v>53</v>
      </c>
      <c r="B15" s="28" t="s">
        <v>241</v>
      </c>
      <c r="C15" s="15">
        <f t="shared" si="4"/>
        <v>17.3</v>
      </c>
      <c r="D15" s="29">
        <v>26</v>
      </c>
      <c r="E15" s="29">
        <v>0</v>
      </c>
      <c r="F15" s="32">
        <v>449.8</v>
      </c>
      <c r="G15" s="30">
        <v>-0.05</v>
      </c>
      <c r="H15" s="31">
        <f t="shared" si="1"/>
        <v>1.1116051578479324E-4</v>
      </c>
      <c r="I15" s="31">
        <f t="shared" si="2"/>
        <v>0.41696874256305261</v>
      </c>
      <c r="J15" s="32">
        <f t="shared" si="5"/>
        <v>187.55254040486108</v>
      </c>
      <c r="K15" s="32">
        <f t="shared" si="3"/>
        <v>7.2135592463408109</v>
      </c>
      <c r="L15" s="29">
        <v>82</v>
      </c>
      <c r="M15" s="33">
        <f t="shared" si="6"/>
        <v>0.31707317073170732</v>
      </c>
      <c r="N15" s="29">
        <v>115</v>
      </c>
      <c r="O15" s="34">
        <f t="shared" ref="O15:P15" si="23">D15/7</f>
        <v>3.7142857142857144</v>
      </c>
      <c r="P15" s="34">
        <f t="shared" si="23"/>
        <v>0</v>
      </c>
      <c r="Q15" s="29">
        <f t="shared" si="8"/>
        <v>30</v>
      </c>
      <c r="R15" s="29"/>
      <c r="S15" s="35">
        <v>4.3538461538461499</v>
      </c>
      <c r="T15" s="28">
        <v>400</v>
      </c>
      <c r="U15" s="36" t="s">
        <v>33</v>
      </c>
      <c r="V15" s="37" t="s">
        <v>33</v>
      </c>
      <c r="W15" s="28">
        <v>0</v>
      </c>
      <c r="X15" s="38">
        <f t="shared" si="9"/>
        <v>0</v>
      </c>
      <c r="Y15" s="39">
        <f t="shared" si="10"/>
        <v>0</v>
      </c>
      <c r="Z15" s="28">
        <v>0</v>
      </c>
      <c r="AA15" s="28" t="s">
        <v>34</v>
      </c>
      <c r="AB15" s="40">
        <f t="shared" si="11"/>
        <v>-0.69</v>
      </c>
      <c r="AC15" s="41">
        <v>3.7911359953703705E-2</v>
      </c>
      <c r="AD15" s="39">
        <f t="shared" si="12"/>
        <v>-1.3602595951388889</v>
      </c>
      <c r="AE15" s="39">
        <v>-4.9000000000000004</v>
      </c>
      <c r="AF15" s="39">
        <v>-2.5371999999999999</v>
      </c>
      <c r="AG15" s="39">
        <v>0</v>
      </c>
    </row>
    <row r="16" spans="1:33" ht="15.75" customHeight="1" x14ac:dyDescent="0.2">
      <c r="A16" s="28" t="s">
        <v>54</v>
      </c>
      <c r="B16" s="28" t="s">
        <v>47</v>
      </c>
      <c r="C16" s="15">
        <f t="shared" si="4"/>
        <v>17.513999999999999</v>
      </c>
      <c r="D16" s="29">
        <v>20</v>
      </c>
      <c r="E16" s="29">
        <v>0</v>
      </c>
      <c r="F16" s="32">
        <v>350.28</v>
      </c>
      <c r="G16" s="30">
        <v>0</v>
      </c>
      <c r="H16" s="31">
        <f t="shared" si="1"/>
        <v>0</v>
      </c>
      <c r="I16" s="31">
        <f t="shared" si="2"/>
        <v>0.42006499330694164</v>
      </c>
      <c r="J16" s="32">
        <f t="shared" si="5"/>
        <v>147.1403658555555</v>
      </c>
      <c r="K16" s="32">
        <f t="shared" si="3"/>
        <v>7.3570182927777754</v>
      </c>
      <c r="L16" s="29">
        <v>66</v>
      </c>
      <c r="M16" s="33">
        <f t="shared" si="6"/>
        <v>0.30303030303030304</v>
      </c>
      <c r="N16" s="29">
        <v>99</v>
      </c>
      <c r="O16" s="34">
        <f t="shared" ref="O16:P16" si="24">D16/7</f>
        <v>2.8571428571428572</v>
      </c>
      <c r="P16" s="34">
        <f t="shared" si="24"/>
        <v>0</v>
      </c>
      <c r="Q16" s="29">
        <f t="shared" si="8"/>
        <v>34</v>
      </c>
      <c r="R16" s="29"/>
      <c r="S16" s="35">
        <v>4.8360655737704903</v>
      </c>
      <c r="T16" s="28">
        <v>400</v>
      </c>
      <c r="U16" s="36" t="s">
        <v>33</v>
      </c>
      <c r="V16" s="37" t="s">
        <v>33</v>
      </c>
      <c r="W16" s="28">
        <v>0</v>
      </c>
      <c r="X16" s="38">
        <f t="shared" si="9"/>
        <v>0</v>
      </c>
      <c r="Y16" s="39">
        <f t="shared" si="10"/>
        <v>0</v>
      </c>
      <c r="Z16" s="28">
        <v>0</v>
      </c>
      <c r="AA16" s="28" t="s">
        <v>34</v>
      </c>
      <c r="AB16" s="40">
        <f t="shared" si="11"/>
        <v>-0.69</v>
      </c>
      <c r="AC16" s="41">
        <v>6.7160657407407412E-2</v>
      </c>
      <c r="AD16" s="39">
        <f t="shared" si="12"/>
        <v>-1.8536341444444444</v>
      </c>
      <c r="AE16" s="39">
        <v>-4.9000000000000004</v>
      </c>
      <c r="AF16" s="39">
        <v>-2.5371999999999999</v>
      </c>
      <c r="AG16" s="39">
        <v>0</v>
      </c>
    </row>
    <row r="17" spans="1:33" ht="15.75" customHeight="1" x14ac:dyDescent="0.2">
      <c r="A17" s="28" t="s">
        <v>55</v>
      </c>
      <c r="B17" s="28" t="s">
        <v>47</v>
      </c>
      <c r="C17" s="15">
        <f t="shared" si="4"/>
        <v>17.653529411764705</v>
      </c>
      <c r="D17" s="29">
        <v>17</v>
      </c>
      <c r="E17" s="29">
        <v>0</v>
      </c>
      <c r="F17" s="32">
        <v>300.10999999999996</v>
      </c>
      <c r="G17" s="30">
        <v>-0.08</v>
      </c>
      <c r="H17" s="31">
        <f t="shared" si="1"/>
        <v>2.665689247275999E-4</v>
      </c>
      <c r="I17" s="31">
        <f t="shared" si="2"/>
        <v>0.42319653119596873</v>
      </c>
      <c r="J17" s="32">
        <f t="shared" si="5"/>
        <v>127.00551097722216</v>
      </c>
      <c r="K17" s="32">
        <f t="shared" si="3"/>
        <v>7.470912410424833</v>
      </c>
      <c r="L17" s="29">
        <v>51</v>
      </c>
      <c r="M17" s="33">
        <f t="shared" si="6"/>
        <v>0.33333333333333331</v>
      </c>
      <c r="N17" s="29">
        <v>78</v>
      </c>
      <c r="O17" s="34">
        <f t="shared" ref="O17:P17" si="25">D17/7</f>
        <v>2.4285714285714284</v>
      </c>
      <c r="P17" s="34">
        <f t="shared" si="25"/>
        <v>0</v>
      </c>
      <c r="Q17" s="29">
        <f t="shared" si="8"/>
        <v>32</v>
      </c>
      <c r="R17" s="29"/>
      <c r="S17" s="35">
        <v>2.8306264501160001</v>
      </c>
      <c r="T17" s="28">
        <v>400</v>
      </c>
      <c r="U17" s="36" t="s">
        <v>33</v>
      </c>
      <c r="V17" s="37" t="s">
        <v>33</v>
      </c>
      <c r="W17" s="28">
        <v>0</v>
      </c>
      <c r="X17" s="38">
        <f t="shared" si="9"/>
        <v>0</v>
      </c>
      <c r="Y17" s="39">
        <f t="shared" si="10"/>
        <v>0</v>
      </c>
      <c r="Z17" s="28">
        <v>0</v>
      </c>
      <c r="AA17" s="28" t="s">
        <v>34</v>
      </c>
      <c r="AB17" s="40">
        <f t="shared" si="11"/>
        <v>-0.69</v>
      </c>
      <c r="AC17" s="41">
        <v>6.7160657407407412E-2</v>
      </c>
      <c r="AD17" s="39">
        <f t="shared" si="12"/>
        <v>-1.5755890227777776</v>
      </c>
      <c r="AE17" s="39">
        <v>-4.9000000000000004</v>
      </c>
      <c r="AF17" s="39">
        <v>-2.5371999999999999</v>
      </c>
      <c r="AG17" s="39">
        <v>0</v>
      </c>
    </row>
    <row r="18" spans="1:33" ht="15.75" customHeight="1" x14ac:dyDescent="0.2">
      <c r="A18" s="28" t="s">
        <v>56</v>
      </c>
      <c r="B18" s="28" t="s">
        <v>47</v>
      </c>
      <c r="C18" s="15">
        <f t="shared" si="4"/>
        <v>18.18888888888889</v>
      </c>
      <c r="D18" s="29">
        <v>9</v>
      </c>
      <c r="E18" s="29">
        <v>0</v>
      </c>
      <c r="F18" s="32">
        <v>163.70000000000002</v>
      </c>
      <c r="G18" s="30">
        <v>-0.08</v>
      </c>
      <c r="H18" s="31">
        <f t="shared" si="1"/>
        <v>4.8869883934025656E-4</v>
      </c>
      <c r="I18" s="31">
        <f t="shared" si="2"/>
        <v>0.43552880045815517</v>
      </c>
      <c r="J18" s="32">
        <f t="shared" si="5"/>
        <v>71.296064635000008</v>
      </c>
      <c r="K18" s="32">
        <f t="shared" si="3"/>
        <v>7.9217849594444454</v>
      </c>
      <c r="L18" s="29">
        <v>49</v>
      </c>
      <c r="M18" s="33">
        <f t="shared" si="6"/>
        <v>0.18367346938775511</v>
      </c>
      <c r="N18" s="29">
        <v>75</v>
      </c>
      <c r="O18" s="34">
        <f t="shared" ref="O18:P18" si="26">D18/7</f>
        <v>1.2857142857142858</v>
      </c>
      <c r="P18" s="34">
        <f t="shared" si="26"/>
        <v>0</v>
      </c>
      <c r="Q18" s="29">
        <f t="shared" si="8"/>
        <v>58</v>
      </c>
      <c r="R18" s="29"/>
      <c r="S18" s="35">
        <v>2.9595959595959598</v>
      </c>
      <c r="T18" s="28">
        <v>400</v>
      </c>
      <c r="U18" s="36">
        <v>0</v>
      </c>
      <c r="V18" s="37" t="s">
        <v>242</v>
      </c>
      <c r="W18" s="28">
        <v>0</v>
      </c>
      <c r="X18" s="38">
        <f t="shared" si="9"/>
        <v>0</v>
      </c>
      <c r="Y18" s="39">
        <f t="shared" si="10"/>
        <v>0</v>
      </c>
      <c r="Z18" s="28">
        <v>0</v>
      </c>
      <c r="AA18" s="28" t="s">
        <v>34</v>
      </c>
      <c r="AB18" s="40">
        <f t="shared" si="11"/>
        <v>-0.69</v>
      </c>
      <c r="AC18" s="41">
        <v>6.7160657407407412E-2</v>
      </c>
      <c r="AD18" s="39">
        <f t="shared" si="12"/>
        <v>-0.83413536499999996</v>
      </c>
      <c r="AE18" s="39">
        <v>-4.9000000000000004</v>
      </c>
      <c r="AF18" s="39">
        <v>-2.5371999999999999</v>
      </c>
      <c r="AG18" s="39">
        <v>0</v>
      </c>
    </row>
    <row r="19" spans="1:33" ht="15.75" customHeight="1" x14ac:dyDescent="0.2">
      <c r="A19" s="28" t="s">
        <v>57</v>
      </c>
      <c r="B19" s="28" t="s">
        <v>47</v>
      </c>
      <c r="C19" s="15">
        <f t="shared" si="4"/>
        <v>18.002307692307689</v>
      </c>
      <c r="D19" s="29">
        <v>13</v>
      </c>
      <c r="E19" s="29">
        <v>0</v>
      </c>
      <c r="F19" s="32">
        <v>234.02999999999997</v>
      </c>
      <c r="G19" s="30">
        <v>0</v>
      </c>
      <c r="H19" s="31">
        <f t="shared" si="1"/>
        <v>0</v>
      </c>
      <c r="I19" s="31">
        <f t="shared" si="2"/>
        <v>0.42519992225830489</v>
      </c>
      <c r="J19" s="32">
        <f t="shared" si="5"/>
        <v>99.509537806111084</v>
      </c>
      <c r="K19" s="32">
        <f t="shared" si="3"/>
        <v>7.6545798312393138</v>
      </c>
      <c r="L19" s="29">
        <v>53</v>
      </c>
      <c r="M19" s="33">
        <f t="shared" si="6"/>
        <v>0.24528301886792453</v>
      </c>
      <c r="N19" s="29">
        <v>65</v>
      </c>
      <c r="O19" s="34">
        <f t="shared" ref="O19:P19" si="27">D19/7</f>
        <v>1.8571428571428572</v>
      </c>
      <c r="P19" s="34">
        <f t="shared" si="27"/>
        <v>0</v>
      </c>
      <c r="Q19" s="29">
        <f t="shared" si="8"/>
        <v>35</v>
      </c>
      <c r="R19" s="29"/>
      <c r="S19" s="35">
        <v>4.06993006993007</v>
      </c>
      <c r="T19" s="28">
        <v>400</v>
      </c>
      <c r="U19" s="36">
        <v>200</v>
      </c>
      <c r="V19" s="37" t="s">
        <v>243</v>
      </c>
      <c r="W19" s="28">
        <v>0</v>
      </c>
      <c r="X19" s="38">
        <f t="shared" si="9"/>
        <v>0</v>
      </c>
      <c r="Y19" s="39">
        <f t="shared" si="10"/>
        <v>0</v>
      </c>
      <c r="Z19" s="28">
        <v>0</v>
      </c>
      <c r="AA19" s="28" t="s">
        <v>34</v>
      </c>
      <c r="AB19" s="40">
        <f t="shared" si="11"/>
        <v>-0.69</v>
      </c>
      <c r="AC19" s="41">
        <v>6.7160657407407412E-2</v>
      </c>
      <c r="AD19" s="39">
        <f t="shared" si="12"/>
        <v>-1.2048621938888888</v>
      </c>
      <c r="AE19" s="39">
        <v>-4.9000000000000004</v>
      </c>
      <c r="AF19" s="39">
        <v>-2.6547000000000001</v>
      </c>
      <c r="AG19" s="39">
        <v>0</v>
      </c>
    </row>
    <row r="20" spans="1:33" ht="15.75" customHeight="1" x14ac:dyDescent="0.2">
      <c r="A20" s="28" t="s">
        <v>58</v>
      </c>
      <c r="B20" s="28" t="s">
        <v>244</v>
      </c>
      <c r="C20" s="15">
        <f t="shared" si="4"/>
        <v>19.240769230769232</v>
      </c>
      <c r="D20" s="29">
        <v>26</v>
      </c>
      <c r="E20" s="29">
        <v>1</v>
      </c>
      <c r="F20" s="32">
        <v>500.26</v>
      </c>
      <c r="G20" s="30">
        <v>0</v>
      </c>
      <c r="H20" s="31">
        <f t="shared" si="1"/>
        <v>0</v>
      </c>
      <c r="I20" s="31">
        <f t="shared" si="2"/>
        <v>0.45254282895338871</v>
      </c>
      <c r="J20" s="32">
        <f t="shared" si="5"/>
        <v>226.38907561222223</v>
      </c>
      <c r="K20" s="32">
        <f t="shared" si="3"/>
        <v>8.707272138931625</v>
      </c>
      <c r="L20" s="29">
        <v>65</v>
      </c>
      <c r="M20" s="33">
        <f t="shared" si="6"/>
        <v>0.4</v>
      </c>
      <c r="N20" s="29">
        <v>43</v>
      </c>
      <c r="O20" s="34">
        <f t="shared" ref="O20:P20" si="28">D20/7</f>
        <v>3.7142857142857144</v>
      </c>
      <c r="P20" s="34">
        <f t="shared" si="28"/>
        <v>0.14285714285714285</v>
      </c>
      <c r="Q20" s="29">
        <f t="shared" si="8"/>
        <v>11</v>
      </c>
      <c r="R20" s="29"/>
      <c r="S20" s="35">
        <v>5.0131004366812197</v>
      </c>
      <c r="T20" s="28">
        <v>400</v>
      </c>
      <c r="U20" s="36">
        <v>200</v>
      </c>
      <c r="V20" s="37" t="s">
        <v>245</v>
      </c>
      <c r="W20" s="28">
        <v>0</v>
      </c>
      <c r="X20" s="38">
        <f t="shared" si="9"/>
        <v>0</v>
      </c>
      <c r="Y20" s="39">
        <f t="shared" si="10"/>
        <v>0</v>
      </c>
      <c r="Z20" s="28">
        <v>0</v>
      </c>
      <c r="AA20" s="28" t="s">
        <v>34</v>
      </c>
      <c r="AB20" s="40">
        <f t="shared" si="11"/>
        <v>-0.69</v>
      </c>
      <c r="AC20" s="41">
        <v>6.7160657407407412E-2</v>
      </c>
      <c r="AD20" s="39">
        <f t="shared" si="12"/>
        <v>-2.4097243877777776</v>
      </c>
      <c r="AE20" s="39">
        <v>-4.9000000000000004</v>
      </c>
      <c r="AF20" s="39">
        <v>-2.6547000000000001</v>
      </c>
      <c r="AG20" s="39">
        <v>0</v>
      </c>
    </row>
    <row r="21" spans="1:33" ht="15.75" customHeight="1" x14ac:dyDescent="0.2">
      <c r="A21" s="28" t="s">
        <v>59</v>
      </c>
      <c r="B21" s="28" t="s">
        <v>246</v>
      </c>
      <c r="C21" s="15">
        <f t="shared" si="4"/>
        <v>19.78833333333333</v>
      </c>
      <c r="D21" s="29">
        <v>6</v>
      </c>
      <c r="E21" s="29">
        <v>0</v>
      </c>
      <c r="F21" s="32">
        <v>118.72999999999999</v>
      </c>
      <c r="G21" s="30">
        <v>0</v>
      </c>
      <c r="H21" s="31">
        <f t="shared" si="1"/>
        <v>0</v>
      </c>
      <c r="I21" s="31">
        <f t="shared" si="2"/>
        <v>0.46354088904797991</v>
      </c>
      <c r="J21" s="32">
        <f t="shared" si="5"/>
        <v>55.036209756666651</v>
      </c>
      <c r="K21" s="32">
        <f t="shared" si="3"/>
        <v>9.1727016261111078</v>
      </c>
      <c r="L21" s="29">
        <v>35</v>
      </c>
      <c r="M21" s="33">
        <f t="shared" si="6"/>
        <v>0.17142857142857143</v>
      </c>
      <c r="N21" s="29">
        <v>34</v>
      </c>
      <c r="O21" s="34">
        <f t="shared" ref="O21:P21" si="29">D21/7</f>
        <v>0.8571428571428571</v>
      </c>
      <c r="P21" s="34">
        <f t="shared" si="29"/>
        <v>0</v>
      </c>
      <c r="Q21" s="29">
        <f t="shared" si="8"/>
        <v>39</v>
      </c>
      <c r="R21" s="29"/>
      <c r="S21" s="35">
        <v>2.8365384615384599</v>
      </c>
      <c r="T21" s="28">
        <v>400</v>
      </c>
      <c r="U21" s="36">
        <v>200</v>
      </c>
      <c r="V21" s="37" t="s">
        <v>247</v>
      </c>
      <c r="W21" s="28">
        <v>0</v>
      </c>
      <c r="X21" s="38">
        <f t="shared" si="9"/>
        <v>0</v>
      </c>
      <c r="Y21" s="39">
        <f t="shared" si="10"/>
        <v>0</v>
      </c>
      <c r="Z21" s="28">
        <v>0</v>
      </c>
      <c r="AA21" s="28" t="s">
        <v>34</v>
      </c>
      <c r="AB21" s="40">
        <f t="shared" si="11"/>
        <v>-0.69</v>
      </c>
      <c r="AC21" s="41">
        <v>6.7160657407407412E-2</v>
      </c>
      <c r="AD21" s="39">
        <f t="shared" si="12"/>
        <v>-0.55609024333333323</v>
      </c>
      <c r="AE21" s="39">
        <v>-4.9000000000000004</v>
      </c>
      <c r="AF21" s="39">
        <v>-2.6547000000000001</v>
      </c>
      <c r="AG21" s="39">
        <v>0</v>
      </c>
    </row>
    <row r="22" spans="1:33" ht="15.75" customHeight="1" x14ac:dyDescent="0.2">
      <c r="A22" s="28" t="s">
        <v>60</v>
      </c>
      <c r="B22" s="28" t="s">
        <v>47</v>
      </c>
      <c r="C22" s="15">
        <f t="shared" si="4"/>
        <v>20.086500000000001</v>
      </c>
      <c r="D22" s="29">
        <v>20</v>
      </c>
      <c r="E22" s="29">
        <v>1</v>
      </c>
      <c r="F22" s="30">
        <v>401.73</v>
      </c>
      <c r="G22" s="30">
        <v>-7.0000000000000007E-2</v>
      </c>
      <c r="H22" s="31">
        <f t="shared" si="1"/>
        <v>1.7424638438752398E-4</v>
      </c>
      <c r="I22" s="31">
        <f t="shared" si="2"/>
        <v>0.46910329289710895</v>
      </c>
      <c r="J22" s="32">
        <f t="shared" si="5"/>
        <v>188.45286585555559</v>
      </c>
      <c r="K22" s="32">
        <f t="shared" si="3"/>
        <v>9.4226432927777797</v>
      </c>
      <c r="L22" s="29">
        <v>64</v>
      </c>
      <c r="M22" s="33">
        <f t="shared" si="6"/>
        <v>0.3125</v>
      </c>
      <c r="N22" s="29">
        <v>20</v>
      </c>
      <c r="O22" s="34">
        <f t="shared" ref="O22:P22" si="30">D22/7</f>
        <v>2.8571428571428572</v>
      </c>
      <c r="P22" s="34">
        <f t="shared" si="30"/>
        <v>0.14285714285714285</v>
      </c>
      <c r="Q22" s="29">
        <f t="shared" si="8"/>
        <v>6</v>
      </c>
      <c r="R22" s="29"/>
      <c r="S22" s="35">
        <v>3.0430107526881698</v>
      </c>
      <c r="T22" s="28">
        <v>800</v>
      </c>
      <c r="U22" s="36">
        <v>200</v>
      </c>
      <c r="V22" s="37" t="s">
        <v>247</v>
      </c>
      <c r="W22" s="28">
        <v>0</v>
      </c>
      <c r="X22" s="38">
        <f t="shared" si="9"/>
        <v>0</v>
      </c>
      <c r="Y22" s="39">
        <f t="shared" si="10"/>
        <v>0</v>
      </c>
      <c r="Z22" s="28">
        <v>0</v>
      </c>
      <c r="AA22" s="28" t="s">
        <v>34</v>
      </c>
      <c r="AB22" s="40">
        <f t="shared" si="11"/>
        <v>-0.69</v>
      </c>
      <c r="AC22" s="41">
        <v>6.7160657407407412E-2</v>
      </c>
      <c r="AD22" s="39">
        <f t="shared" si="12"/>
        <v>-1.8536341444444444</v>
      </c>
      <c r="AE22" s="39">
        <v>-4.9000000000000004</v>
      </c>
      <c r="AF22" s="39">
        <v>-2.6547000000000001</v>
      </c>
      <c r="AG22" s="39">
        <v>0</v>
      </c>
    </row>
    <row r="23" spans="1:33" ht="15.75" customHeight="1" x14ac:dyDescent="0.2">
      <c r="A23" s="28" t="s">
        <v>62</v>
      </c>
      <c r="B23" s="28" t="s">
        <v>150</v>
      </c>
      <c r="C23" s="15">
        <f t="shared" si="4"/>
        <v>20.813333333333333</v>
      </c>
      <c r="D23" s="29">
        <v>9</v>
      </c>
      <c r="E23" s="29">
        <v>1</v>
      </c>
      <c r="F23" s="32">
        <v>187.32</v>
      </c>
      <c r="G23" s="30">
        <v>0</v>
      </c>
      <c r="H23" s="31">
        <f t="shared" si="1"/>
        <v>0</v>
      </c>
      <c r="I23" s="31">
        <f t="shared" si="2"/>
        <v>0.48257294808349344</v>
      </c>
      <c r="J23" s="32">
        <f t="shared" si="5"/>
        <v>90.395564634999985</v>
      </c>
      <c r="K23" s="32">
        <f t="shared" si="3"/>
        <v>10.043951626111109</v>
      </c>
      <c r="L23" s="29">
        <v>52</v>
      </c>
      <c r="M23" s="33">
        <f t="shared" si="6"/>
        <v>0.17307692307692307</v>
      </c>
      <c r="N23" s="29">
        <v>10</v>
      </c>
      <c r="O23" s="34">
        <f t="shared" ref="O23:P23" si="31">D23/7</f>
        <v>1.2857142857142858</v>
      </c>
      <c r="P23" s="34">
        <f t="shared" si="31"/>
        <v>0.14285714285714285</v>
      </c>
      <c r="Q23" s="29">
        <f t="shared" si="8"/>
        <v>7</v>
      </c>
      <c r="R23" s="29"/>
      <c r="S23" s="35">
        <v>3.64779874213836</v>
      </c>
      <c r="T23" s="28">
        <v>800</v>
      </c>
      <c r="U23" s="36">
        <v>200</v>
      </c>
      <c r="V23" s="37" t="s">
        <v>247</v>
      </c>
      <c r="W23" s="28">
        <v>0</v>
      </c>
      <c r="X23" s="38">
        <f t="shared" si="9"/>
        <v>0</v>
      </c>
      <c r="Y23" s="39">
        <f t="shared" si="10"/>
        <v>0</v>
      </c>
      <c r="Z23" s="28">
        <v>0</v>
      </c>
      <c r="AA23" s="28" t="s">
        <v>34</v>
      </c>
      <c r="AB23" s="40">
        <f t="shared" si="11"/>
        <v>-0.69</v>
      </c>
      <c r="AC23" s="41">
        <v>6.7160657407407412E-2</v>
      </c>
      <c r="AD23" s="39">
        <f t="shared" si="12"/>
        <v>-0.83413536499999996</v>
      </c>
      <c r="AE23" s="39">
        <v>-4.9000000000000004</v>
      </c>
      <c r="AF23" s="39">
        <v>-2.6547000000000001</v>
      </c>
      <c r="AG23" s="39">
        <v>0</v>
      </c>
    </row>
    <row r="24" spans="1:33" ht="15.75" customHeight="1" x14ac:dyDescent="0.2">
      <c r="A24" s="28" t="s">
        <v>64</v>
      </c>
      <c r="B24" s="28"/>
      <c r="C24" s="15">
        <f t="shared" si="4"/>
        <v>20.548888888888886</v>
      </c>
      <c r="D24" s="29">
        <v>9</v>
      </c>
      <c r="E24" s="29">
        <v>0</v>
      </c>
      <c r="F24" s="32">
        <v>184.93999999999997</v>
      </c>
      <c r="G24" s="32">
        <v>0</v>
      </c>
      <c r="H24" s="31">
        <f t="shared" si="1"/>
        <v>0</v>
      </c>
      <c r="I24" s="31">
        <f t="shared" si="2"/>
        <v>0.47784451516708126</v>
      </c>
      <c r="J24" s="32">
        <f t="shared" si="5"/>
        <v>88.372564634999989</v>
      </c>
      <c r="K24" s="32">
        <f t="shared" si="3"/>
        <v>9.8191738483333317</v>
      </c>
      <c r="L24" s="29">
        <v>34</v>
      </c>
      <c r="M24" s="33">
        <f t="shared" si="6"/>
        <v>0.26470588235294118</v>
      </c>
      <c r="N24" s="29">
        <v>0</v>
      </c>
      <c r="O24" s="34">
        <f t="shared" ref="O24:P24" si="32">D24/7</f>
        <v>1.2857142857142858</v>
      </c>
      <c r="P24" s="34">
        <f t="shared" si="32"/>
        <v>0</v>
      </c>
      <c r="Q24" s="29">
        <f t="shared" si="8"/>
        <v>0</v>
      </c>
      <c r="R24" s="29"/>
      <c r="S24" s="35">
        <v>4.8767123287671197</v>
      </c>
      <c r="T24" s="28">
        <v>800</v>
      </c>
      <c r="U24" s="36">
        <v>200</v>
      </c>
      <c r="V24" s="37" t="s">
        <v>248</v>
      </c>
      <c r="W24" s="28">
        <v>0</v>
      </c>
      <c r="X24" s="38">
        <f t="shared" si="9"/>
        <v>0</v>
      </c>
      <c r="Y24" s="39">
        <f t="shared" si="10"/>
        <v>0</v>
      </c>
      <c r="Z24" s="28">
        <v>0</v>
      </c>
      <c r="AA24" s="28" t="s">
        <v>34</v>
      </c>
      <c r="AB24" s="40">
        <f t="shared" si="11"/>
        <v>-0.69</v>
      </c>
      <c r="AC24" s="41">
        <v>6.7160657407407412E-2</v>
      </c>
      <c r="AD24" s="39">
        <f t="shared" si="12"/>
        <v>-0.83413536499999996</v>
      </c>
      <c r="AE24" s="39">
        <v>-4.9000000000000004</v>
      </c>
      <c r="AF24" s="39">
        <v>-2.6547000000000001</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900</v>
      </c>
      <c r="U25" s="36">
        <v>200</v>
      </c>
      <c r="V25" s="37" t="s">
        <v>249</v>
      </c>
      <c r="W25" s="14">
        <v>0</v>
      </c>
      <c r="X25" s="38">
        <f t="shared" si="9"/>
        <v>0</v>
      </c>
      <c r="Y25" s="39">
        <f t="shared" si="10"/>
        <v>0</v>
      </c>
      <c r="Z25" s="14">
        <v>0</v>
      </c>
      <c r="AA25" s="28" t="s">
        <v>34</v>
      </c>
      <c r="AB25" s="40">
        <f t="shared" si="11"/>
        <v>-0.69</v>
      </c>
      <c r="AC25" s="41">
        <v>6.7160657407407412E-2</v>
      </c>
      <c r="AD25" s="39">
        <f t="shared" si="12"/>
        <v>0</v>
      </c>
      <c r="AE25" s="39">
        <v>-4.9000000000000004</v>
      </c>
      <c r="AF25" s="39">
        <v>-2.65</v>
      </c>
      <c r="AG25" s="39">
        <v>0</v>
      </c>
    </row>
    <row r="26" spans="1:33" ht="15.75" customHeight="1" x14ac:dyDescent="0.2">
      <c r="A26" s="14" t="s">
        <v>67</v>
      </c>
      <c r="B26" s="14" t="s">
        <v>52</v>
      </c>
      <c r="C26" s="15">
        <f t="shared" si="4"/>
        <v>19.989999999999998</v>
      </c>
      <c r="D26" s="16">
        <v>1</v>
      </c>
      <c r="E26" s="16">
        <v>0</v>
      </c>
      <c r="F26" s="17">
        <v>19.989999999999998</v>
      </c>
      <c r="G26" s="17">
        <v>0</v>
      </c>
      <c r="H26" s="31">
        <f t="shared" si="1"/>
        <v>0</v>
      </c>
      <c r="I26" s="31">
        <f t="shared" si="2"/>
        <v>0.49948765846812293</v>
      </c>
      <c r="J26" s="32">
        <f t="shared" si="5"/>
        <v>9.9847582927777765</v>
      </c>
      <c r="K26" s="32">
        <f t="shared" si="3"/>
        <v>9.9847582927777765</v>
      </c>
      <c r="L26" s="16">
        <v>0</v>
      </c>
      <c r="M26" s="33" t="str">
        <f t="shared" si="6"/>
        <v>-</v>
      </c>
      <c r="N26" s="16">
        <v>0</v>
      </c>
      <c r="O26" s="34">
        <f t="shared" ref="O26:P26" si="34">D26/7</f>
        <v>0.14285714285714285</v>
      </c>
      <c r="P26" s="34">
        <f t="shared" si="34"/>
        <v>0</v>
      </c>
      <c r="Q26" s="29">
        <f t="shared" si="8"/>
        <v>0</v>
      </c>
      <c r="R26" s="29"/>
      <c r="S26" s="21">
        <v>0</v>
      </c>
      <c r="T26" s="28">
        <v>700</v>
      </c>
      <c r="U26" s="36">
        <v>200</v>
      </c>
      <c r="V26" s="37" t="s">
        <v>250</v>
      </c>
      <c r="W26" s="14">
        <v>0</v>
      </c>
      <c r="X26" s="38">
        <f t="shared" si="9"/>
        <v>0</v>
      </c>
      <c r="Y26" s="39">
        <f t="shared" si="10"/>
        <v>0</v>
      </c>
      <c r="Z26" s="14">
        <v>0</v>
      </c>
      <c r="AA26" s="28" t="s">
        <v>34</v>
      </c>
      <c r="AB26" s="40">
        <f t="shared" si="11"/>
        <v>-0.69</v>
      </c>
      <c r="AC26" s="41">
        <v>6.7160657407407412E-2</v>
      </c>
      <c r="AD26" s="39">
        <f t="shared" si="12"/>
        <v>-9.2681707222222215E-2</v>
      </c>
      <c r="AE26" s="25">
        <v>-4.25</v>
      </c>
      <c r="AF26" s="25">
        <v>-2.6640600000000001</v>
      </c>
      <c r="AG26" s="25">
        <v>0</v>
      </c>
    </row>
    <row r="27" spans="1:33" ht="15.75" customHeight="1" x14ac:dyDescent="0.2">
      <c r="A27" s="14" t="s">
        <v>69</v>
      </c>
      <c r="B27" s="14" t="s">
        <v>251</v>
      </c>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200</v>
      </c>
      <c r="O27" s="34">
        <f t="shared" ref="O27:P27" si="35">D27/7</f>
        <v>0</v>
      </c>
      <c r="P27" s="34">
        <f t="shared" si="35"/>
        <v>0</v>
      </c>
      <c r="Q27" s="29" t="e">
        <f t="shared" si="8"/>
        <v>#DIV/0!</v>
      </c>
      <c r="R27" s="29"/>
      <c r="S27" s="21">
        <v>1.44</v>
      </c>
      <c r="T27" s="28">
        <v>700</v>
      </c>
      <c r="U27" s="36">
        <v>200</v>
      </c>
      <c r="V27" s="37" t="s">
        <v>252</v>
      </c>
      <c r="W27" s="14">
        <v>0</v>
      </c>
      <c r="X27" s="38">
        <f t="shared" si="9"/>
        <v>0</v>
      </c>
      <c r="Y27" s="39">
        <f t="shared" si="10"/>
        <v>0</v>
      </c>
      <c r="Z27" s="14">
        <v>0</v>
      </c>
      <c r="AA27" s="28" t="s">
        <v>34</v>
      </c>
      <c r="AB27" s="40">
        <f t="shared" si="11"/>
        <v>-0.69</v>
      </c>
      <c r="AC27" s="41">
        <v>6.7160657407407412E-2</v>
      </c>
      <c r="AD27" s="39">
        <f t="shared" si="12"/>
        <v>0</v>
      </c>
      <c r="AE27" s="25">
        <v>-4.25</v>
      </c>
      <c r="AF27" s="25">
        <v>-3.38856</v>
      </c>
      <c r="AG27" s="25">
        <v>0</v>
      </c>
    </row>
    <row r="28" spans="1:33" ht="15.75" customHeight="1" x14ac:dyDescent="0.2">
      <c r="A28" s="14" t="s">
        <v>71</v>
      </c>
      <c r="B28" s="14" t="s">
        <v>253</v>
      </c>
      <c r="C28" s="15">
        <f t="shared" si="4"/>
        <v>19.934999999999999</v>
      </c>
      <c r="D28" s="16">
        <v>24</v>
      </c>
      <c r="E28" s="16">
        <v>0</v>
      </c>
      <c r="F28" s="17">
        <v>478.44</v>
      </c>
      <c r="G28" s="17">
        <v>0</v>
      </c>
      <c r="H28" s="31">
        <f t="shared" si="1"/>
        <v>0</v>
      </c>
      <c r="I28" s="31">
        <f t="shared" si="2"/>
        <v>0.46217749148621906</v>
      </c>
      <c r="J28" s="32">
        <f t="shared" si="5"/>
        <v>221.12419902666664</v>
      </c>
      <c r="K28" s="32">
        <f t="shared" si="3"/>
        <v>9.2135082927777763</v>
      </c>
      <c r="L28" s="16">
        <v>29</v>
      </c>
      <c r="M28" s="33">
        <f t="shared" si="6"/>
        <v>0.82758620689655171</v>
      </c>
      <c r="N28" s="16">
        <v>175</v>
      </c>
      <c r="O28" s="34">
        <f t="shared" ref="O28:P28" si="36">D28/7</f>
        <v>3.4285714285714284</v>
      </c>
      <c r="P28" s="34">
        <f t="shared" si="36"/>
        <v>0</v>
      </c>
      <c r="Q28" s="29">
        <f t="shared" si="8"/>
        <v>51</v>
      </c>
      <c r="R28" s="29"/>
      <c r="S28" s="21">
        <v>1.656565656565657</v>
      </c>
      <c r="T28" s="28">
        <v>700</v>
      </c>
      <c r="U28" s="36">
        <v>44384</v>
      </c>
      <c r="V28" s="37" t="s">
        <v>252</v>
      </c>
      <c r="W28" s="14">
        <v>0</v>
      </c>
      <c r="X28" s="38">
        <f t="shared" si="9"/>
        <v>0</v>
      </c>
      <c r="Y28" s="39">
        <f t="shared" si="10"/>
        <v>0</v>
      </c>
      <c r="Z28" s="14">
        <v>0</v>
      </c>
      <c r="AA28" s="28" t="s">
        <v>34</v>
      </c>
      <c r="AB28" s="40">
        <f t="shared" si="11"/>
        <v>-0.69</v>
      </c>
      <c r="AC28" s="41">
        <v>6.7160657407407412E-2</v>
      </c>
      <c r="AD28" s="39">
        <f t="shared" si="12"/>
        <v>-2.2243609733333329</v>
      </c>
      <c r="AE28" s="25">
        <v>-4.25</v>
      </c>
      <c r="AF28" s="25">
        <v>-3.38856</v>
      </c>
      <c r="AG28" s="25">
        <v>0</v>
      </c>
    </row>
    <row r="29" spans="1:33" ht="15.75" customHeight="1" x14ac:dyDescent="0.2">
      <c r="A29" s="28" t="s">
        <v>72</v>
      </c>
      <c r="B29" s="28" t="s">
        <v>47</v>
      </c>
      <c r="C29" s="15">
        <f t="shared" si="4"/>
        <v>19.706</v>
      </c>
      <c r="D29" s="29">
        <v>20</v>
      </c>
      <c r="E29" s="29">
        <v>1</v>
      </c>
      <c r="F29" s="32">
        <v>394.12</v>
      </c>
      <c r="G29" s="32">
        <v>-0.16</v>
      </c>
      <c r="H29" s="31">
        <f t="shared" si="1"/>
        <v>4.0596772556581752E-4</v>
      </c>
      <c r="I29" s="31">
        <f t="shared" si="2"/>
        <v>0.45726470581435991</v>
      </c>
      <c r="J29" s="32">
        <f t="shared" si="5"/>
        <v>180.21716585555552</v>
      </c>
      <c r="K29" s="32">
        <f t="shared" si="3"/>
        <v>9.0108582927777761</v>
      </c>
      <c r="L29" s="29">
        <v>33</v>
      </c>
      <c r="M29" s="33">
        <f t="shared" si="6"/>
        <v>0.60606060606060608</v>
      </c>
      <c r="N29" s="16">
        <v>156</v>
      </c>
      <c r="O29" s="34">
        <f t="shared" ref="O29:P29" si="37">D29/7</f>
        <v>2.8571428571428572</v>
      </c>
      <c r="P29" s="34">
        <f t="shared" si="37"/>
        <v>0.14285714285714285</v>
      </c>
      <c r="Q29" s="29">
        <f t="shared" si="8"/>
        <v>52</v>
      </c>
      <c r="R29" s="29"/>
      <c r="S29" s="21">
        <v>2.012422360248447</v>
      </c>
      <c r="T29" s="28">
        <v>500</v>
      </c>
      <c r="U29" s="36" t="s">
        <v>33</v>
      </c>
      <c r="V29" s="37" t="s">
        <v>33</v>
      </c>
      <c r="W29" s="14">
        <v>2</v>
      </c>
      <c r="X29" s="38">
        <f t="shared" si="9"/>
        <v>0.1</v>
      </c>
      <c r="Y29" s="39">
        <f t="shared" si="10"/>
        <v>0.08</v>
      </c>
      <c r="Z29" s="14">
        <v>0</v>
      </c>
      <c r="AA29" s="28" t="s">
        <v>34</v>
      </c>
      <c r="AB29" s="40">
        <f t="shared" si="11"/>
        <v>-0.69</v>
      </c>
      <c r="AC29" s="41">
        <v>6.7160657407407412E-2</v>
      </c>
      <c r="AD29" s="39">
        <f t="shared" si="12"/>
        <v>-1.8536341444444444</v>
      </c>
      <c r="AE29" s="39">
        <v>-4.25</v>
      </c>
      <c r="AF29" s="25">
        <v>-3.38856</v>
      </c>
      <c r="AG29" s="39">
        <v>0</v>
      </c>
    </row>
    <row r="30" spans="1:33" ht="15.75" customHeight="1" x14ac:dyDescent="0.2">
      <c r="A30" s="14" t="s">
        <v>74</v>
      </c>
      <c r="B30" s="14" t="s">
        <v>254</v>
      </c>
      <c r="C30" s="15">
        <f t="shared" si="4"/>
        <v>19.990000000000002</v>
      </c>
      <c r="D30" s="16">
        <v>10</v>
      </c>
      <c r="E30" s="16">
        <v>0</v>
      </c>
      <c r="F30" s="17">
        <v>199.9</v>
      </c>
      <c r="G30" s="17">
        <v>-0.03</v>
      </c>
      <c r="H30" s="31">
        <f t="shared" si="1"/>
        <v>1.5007503751875937E-4</v>
      </c>
      <c r="I30" s="31">
        <f t="shared" si="2"/>
        <v>0.46813306515446607</v>
      </c>
      <c r="J30" s="32">
        <f t="shared" si="5"/>
        <v>93.579799724377764</v>
      </c>
      <c r="K30" s="32">
        <f t="shared" si="3"/>
        <v>9.3579799724377768</v>
      </c>
      <c r="L30" s="16">
        <v>51</v>
      </c>
      <c r="M30" s="33">
        <f t="shared" si="6"/>
        <v>0.19607843137254902</v>
      </c>
      <c r="N30" s="16">
        <v>143</v>
      </c>
      <c r="O30" s="34">
        <f t="shared" ref="O30:P30" si="38">D30/7</f>
        <v>1.4285714285714286</v>
      </c>
      <c r="P30" s="34">
        <f t="shared" si="38"/>
        <v>0</v>
      </c>
      <c r="Q30" s="29">
        <f t="shared" si="8"/>
        <v>100</v>
      </c>
      <c r="R30" s="29"/>
      <c r="S30" s="21">
        <v>2.013422818791947</v>
      </c>
      <c r="T30" s="28">
        <v>500</v>
      </c>
      <c r="U30" s="36" t="s">
        <v>33</v>
      </c>
      <c r="V30" s="37" t="s">
        <v>33</v>
      </c>
      <c r="W30" s="14">
        <v>0</v>
      </c>
      <c r="X30" s="38">
        <f t="shared" si="9"/>
        <v>0</v>
      </c>
      <c r="Y30" s="39">
        <f t="shared" si="10"/>
        <v>0</v>
      </c>
      <c r="Z30" s="14">
        <v>0</v>
      </c>
      <c r="AA30" s="28" t="s">
        <v>34</v>
      </c>
      <c r="AB30" s="40">
        <f t="shared" si="11"/>
        <v>-0.69</v>
      </c>
      <c r="AC30" s="41">
        <v>6.7160657407407412E-2</v>
      </c>
      <c r="AD30" s="39">
        <f t="shared" si="12"/>
        <v>-0.9268170722222222</v>
      </c>
      <c r="AE30" s="25">
        <v>-4.25</v>
      </c>
      <c r="AF30" s="25">
        <v>-3.2878383203400001</v>
      </c>
      <c r="AG30" s="25">
        <v>0</v>
      </c>
    </row>
    <row r="31" spans="1:33" ht="15.75" customHeight="1" x14ac:dyDescent="0.2">
      <c r="A31" s="14" t="s">
        <v>75</v>
      </c>
      <c r="B31" s="14"/>
      <c r="C31" s="15">
        <f t="shared" si="4"/>
        <v>19.580000000000002</v>
      </c>
      <c r="D31" s="16">
        <v>22</v>
      </c>
      <c r="E31" s="16">
        <v>0</v>
      </c>
      <c r="F31" s="17">
        <v>430.76000000000005</v>
      </c>
      <c r="G31" s="42">
        <v>0</v>
      </c>
      <c r="H31" s="31">
        <f t="shared" si="1"/>
        <v>0</v>
      </c>
      <c r="I31" s="31">
        <f t="shared" si="2"/>
        <v>0.46029009052286907</v>
      </c>
      <c r="J31" s="32">
        <f t="shared" si="5"/>
        <v>198.27455939363111</v>
      </c>
      <c r="K31" s="32">
        <f t="shared" si="3"/>
        <v>9.0124799724377773</v>
      </c>
      <c r="L31" s="16">
        <v>45</v>
      </c>
      <c r="M31" s="33">
        <f t="shared" si="6"/>
        <v>0.48888888888888887</v>
      </c>
      <c r="N31" s="16">
        <v>122</v>
      </c>
      <c r="O31" s="34">
        <f t="shared" ref="O31:P32" si="39">D31/7</f>
        <v>3.1428571428571428</v>
      </c>
      <c r="P31" s="34">
        <f t="shared" si="39"/>
        <v>0</v>
      </c>
      <c r="Q31" s="29">
        <f t="shared" si="8"/>
        <v>38</v>
      </c>
      <c r="R31" s="29"/>
      <c r="S31" s="21">
        <v>2.30943396226415</v>
      </c>
      <c r="T31" s="14">
        <v>400</v>
      </c>
      <c r="U31" s="22">
        <v>200</v>
      </c>
      <c r="V31" s="1" t="s">
        <v>956</v>
      </c>
      <c r="W31" s="14">
        <v>0</v>
      </c>
      <c r="X31" s="38">
        <f t="shared" si="9"/>
        <v>0</v>
      </c>
      <c r="Y31" s="39">
        <f t="shared" si="10"/>
        <v>0</v>
      </c>
      <c r="Z31" s="14">
        <v>0</v>
      </c>
      <c r="AA31" s="14" t="s">
        <v>34</v>
      </c>
      <c r="AB31" s="40">
        <f t="shared" si="11"/>
        <v>-0.69</v>
      </c>
      <c r="AC31" s="27">
        <v>6.7160657407407412E-2</v>
      </c>
      <c r="AD31" s="39">
        <f t="shared" si="12"/>
        <v>-2.0389975588888887</v>
      </c>
      <c r="AE31" s="43">
        <v>-4.25</v>
      </c>
      <c r="AF31" s="43">
        <v>-3.2878383203400001</v>
      </c>
      <c r="AG31" s="25">
        <v>0</v>
      </c>
    </row>
    <row r="32" spans="1:33" s="51" customFormat="1" ht="15.75" customHeight="1" x14ac:dyDescent="0.2">
      <c r="A32" s="51" t="s">
        <v>934</v>
      </c>
      <c r="C32" s="15">
        <f t="shared" si="4"/>
        <v>18.992222222222225</v>
      </c>
      <c r="D32" s="52">
        <v>9</v>
      </c>
      <c r="E32" s="52">
        <v>1</v>
      </c>
      <c r="F32" s="53">
        <v>170.93</v>
      </c>
      <c r="G32" s="53">
        <v>0</v>
      </c>
      <c r="H32" s="31">
        <f t="shared" si="1"/>
        <v>0</v>
      </c>
      <c r="I32" s="31">
        <f t="shared" si="2"/>
        <v>0.4482292151871527</v>
      </c>
      <c r="J32" s="32">
        <f t="shared" si="5"/>
        <v>76.615819751940009</v>
      </c>
      <c r="K32" s="32">
        <f t="shared" si="3"/>
        <v>8.5128688613266679</v>
      </c>
      <c r="L32" s="52">
        <v>38</v>
      </c>
      <c r="M32" s="33">
        <f t="shared" si="6"/>
        <v>0.23684210526315788</v>
      </c>
      <c r="N32" s="52">
        <v>116</v>
      </c>
      <c r="O32" s="34">
        <f t="shared" si="39"/>
        <v>1.2857142857142858</v>
      </c>
      <c r="P32" s="34">
        <f t="shared" si="39"/>
        <v>0.14285714285714285</v>
      </c>
      <c r="Q32" s="29">
        <f t="shared" si="8"/>
        <v>81</v>
      </c>
      <c r="R32" s="29" t="str">
        <f ca="1">IFERROR(VLOOKUP($B$2,IMPORTRANGE("https://docs.google.com/spreadsheets/d/1KiWZV1ko8G7lnRucBRBd29jj3Be6ltMfljMDqzOkQmI/edit#gid=1381463014","Lookup!A:F"),6,FALSE),"")</f>
        <v/>
      </c>
      <c r="S32" s="54">
        <v>1.61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6.7160657407407412E-2</v>
      </c>
      <c r="AD32" s="39">
        <f t="shared" si="12"/>
        <v>-0.83413536499999996</v>
      </c>
      <c r="AE32" s="58">
        <v>-4.25</v>
      </c>
      <c r="AF32" s="58">
        <v>-3.2878383203400001</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6.83203125" customWidth="1"/>
    <col min="21" max="21" width="21.83203125" customWidth="1"/>
    <col min="22" max="22" width="48.832031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Info!B1:BJ5000""),3,FALSE),"""")"),"12 AWG Replacement Power Cord with Open End - 10 Ft Black Extension Cable, 12/3 SJT, NEMA 5-15P")</f>
        <v>12 AWG Replacement Power Cord with Open End - 10 Ft Black Extension Cable, 12/3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Info!B1:BJ5000""),2,FALSE),"""")"),"B082FN2CGX")</f>
        <v>B082FN2CGX</v>
      </c>
      <c r="B2" s="3" t="s">
        <v>255</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45.75" customHeight="1" x14ac:dyDescent="0.2">
      <c r="A3" s="76" t="s">
        <v>30</v>
      </c>
      <c r="B3" s="77"/>
      <c r="C3" s="47">
        <f>((AE32+AF32)/0.85)*-1</f>
        <v>11.967007717764707</v>
      </c>
      <c r="D3" s="5">
        <f>SUM(D4:D99765)</f>
        <v>723</v>
      </c>
      <c r="E3" s="5"/>
      <c r="F3" s="6">
        <f t="shared" ref="F3:G3" si="0">SUM(F4:F99765)</f>
        <v>17797.319999999996</v>
      </c>
      <c r="G3" s="6">
        <f t="shared" si="0"/>
        <v>-0.54</v>
      </c>
      <c r="H3" s="7">
        <f t="shared" ref="H3:H32" si="1">G3/F3*-1</f>
        <v>3.0341646944596161E-5</v>
      </c>
      <c r="I3" s="8">
        <f t="shared" ref="I3:I32" si="2">J3/F3</f>
        <v>0.48210489881108043</v>
      </c>
      <c r="J3" s="6">
        <f>SUM(J4:J99765)</f>
        <v>8580.175157708416</v>
      </c>
      <c r="K3" s="6">
        <f t="shared" ref="K3:K32" si="3">J3/D3</f>
        <v>11.867462182169318</v>
      </c>
      <c r="L3" s="5"/>
      <c r="M3" s="9"/>
      <c r="N3" s="10"/>
      <c r="O3" s="5" t="str">
        <f ca="1">IFERROR(__xludf.DUMMYFUNCTION("IFERROR(VLOOKUP(B2,IMPORTRANGE(""https://docs.google.com/spreadsheets/d/1N8jvpEHDVkurDv7NrPxwI3eH6hQsvtb1QltGNCalRjU/edit#gid=865736387"",""Compiled Sheet!a1:g5000""),2,FALSE),"""")"),"7 - March
7 - April
7 - May
7 - June
7 - July
7 - Aug
5 - Sept
7 - Oct
7 - Nov
7 - Dec
5 - Jan
5 - Feb")</f>
        <v>7 - March
7 - April
7 - May
7 - June
7 - July
7 - Aug
5 - Sept
7 - Oct
7 - Nov
7 - Dec
5 - Jan
5 - Feb</v>
      </c>
      <c r="P3" s="5"/>
      <c r="Q3" s="11"/>
      <c r="R3" s="11"/>
      <c r="S3" s="12"/>
      <c r="T3" s="13" t="str">
        <f ca="1">IFERROR(__xludf.DUMMYFUNCTION("CONCATENATE(""Del QTY"", ""-"",IFERROR(VLOOKUP($B$2,IMPORTRANGE(""https://docs.google.com/spreadsheets/d/1_esbIR7_dYaLQXq3pOe98A6enPdKY7UPO5aCcj2tn1I/edit#gid=973934429"",""Inventory Input!A1:AD5000""),2,FALSE),""""))"),"Del QTY-0")</f>
        <v>Del QTY-0</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3</v>
      </c>
      <c r="X3" s="7">
        <f>W3/D3</f>
        <v>4.1493775933609959E-3</v>
      </c>
      <c r="Y3" s="6"/>
      <c r="Z3" s="5"/>
      <c r="AA3" s="5"/>
      <c r="AB3" s="5"/>
      <c r="AC3" s="5"/>
      <c r="AD3" s="6">
        <f>SUM(AD4:AD99765)</f>
        <v>-49.101723211165513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Info!B2:BZ7000""),37,FALSE)),"""")*-1"),-5.2219565601)</f>
        <v>-5.2219565600999998</v>
      </c>
      <c r="AG3" s="6">
        <f>SUM(AG4:AG99765)</f>
        <v>0</v>
      </c>
    </row>
    <row r="4" spans="1:33" ht="15.75" customHeight="1" x14ac:dyDescent="0.2">
      <c r="A4" s="14" t="s">
        <v>31</v>
      </c>
      <c r="B4" s="14" t="s">
        <v>256</v>
      </c>
      <c r="C4" s="15">
        <f t="shared" ref="C4:C32" si="4">IFERROR(F4/D4," - ")</f>
        <v>20.690108695652174</v>
      </c>
      <c r="D4" s="16">
        <v>92</v>
      </c>
      <c r="E4" s="16">
        <v>0</v>
      </c>
      <c r="F4" s="17">
        <v>1903.49</v>
      </c>
      <c r="G4" s="17">
        <v>-0.08</v>
      </c>
      <c r="H4" s="18">
        <f t="shared" si="1"/>
        <v>4.202806423989619E-5</v>
      </c>
      <c r="I4" s="18">
        <f t="shared" si="2"/>
        <v>0.43633468257954255</v>
      </c>
      <c r="J4" s="17">
        <f t="shared" ref="J4:J32" si="5">F4*0.85+G4+AF4*D4+D4*AE4+AG4+AD4</f>
        <v>830.55870494333351</v>
      </c>
      <c r="K4" s="17">
        <f t="shared" si="3"/>
        <v>9.0278120102536246</v>
      </c>
      <c r="L4" s="16">
        <v>92</v>
      </c>
      <c r="M4" s="19">
        <f t="shared" ref="M4:M32" si="6">IFERROR(D4/L4,"-")</f>
        <v>1</v>
      </c>
      <c r="N4" s="16">
        <v>129</v>
      </c>
      <c r="O4" s="20">
        <f t="shared" ref="O4:P4" si="7">D4/7</f>
        <v>13.142857142857142</v>
      </c>
      <c r="P4" s="20">
        <f t="shared" si="7"/>
        <v>0</v>
      </c>
      <c r="Q4" s="16">
        <f t="shared" ref="Q4:Q32" si="8">ROUNDDOWN(N4/(O4+P4),0)</f>
        <v>9</v>
      </c>
      <c r="R4" s="16"/>
      <c r="S4" s="21">
        <v>1.3461785484906801</v>
      </c>
      <c r="T4" s="14">
        <v>550</v>
      </c>
      <c r="U4" s="22">
        <v>150</v>
      </c>
      <c r="V4" s="23" t="s">
        <v>257</v>
      </c>
      <c r="W4" s="14">
        <v>0</v>
      </c>
      <c r="X4" s="24">
        <f t="shared" ref="X4:X32" si="9">IFERROR(W4/D4,0)</f>
        <v>0</v>
      </c>
      <c r="Y4" s="25">
        <f t="shared" ref="Y4:Y32" si="10">IFERROR(G4/(W4+Z4)*-1,0)</f>
        <v>0</v>
      </c>
      <c r="Z4" s="14">
        <v>0</v>
      </c>
      <c r="AA4" s="2" t="s">
        <v>34</v>
      </c>
      <c r="AB4" s="26">
        <f t="shared" ref="AB4:AB32" si="11">IF(OR(AA4="UsLargeStandardSize",AA4="UsSmallStandardSize"),-0.69,-0.48)</f>
        <v>-0.69</v>
      </c>
      <c r="AC4" s="27">
        <v>4.9210736111111111E-2</v>
      </c>
      <c r="AD4" s="25">
        <f t="shared" ref="AD4:AD32" si="12">IFERROR(AB4*AC4*D4*2,0)</f>
        <v>-6.2477950566666669</v>
      </c>
      <c r="AE4" s="25">
        <v>-4.9000000000000004</v>
      </c>
      <c r="AF4" s="25">
        <v>-3.59</v>
      </c>
      <c r="AG4" s="25">
        <v>0</v>
      </c>
    </row>
    <row r="5" spans="1:33" ht="15.75" customHeight="1" x14ac:dyDescent="0.2">
      <c r="A5" s="28" t="s">
        <v>35</v>
      </c>
      <c r="B5" s="28" t="s">
        <v>258</v>
      </c>
      <c r="C5" s="15">
        <f t="shared" si="4"/>
        <v>21.210000000000004</v>
      </c>
      <c r="D5" s="29">
        <v>28</v>
      </c>
      <c r="E5" s="29">
        <v>0</v>
      </c>
      <c r="F5" s="30">
        <v>593.88000000000011</v>
      </c>
      <c r="G5" s="30">
        <v>-0.06</v>
      </c>
      <c r="H5" s="31">
        <f t="shared" si="1"/>
        <v>1.0103051121438673E-4</v>
      </c>
      <c r="I5" s="31">
        <f t="shared" si="2"/>
        <v>0.44641054386913376</v>
      </c>
      <c r="J5" s="32">
        <f t="shared" si="5"/>
        <v>265.1142937930012</v>
      </c>
      <c r="K5" s="32">
        <f t="shared" si="3"/>
        <v>9.4683676354643289</v>
      </c>
      <c r="L5" s="29">
        <v>151</v>
      </c>
      <c r="M5" s="33">
        <f t="shared" si="6"/>
        <v>0.18543046357615894</v>
      </c>
      <c r="N5" s="29">
        <v>53</v>
      </c>
      <c r="O5" s="34">
        <f t="shared" ref="O5:P5" si="13">D5/7</f>
        <v>4</v>
      </c>
      <c r="P5" s="34">
        <f t="shared" si="13"/>
        <v>0</v>
      </c>
      <c r="Q5" s="29">
        <f t="shared" si="8"/>
        <v>13</v>
      </c>
      <c r="R5" s="29"/>
      <c r="S5" s="35">
        <v>1.67513471901462</v>
      </c>
      <c r="T5" s="28">
        <v>550</v>
      </c>
      <c r="U5" s="36">
        <v>150</v>
      </c>
      <c r="V5" s="37" t="s">
        <v>259</v>
      </c>
      <c r="W5" s="28">
        <v>0</v>
      </c>
      <c r="X5" s="38">
        <f t="shared" si="9"/>
        <v>0</v>
      </c>
      <c r="Y5" s="39">
        <f t="shared" si="10"/>
        <v>0</v>
      </c>
      <c r="Z5" s="28">
        <v>0</v>
      </c>
      <c r="AA5" s="28" t="s">
        <v>34</v>
      </c>
      <c r="AB5" s="40">
        <f t="shared" si="11"/>
        <v>-0.69</v>
      </c>
      <c r="AC5" s="41">
        <v>4.9267758980301272E-2</v>
      </c>
      <c r="AD5" s="39">
        <f t="shared" si="12"/>
        <v>-1.9037062069988413</v>
      </c>
      <c r="AE5" s="39">
        <v>-4.9000000000000004</v>
      </c>
      <c r="AF5" s="39">
        <v>-3.59</v>
      </c>
      <c r="AG5" s="39">
        <v>0</v>
      </c>
    </row>
    <row r="6" spans="1:33" ht="15.75" customHeight="1" x14ac:dyDescent="0.2">
      <c r="A6" s="28" t="s">
        <v>37</v>
      </c>
      <c r="B6" s="28" t="s">
        <v>194</v>
      </c>
      <c r="C6" s="15">
        <f t="shared" si="4"/>
        <v>22.773333333333333</v>
      </c>
      <c r="D6" s="29">
        <v>21</v>
      </c>
      <c r="E6" s="29">
        <v>2</v>
      </c>
      <c r="F6" s="30">
        <v>478.24</v>
      </c>
      <c r="G6" s="30">
        <v>-0.08</v>
      </c>
      <c r="H6" s="31">
        <f t="shared" si="1"/>
        <v>1.6728002676480428E-4</v>
      </c>
      <c r="I6" s="31">
        <f t="shared" si="2"/>
        <v>0.47404623801334067</v>
      </c>
      <c r="J6" s="32">
        <f t="shared" si="5"/>
        <v>226.70787286750004</v>
      </c>
      <c r="K6" s="32">
        <f t="shared" si="3"/>
        <v>10.795612993690478</v>
      </c>
      <c r="L6" s="29">
        <v>119</v>
      </c>
      <c r="M6" s="33">
        <f t="shared" si="6"/>
        <v>0.17647058823529413</v>
      </c>
      <c r="N6" s="29">
        <v>31</v>
      </c>
      <c r="O6" s="34">
        <f t="shared" ref="O6:P6" si="14">D6/7</f>
        <v>3</v>
      </c>
      <c r="P6" s="34">
        <f t="shared" si="14"/>
        <v>0.2857142857142857</v>
      </c>
      <c r="Q6" s="29">
        <f t="shared" si="8"/>
        <v>9</v>
      </c>
      <c r="R6" s="29"/>
      <c r="S6" s="35">
        <v>1.72173913043478</v>
      </c>
      <c r="T6" s="28">
        <v>250</v>
      </c>
      <c r="U6" s="36" t="s">
        <v>33</v>
      </c>
      <c r="V6" s="37" t="s">
        <v>39</v>
      </c>
      <c r="W6" s="28">
        <v>0</v>
      </c>
      <c r="X6" s="38">
        <f t="shared" si="9"/>
        <v>0</v>
      </c>
      <c r="Y6" s="39">
        <f t="shared" si="10"/>
        <v>0</v>
      </c>
      <c r="Z6" s="28">
        <v>0</v>
      </c>
      <c r="AA6" s="28" t="s">
        <v>34</v>
      </c>
      <c r="AB6" s="40">
        <f t="shared" si="11"/>
        <v>-0.69</v>
      </c>
      <c r="AC6" s="41">
        <v>4.9210736111111111E-2</v>
      </c>
      <c r="AD6" s="39">
        <f t="shared" si="12"/>
        <v>-1.4261271325</v>
      </c>
      <c r="AE6" s="39">
        <v>-4.9000000000000004</v>
      </c>
      <c r="AF6" s="39">
        <v>-3.59</v>
      </c>
      <c r="AG6" s="39">
        <v>0</v>
      </c>
    </row>
    <row r="7" spans="1:33" ht="15.75" customHeight="1" x14ac:dyDescent="0.2">
      <c r="A7" s="28" t="s">
        <v>40</v>
      </c>
      <c r="B7" s="28" t="s">
        <v>260</v>
      </c>
      <c r="C7" s="15">
        <f t="shared" si="4"/>
        <v>23.188749999999999</v>
      </c>
      <c r="D7" s="29">
        <v>24</v>
      </c>
      <c r="E7" s="29">
        <v>0</v>
      </c>
      <c r="F7" s="30">
        <v>556.53</v>
      </c>
      <c r="G7" s="30">
        <v>0</v>
      </c>
      <c r="H7" s="31">
        <f t="shared" si="1"/>
        <v>0</v>
      </c>
      <c r="I7" s="31">
        <f t="shared" si="2"/>
        <v>0.48094557421882012</v>
      </c>
      <c r="J7" s="32">
        <f t="shared" si="5"/>
        <v>267.66064041999994</v>
      </c>
      <c r="K7" s="32">
        <f t="shared" si="3"/>
        <v>11.152526684166665</v>
      </c>
      <c r="L7" s="29">
        <v>117</v>
      </c>
      <c r="M7" s="33">
        <f t="shared" si="6"/>
        <v>0.20512820512820512</v>
      </c>
      <c r="N7" s="29">
        <v>8</v>
      </c>
      <c r="O7" s="34">
        <f t="shared" ref="O7:P7" si="15">D7/7</f>
        <v>3.4285714285714284</v>
      </c>
      <c r="P7" s="34">
        <f t="shared" si="15"/>
        <v>0</v>
      </c>
      <c r="Q7" s="29">
        <f t="shared" si="8"/>
        <v>2</v>
      </c>
      <c r="R7" s="29"/>
      <c r="S7" s="35">
        <v>1.84795321637426</v>
      </c>
      <c r="T7" s="28">
        <v>250</v>
      </c>
      <c r="U7" s="36">
        <v>200</v>
      </c>
      <c r="V7" s="37" t="s">
        <v>261</v>
      </c>
      <c r="W7" s="28">
        <v>0</v>
      </c>
      <c r="X7" s="38">
        <f t="shared" si="9"/>
        <v>0</v>
      </c>
      <c r="Y7" s="39">
        <f t="shared" si="10"/>
        <v>0</v>
      </c>
      <c r="Z7" s="28">
        <v>0</v>
      </c>
      <c r="AA7" s="28" t="s">
        <v>34</v>
      </c>
      <c r="AB7" s="40">
        <f t="shared" si="11"/>
        <v>-0.69</v>
      </c>
      <c r="AC7" s="41">
        <v>4.9210736111111111E-2</v>
      </c>
      <c r="AD7" s="39">
        <f t="shared" si="12"/>
        <v>-1.62985958</v>
      </c>
      <c r="AE7" s="39">
        <v>-4.9000000000000004</v>
      </c>
      <c r="AF7" s="39">
        <v>-3.59</v>
      </c>
      <c r="AG7" s="39">
        <v>0</v>
      </c>
    </row>
    <row r="8" spans="1:33" ht="15.75" customHeight="1" x14ac:dyDescent="0.2">
      <c r="A8" s="28" t="s">
        <v>42</v>
      </c>
      <c r="B8" s="28" t="s">
        <v>262</v>
      </c>
      <c r="C8" s="15">
        <f t="shared" si="4"/>
        <v>23.745000000000005</v>
      </c>
      <c r="D8" s="29">
        <v>4</v>
      </c>
      <c r="E8" s="29">
        <v>0</v>
      </c>
      <c r="F8" s="30">
        <v>94.980000000000018</v>
      </c>
      <c r="G8" s="30">
        <v>0</v>
      </c>
      <c r="H8" s="31">
        <f t="shared" si="1"/>
        <v>0</v>
      </c>
      <c r="I8" s="31">
        <f t="shared" si="2"/>
        <v>0.48959103744648008</v>
      </c>
      <c r="J8" s="32">
        <f t="shared" si="5"/>
        <v>46.501356736666686</v>
      </c>
      <c r="K8" s="32">
        <f t="shared" si="3"/>
        <v>11.625339184166672</v>
      </c>
      <c r="L8" s="29">
        <v>102</v>
      </c>
      <c r="M8" s="33">
        <f t="shared" si="6"/>
        <v>3.9215686274509803E-2</v>
      </c>
      <c r="N8" s="29">
        <v>73</v>
      </c>
      <c r="O8" s="34">
        <f t="shared" ref="O8:P8" si="16">D8/7</f>
        <v>0.5714285714285714</v>
      </c>
      <c r="P8" s="34">
        <f t="shared" si="16"/>
        <v>0</v>
      </c>
      <c r="Q8" s="29">
        <f t="shared" si="8"/>
        <v>127</v>
      </c>
      <c r="R8" s="29"/>
      <c r="S8" s="35">
        <v>1.82670744138634</v>
      </c>
      <c r="T8" s="28">
        <v>250</v>
      </c>
      <c r="U8" s="36">
        <v>200</v>
      </c>
      <c r="V8" s="37" t="s">
        <v>263</v>
      </c>
      <c r="W8" s="28">
        <v>0</v>
      </c>
      <c r="X8" s="38">
        <f t="shared" si="9"/>
        <v>0</v>
      </c>
      <c r="Y8" s="39">
        <f t="shared" si="10"/>
        <v>0</v>
      </c>
      <c r="Z8" s="28">
        <v>0</v>
      </c>
      <c r="AA8" s="28" t="s">
        <v>34</v>
      </c>
      <c r="AB8" s="40">
        <f t="shared" si="11"/>
        <v>-0.69</v>
      </c>
      <c r="AC8" s="41">
        <v>4.9210736111111111E-2</v>
      </c>
      <c r="AD8" s="39">
        <f t="shared" si="12"/>
        <v>-0.27164326333333333</v>
      </c>
      <c r="AE8" s="39">
        <v>-4.9000000000000004</v>
      </c>
      <c r="AF8" s="39">
        <v>-3.59</v>
      </c>
      <c r="AG8" s="39">
        <v>0</v>
      </c>
    </row>
    <row r="9" spans="1:33" ht="15.75" customHeight="1" x14ac:dyDescent="0.2">
      <c r="A9" s="28" t="s">
        <v>44</v>
      </c>
      <c r="B9" s="28" t="s">
        <v>194</v>
      </c>
      <c r="C9" s="15">
        <f t="shared" si="4"/>
        <v>23.164666666666669</v>
      </c>
      <c r="D9" s="29">
        <v>15</v>
      </c>
      <c r="E9" s="29">
        <v>4</v>
      </c>
      <c r="F9" s="30">
        <v>347.47</v>
      </c>
      <c r="G9" s="30">
        <v>0</v>
      </c>
      <c r="H9" s="31">
        <f t="shared" si="1"/>
        <v>0</v>
      </c>
      <c r="I9" s="31">
        <f t="shared" si="2"/>
        <v>0.48056188379572345</v>
      </c>
      <c r="J9" s="32">
        <f t="shared" si="5"/>
        <v>166.98083776250004</v>
      </c>
      <c r="K9" s="32">
        <f t="shared" si="3"/>
        <v>11.132055850833336</v>
      </c>
      <c r="L9" s="29">
        <v>129</v>
      </c>
      <c r="M9" s="33">
        <f t="shared" si="6"/>
        <v>0.11627906976744186</v>
      </c>
      <c r="N9" s="29">
        <v>62</v>
      </c>
      <c r="O9" s="34">
        <f t="shared" ref="O9:P9" si="17">D9/7</f>
        <v>2.1428571428571428</v>
      </c>
      <c r="P9" s="34">
        <f t="shared" si="17"/>
        <v>0.5714285714285714</v>
      </c>
      <c r="Q9" s="29">
        <f t="shared" si="8"/>
        <v>22</v>
      </c>
      <c r="R9" s="29"/>
      <c r="S9" s="35">
        <v>2.04202719406674</v>
      </c>
      <c r="T9" s="28">
        <v>250</v>
      </c>
      <c r="U9" s="36">
        <v>200</v>
      </c>
      <c r="V9" s="37" t="s">
        <v>264</v>
      </c>
      <c r="W9" s="28">
        <v>0</v>
      </c>
      <c r="X9" s="38">
        <f t="shared" si="9"/>
        <v>0</v>
      </c>
      <c r="Y9" s="39">
        <f t="shared" si="10"/>
        <v>0</v>
      </c>
      <c r="Z9" s="28">
        <v>0</v>
      </c>
      <c r="AA9" s="28" t="s">
        <v>34</v>
      </c>
      <c r="AB9" s="40">
        <f t="shared" si="11"/>
        <v>-0.69</v>
      </c>
      <c r="AC9" s="41">
        <v>4.9210736111111111E-2</v>
      </c>
      <c r="AD9" s="39">
        <f t="shared" si="12"/>
        <v>-1.0186622375000001</v>
      </c>
      <c r="AE9" s="39">
        <v>-4.9000000000000004</v>
      </c>
      <c r="AF9" s="39">
        <v>-3.59</v>
      </c>
      <c r="AG9" s="39">
        <v>0</v>
      </c>
    </row>
    <row r="10" spans="1:33" ht="15.75" customHeight="1" x14ac:dyDescent="0.2">
      <c r="A10" s="28" t="s">
        <v>46</v>
      </c>
      <c r="B10" s="28" t="s">
        <v>265</v>
      </c>
      <c r="C10" s="15">
        <f t="shared" si="4"/>
        <v>23.848275862068967</v>
      </c>
      <c r="D10" s="29">
        <v>29</v>
      </c>
      <c r="E10" s="29">
        <v>0</v>
      </c>
      <c r="F10" s="30">
        <v>691.6</v>
      </c>
      <c r="G10" s="30">
        <v>-0.02</v>
      </c>
      <c r="H10" s="31">
        <f t="shared" si="1"/>
        <v>2.8918449971081551E-5</v>
      </c>
      <c r="I10" s="31">
        <f t="shared" si="2"/>
        <v>0.48176457665215211</v>
      </c>
      <c r="J10" s="32">
        <f t="shared" si="5"/>
        <v>333.18838121262843</v>
      </c>
      <c r="K10" s="32">
        <f t="shared" si="3"/>
        <v>11.489254524573393</v>
      </c>
      <c r="L10" s="29">
        <v>105</v>
      </c>
      <c r="M10" s="33">
        <f t="shared" si="6"/>
        <v>0.27619047619047621</v>
      </c>
      <c r="N10" s="29">
        <v>39</v>
      </c>
      <c r="O10" s="34">
        <f t="shared" ref="O10:P10" si="18">D10/7</f>
        <v>4.1428571428571432</v>
      </c>
      <c r="P10" s="34">
        <f t="shared" si="18"/>
        <v>0</v>
      </c>
      <c r="Q10" s="29">
        <f t="shared" si="8"/>
        <v>9</v>
      </c>
      <c r="R10" s="29"/>
      <c r="S10" s="35">
        <v>2.3096960926193901</v>
      </c>
      <c r="T10" s="28">
        <v>250</v>
      </c>
      <c r="U10" s="36">
        <v>200</v>
      </c>
      <c r="V10" s="37" t="s">
        <v>266</v>
      </c>
      <c r="W10" s="28">
        <v>0</v>
      </c>
      <c r="X10" s="38">
        <f t="shared" si="9"/>
        <v>0</v>
      </c>
      <c r="Y10" s="39">
        <f t="shared" si="10"/>
        <v>0</v>
      </c>
      <c r="Z10" s="28">
        <v>0</v>
      </c>
      <c r="AA10" s="28" t="s">
        <v>34</v>
      </c>
      <c r="AB10" s="40">
        <f t="shared" si="11"/>
        <v>-0.69</v>
      </c>
      <c r="AC10" s="41">
        <v>4.9210736111111111E-2</v>
      </c>
      <c r="AD10" s="39">
        <f t="shared" si="12"/>
        <v>-1.9694136591666667</v>
      </c>
      <c r="AE10" s="39">
        <v>-4.9000000000000004</v>
      </c>
      <c r="AF10" s="39">
        <v>-3.8131794871794802</v>
      </c>
      <c r="AG10" s="39">
        <v>0</v>
      </c>
    </row>
    <row r="11" spans="1:33" ht="15.75" customHeight="1" x14ac:dyDescent="0.2">
      <c r="A11" s="28" t="s">
        <v>48</v>
      </c>
      <c r="B11" s="28" t="s">
        <v>47</v>
      </c>
      <c r="C11" s="15">
        <f t="shared" si="4"/>
        <v>24.869565217391305</v>
      </c>
      <c r="D11" s="29">
        <v>23</v>
      </c>
      <c r="E11" s="29">
        <v>1</v>
      </c>
      <c r="F11" s="30">
        <v>572</v>
      </c>
      <c r="G11" s="30">
        <v>0</v>
      </c>
      <c r="H11" s="31">
        <f t="shared" si="1"/>
        <v>0</v>
      </c>
      <c r="I11" s="31">
        <f t="shared" si="2"/>
        <v>0.49691420110263157</v>
      </c>
      <c r="J11" s="32">
        <f t="shared" si="5"/>
        <v>284.23492303070526</v>
      </c>
      <c r="K11" s="32">
        <f t="shared" si="3"/>
        <v>12.358040131769794</v>
      </c>
      <c r="L11" s="29">
        <v>117</v>
      </c>
      <c r="M11" s="33">
        <f t="shared" si="6"/>
        <v>0.19658119658119658</v>
      </c>
      <c r="N11" s="29">
        <v>50</v>
      </c>
      <c r="O11" s="34">
        <f t="shared" ref="O11:P11" si="19">D11/7</f>
        <v>3.2857142857142856</v>
      </c>
      <c r="P11" s="34">
        <f t="shared" si="19"/>
        <v>0.14285714285714285</v>
      </c>
      <c r="Q11" s="29">
        <f t="shared" si="8"/>
        <v>14</v>
      </c>
      <c r="R11" s="29"/>
      <c r="S11" s="35">
        <v>2.5659163987138198</v>
      </c>
      <c r="T11" s="28">
        <v>1050</v>
      </c>
      <c r="U11" s="36">
        <v>200</v>
      </c>
      <c r="V11" s="37" t="s">
        <v>267</v>
      </c>
      <c r="W11" s="28">
        <v>0</v>
      </c>
      <c r="X11" s="38">
        <f t="shared" si="9"/>
        <v>0</v>
      </c>
      <c r="Y11" s="39">
        <f t="shared" si="10"/>
        <v>0</v>
      </c>
      <c r="Z11" s="28">
        <v>0</v>
      </c>
      <c r="AA11" s="28" t="s">
        <v>34</v>
      </c>
      <c r="AB11" s="40">
        <f t="shared" si="11"/>
        <v>-0.69</v>
      </c>
      <c r="AC11" s="41">
        <v>4.9210736111111111E-2</v>
      </c>
      <c r="AD11" s="39">
        <f t="shared" si="12"/>
        <v>-1.5619487641666667</v>
      </c>
      <c r="AE11" s="39">
        <v>-4.9000000000000004</v>
      </c>
      <c r="AF11" s="39">
        <v>-3.8131794871794802</v>
      </c>
      <c r="AG11" s="39">
        <v>0</v>
      </c>
    </row>
    <row r="12" spans="1:33" ht="15.75" customHeight="1" x14ac:dyDescent="0.2">
      <c r="A12" s="28" t="s">
        <v>49</v>
      </c>
      <c r="B12" s="28" t="s">
        <v>268</v>
      </c>
      <c r="C12" s="15">
        <f t="shared" si="4"/>
        <v>25.138399999999997</v>
      </c>
      <c r="D12" s="29">
        <v>25</v>
      </c>
      <c r="E12" s="29">
        <v>0</v>
      </c>
      <c r="F12" s="30">
        <v>628.45999999999992</v>
      </c>
      <c r="G12" s="30">
        <v>0</v>
      </c>
      <c r="H12" s="31">
        <f t="shared" si="1"/>
        <v>0</v>
      </c>
      <c r="I12" s="31">
        <f t="shared" si="2"/>
        <v>0.50069016711434244</v>
      </c>
      <c r="J12" s="32">
        <f t="shared" si="5"/>
        <v>314.66374242467958</v>
      </c>
      <c r="K12" s="32">
        <f t="shared" si="3"/>
        <v>12.586549696987184</v>
      </c>
      <c r="L12" s="29">
        <v>114</v>
      </c>
      <c r="M12" s="33">
        <f t="shared" si="6"/>
        <v>0.21929824561403508</v>
      </c>
      <c r="N12" s="29">
        <v>49</v>
      </c>
      <c r="O12" s="34">
        <f t="shared" ref="O12:P12" si="20">D12/7</f>
        <v>3.5714285714285716</v>
      </c>
      <c r="P12" s="34">
        <f t="shared" si="20"/>
        <v>0</v>
      </c>
      <c r="Q12" s="29">
        <f t="shared" si="8"/>
        <v>13</v>
      </c>
      <c r="R12" s="29"/>
      <c r="S12" s="35">
        <v>2.8756756756756698</v>
      </c>
      <c r="T12" s="28">
        <v>850</v>
      </c>
      <c r="U12" s="36">
        <v>50</v>
      </c>
      <c r="V12" s="37" t="s">
        <v>269</v>
      </c>
      <c r="W12" s="28">
        <v>0</v>
      </c>
      <c r="X12" s="38">
        <f t="shared" si="9"/>
        <v>0</v>
      </c>
      <c r="Y12" s="39">
        <f t="shared" si="10"/>
        <v>0</v>
      </c>
      <c r="Z12" s="28">
        <v>0</v>
      </c>
      <c r="AA12" s="28" t="s">
        <v>34</v>
      </c>
      <c r="AB12" s="40">
        <f t="shared" si="11"/>
        <v>-0.69</v>
      </c>
      <c r="AC12" s="41">
        <v>4.9210736111111111E-2</v>
      </c>
      <c r="AD12" s="39">
        <f t="shared" si="12"/>
        <v>-1.6977703958333332</v>
      </c>
      <c r="AE12" s="39">
        <v>-4.9000000000000004</v>
      </c>
      <c r="AF12" s="39">
        <v>-3.8131794871794802</v>
      </c>
      <c r="AG12" s="39">
        <v>0</v>
      </c>
    </row>
    <row r="13" spans="1:33" ht="15.75" customHeight="1" x14ac:dyDescent="0.2">
      <c r="A13" s="28" t="s">
        <v>50</v>
      </c>
      <c r="B13" s="28" t="s">
        <v>270</v>
      </c>
      <c r="C13" s="15">
        <f t="shared" si="4"/>
        <v>25.0625</v>
      </c>
      <c r="D13" s="29">
        <v>24</v>
      </c>
      <c r="E13" s="29">
        <v>1</v>
      </c>
      <c r="F13" s="32">
        <v>601.5</v>
      </c>
      <c r="G13" s="30">
        <v>0</v>
      </c>
      <c r="H13" s="31">
        <f t="shared" si="1"/>
        <v>0</v>
      </c>
      <c r="I13" s="31">
        <f t="shared" si="2"/>
        <v>0.49832276046550283</v>
      </c>
      <c r="J13" s="32">
        <f t="shared" si="5"/>
        <v>299.74114041999997</v>
      </c>
      <c r="K13" s="32">
        <f t="shared" si="3"/>
        <v>12.489214184166665</v>
      </c>
      <c r="L13" s="29">
        <v>67</v>
      </c>
      <c r="M13" s="33">
        <f t="shared" si="6"/>
        <v>0.35820895522388058</v>
      </c>
      <c r="N13" s="29">
        <v>257</v>
      </c>
      <c r="O13" s="34">
        <f t="shared" ref="O13:P13" si="21">D13/7</f>
        <v>3.4285714285714284</v>
      </c>
      <c r="P13" s="34">
        <f t="shared" si="21"/>
        <v>0.14285714285714285</v>
      </c>
      <c r="Q13" s="29">
        <f t="shared" si="8"/>
        <v>71</v>
      </c>
      <c r="R13" s="29"/>
      <c r="S13" s="35">
        <v>1.9263024142312499</v>
      </c>
      <c r="T13" s="28">
        <v>850</v>
      </c>
      <c r="U13" s="36">
        <v>50</v>
      </c>
      <c r="V13" s="37" t="s">
        <v>269</v>
      </c>
      <c r="W13" s="28">
        <v>0</v>
      </c>
      <c r="X13" s="38">
        <f t="shared" si="9"/>
        <v>0</v>
      </c>
      <c r="Y13" s="39">
        <f t="shared" si="10"/>
        <v>0</v>
      </c>
      <c r="Z13" s="28">
        <v>0</v>
      </c>
      <c r="AA13" s="28" t="s">
        <v>34</v>
      </c>
      <c r="AB13" s="40">
        <f t="shared" si="11"/>
        <v>-0.69</v>
      </c>
      <c r="AC13" s="41">
        <v>4.9210736111111111E-2</v>
      </c>
      <c r="AD13" s="39">
        <f t="shared" si="12"/>
        <v>-1.62985958</v>
      </c>
      <c r="AE13" s="39">
        <v>-4.9000000000000004</v>
      </c>
      <c r="AF13" s="39">
        <v>-3.8460000000000001</v>
      </c>
      <c r="AG13" s="39">
        <v>0</v>
      </c>
    </row>
    <row r="14" spans="1:33" ht="15.75" customHeight="1" x14ac:dyDescent="0.2">
      <c r="A14" s="28" t="s">
        <v>51</v>
      </c>
      <c r="B14" s="28" t="s">
        <v>47</v>
      </c>
      <c r="C14" s="15">
        <f t="shared" si="4"/>
        <v>24.421176470588232</v>
      </c>
      <c r="D14" s="29">
        <v>34</v>
      </c>
      <c r="E14" s="29">
        <v>0</v>
      </c>
      <c r="F14" s="32">
        <v>830.31999999999994</v>
      </c>
      <c r="G14" s="30">
        <v>0</v>
      </c>
      <c r="H14" s="31">
        <f t="shared" si="1"/>
        <v>0</v>
      </c>
      <c r="I14" s="31">
        <f t="shared" si="2"/>
        <v>0.48908737867528979</v>
      </c>
      <c r="J14" s="32">
        <f t="shared" si="5"/>
        <v>406.09903226166659</v>
      </c>
      <c r="K14" s="32">
        <f t="shared" si="3"/>
        <v>11.944089184166664</v>
      </c>
      <c r="L14" s="29">
        <v>128</v>
      </c>
      <c r="M14" s="33">
        <f t="shared" si="6"/>
        <v>0.265625</v>
      </c>
      <c r="N14" s="29">
        <v>226</v>
      </c>
      <c r="O14" s="34">
        <f t="shared" ref="O14:P14" si="22">D14/7</f>
        <v>4.8571428571428568</v>
      </c>
      <c r="P14" s="34">
        <f t="shared" si="22"/>
        <v>0</v>
      </c>
      <c r="Q14" s="29">
        <f t="shared" si="8"/>
        <v>46</v>
      </c>
      <c r="R14" s="29"/>
      <c r="S14" s="35">
        <v>2.4891846921797001</v>
      </c>
      <c r="T14" s="28">
        <v>850</v>
      </c>
      <c r="U14" s="36">
        <v>50</v>
      </c>
      <c r="V14" s="37" t="s">
        <v>269</v>
      </c>
      <c r="W14" s="28">
        <v>0</v>
      </c>
      <c r="X14" s="38">
        <f t="shared" si="9"/>
        <v>0</v>
      </c>
      <c r="Y14" s="39">
        <f t="shared" si="10"/>
        <v>0</v>
      </c>
      <c r="Z14" s="28">
        <v>0</v>
      </c>
      <c r="AA14" s="28" t="s">
        <v>34</v>
      </c>
      <c r="AB14" s="40">
        <f t="shared" si="11"/>
        <v>-0.69</v>
      </c>
      <c r="AC14" s="41">
        <v>4.9210736111111111E-2</v>
      </c>
      <c r="AD14" s="39">
        <f t="shared" si="12"/>
        <v>-2.3089677383333331</v>
      </c>
      <c r="AE14" s="39">
        <v>-4.9000000000000004</v>
      </c>
      <c r="AF14" s="39">
        <v>-3.8460000000000001</v>
      </c>
      <c r="AG14" s="39">
        <v>0</v>
      </c>
    </row>
    <row r="15" spans="1:33" ht="15.75" customHeight="1" x14ac:dyDescent="0.2">
      <c r="A15" s="28" t="s">
        <v>53</v>
      </c>
      <c r="B15" s="28" t="s">
        <v>47</v>
      </c>
      <c r="C15" s="15">
        <f t="shared" si="4"/>
        <v>24.235737704918034</v>
      </c>
      <c r="D15" s="29">
        <v>61</v>
      </c>
      <c r="E15" s="29">
        <v>1</v>
      </c>
      <c r="F15" s="32">
        <v>1478.38</v>
      </c>
      <c r="G15" s="30">
        <v>0</v>
      </c>
      <c r="H15" s="31">
        <f t="shared" si="1"/>
        <v>0</v>
      </c>
      <c r="I15" s="31">
        <f t="shared" si="2"/>
        <v>0.48137450468361764</v>
      </c>
      <c r="J15" s="32">
        <f t="shared" si="5"/>
        <v>711.65444023416671</v>
      </c>
      <c r="K15" s="32">
        <f t="shared" si="3"/>
        <v>11.666466233346995</v>
      </c>
      <c r="L15" s="29">
        <v>138</v>
      </c>
      <c r="M15" s="33">
        <f t="shared" si="6"/>
        <v>0.4420289855072464</v>
      </c>
      <c r="N15" s="29">
        <v>165</v>
      </c>
      <c r="O15" s="34">
        <f t="shared" ref="O15:P15" si="23">D15/7</f>
        <v>8.7142857142857135</v>
      </c>
      <c r="P15" s="34">
        <f t="shared" si="23"/>
        <v>0.14285714285714285</v>
      </c>
      <c r="Q15" s="29">
        <f t="shared" si="8"/>
        <v>18</v>
      </c>
      <c r="R15" s="29"/>
      <c r="S15" s="35">
        <v>3.4585152838427899</v>
      </c>
      <c r="T15" s="28">
        <v>850</v>
      </c>
      <c r="U15" s="36">
        <v>50</v>
      </c>
      <c r="V15" s="37" t="s">
        <v>269</v>
      </c>
      <c r="W15" s="28">
        <v>0</v>
      </c>
      <c r="X15" s="38">
        <f t="shared" si="9"/>
        <v>0</v>
      </c>
      <c r="Y15" s="39">
        <f t="shared" si="10"/>
        <v>0</v>
      </c>
      <c r="Z15" s="28">
        <v>0</v>
      </c>
      <c r="AA15" s="28" t="s">
        <v>34</v>
      </c>
      <c r="AB15" s="40">
        <f t="shared" si="11"/>
        <v>-0.69</v>
      </c>
      <c r="AC15" s="41">
        <v>4.9210736111111111E-2</v>
      </c>
      <c r="AD15" s="39">
        <f t="shared" si="12"/>
        <v>-4.1425597658333331</v>
      </c>
      <c r="AE15" s="39">
        <v>-4.9000000000000004</v>
      </c>
      <c r="AF15" s="39">
        <v>-3.9660000000000002</v>
      </c>
      <c r="AG15" s="39">
        <v>0</v>
      </c>
    </row>
    <row r="16" spans="1:33" ht="15.75" customHeight="1" x14ac:dyDescent="0.2">
      <c r="A16" s="28" t="s">
        <v>54</v>
      </c>
      <c r="B16" s="28" t="s">
        <v>47</v>
      </c>
      <c r="C16" s="15">
        <f t="shared" si="4"/>
        <v>24.764705882352942</v>
      </c>
      <c r="D16" s="29">
        <v>51</v>
      </c>
      <c r="E16" s="29">
        <v>1</v>
      </c>
      <c r="F16" s="32">
        <v>1263</v>
      </c>
      <c r="G16" s="30">
        <v>0</v>
      </c>
      <c r="H16" s="31">
        <f t="shared" si="1"/>
        <v>0</v>
      </c>
      <c r="I16" s="31">
        <f t="shared" si="2"/>
        <v>0.48924825684283441</v>
      </c>
      <c r="J16" s="32">
        <f t="shared" si="5"/>
        <v>617.92054839249988</v>
      </c>
      <c r="K16" s="32">
        <f t="shared" si="3"/>
        <v>12.116089184166665</v>
      </c>
      <c r="L16" s="29">
        <v>175</v>
      </c>
      <c r="M16" s="33">
        <f t="shared" si="6"/>
        <v>0.29142857142857143</v>
      </c>
      <c r="N16" s="29">
        <v>115</v>
      </c>
      <c r="O16" s="34">
        <f t="shared" ref="O16:P16" si="24">D16/7</f>
        <v>7.2857142857142856</v>
      </c>
      <c r="P16" s="34">
        <f t="shared" si="24"/>
        <v>0.14285714285714285</v>
      </c>
      <c r="Q16" s="29">
        <f t="shared" si="8"/>
        <v>15</v>
      </c>
      <c r="R16" s="29"/>
      <c r="S16" s="35">
        <v>4.4467005076142101</v>
      </c>
      <c r="T16" s="28">
        <v>850</v>
      </c>
      <c r="U16" s="36">
        <v>50</v>
      </c>
      <c r="V16" s="37" t="s">
        <v>269</v>
      </c>
      <c r="W16" s="28">
        <v>0</v>
      </c>
      <c r="X16" s="38">
        <f t="shared" si="9"/>
        <v>0</v>
      </c>
      <c r="Y16" s="39">
        <f t="shared" si="10"/>
        <v>0</v>
      </c>
      <c r="Z16" s="28">
        <v>0</v>
      </c>
      <c r="AA16" s="28" t="s">
        <v>34</v>
      </c>
      <c r="AB16" s="40">
        <f t="shared" si="11"/>
        <v>-0.69</v>
      </c>
      <c r="AC16" s="41">
        <v>4.9210736111111111E-2</v>
      </c>
      <c r="AD16" s="39">
        <f t="shared" si="12"/>
        <v>-3.4634516075000001</v>
      </c>
      <c r="AE16" s="39">
        <v>-4.9000000000000004</v>
      </c>
      <c r="AF16" s="39">
        <v>-3.9660000000000002</v>
      </c>
      <c r="AG16" s="39">
        <v>0</v>
      </c>
    </row>
    <row r="17" spans="1:33" ht="15.75" customHeight="1" x14ac:dyDescent="0.2">
      <c r="A17" s="28" t="s">
        <v>55</v>
      </c>
      <c r="B17" s="28" t="s">
        <v>271</v>
      </c>
      <c r="C17" s="15">
        <f t="shared" si="4"/>
        <v>24.139285714285716</v>
      </c>
      <c r="D17" s="29">
        <v>42</v>
      </c>
      <c r="E17" s="29">
        <v>0</v>
      </c>
      <c r="F17" s="32">
        <v>1013.8500000000001</v>
      </c>
      <c r="G17" s="30">
        <v>-0.16</v>
      </c>
      <c r="H17" s="31">
        <f t="shared" si="1"/>
        <v>1.5781427232825366E-4</v>
      </c>
      <c r="I17" s="31">
        <f t="shared" si="2"/>
        <v>0.47974379418553048</v>
      </c>
      <c r="J17" s="32">
        <f t="shared" si="5"/>
        <v>486.38824573500017</v>
      </c>
      <c r="K17" s="32">
        <f t="shared" si="3"/>
        <v>11.580672517500004</v>
      </c>
      <c r="L17" s="29">
        <v>135</v>
      </c>
      <c r="M17" s="33">
        <f t="shared" si="6"/>
        <v>0.31111111111111112</v>
      </c>
      <c r="N17" s="29">
        <v>78</v>
      </c>
      <c r="O17" s="34">
        <f t="shared" ref="O17:P17" si="25">D17/7</f>
        <v>6</v>
      </c>
      <c r="P17" s="34">
        <f t="shared" si="25"/>
        <v>0</v>
      </c>
      <c r="Q17" s="29">
        <f t="shared" si="8"/>
        <v>13</v>
      </c>
      <c r="R17" s="29"/>
      <c r="S17" s="35">
        <v>2.9019607843137201</v>
      </c>
      <c r="T17" s="28">
        <v>850</v>
      </c>
      <c r="U17" s="36">
        <v>50</v>
      </c>
      <c r="V17" s="37" t="s">
        <v>269</v>
      </c>
      <c r="W17" s="28">
        <v>3</v>
      </c>
      <c r="X17" s="38">
        <f t="shared" si="9"/>
        <v>7.1428571428571425E-2</v>
      </c>
      <c r="Y17" s="39">
        <f t="shared" si="10"/>
        <v>5.3333333333333337E-2</v>
      </c>
      <c r="Z17" s="28">
        <v>0</v>
      </c>
      <c r="AA17" s="28" t="s">
        <v>34</v>
      </c>
      <c r="AB17" s="40">
        <f t="shared" si="11"/>
        <v>-0.69</v>
      </c>
      <c r="AC17" s="41">
        <v>4.9210736111111111E-2</v>
      </c>
      <c r="AD17" s="39">
        <f t="shared" si="12"/>
        <v>-2.852254265</v>
      </c>
      <c r="AE17" s="39">
        <v>-4.9000000000000004</v>
      </c>
      <c r="AF17" s="39">
        <v>-3.9660000000000002</v>
      </c>
      <c r="AG17" s="39">
        <v>0</v>
      </c>
    </row>
    <row r="18" spans="1:33" ht="15.75" customHeight="1" x14ac:dyDescent="0.2">
      <c r="A18" s="28" t="s">
        <v>56</v>
      </c>
      <c r="B18" s="28" t="s">
        <v>272</v>
      </c>
      <c r="C18" s="15">
        <f t="shared" si="4"/>
        <v>24.540500000000002</v>
      </c>
      <c r="D18" s="29">
        <v>40</v>
      </c>
      <c r="E18" s="29">
        <v>0</v>
      </c>
      <c r="F18" s="32">
        <v>981.62000000000012</v>
      </c>
      <c r="G18" s="30">
        <v>-0.03</v>
      </c>
      <c r="H18" s="31">
        <f t="shared" si="1"/>
        <v>3.0561724496240901E-5</v>
      </c>
      <c r="I18" s="31">
        <f t="shared" si="2"/>
        <v>0.48592181023885689</v>
      </c>
      <c r="J18" s="32">
        <f t="shared" si="5"/>
        <v>476.99056736666677</v>
      </c>
      <c r="K18" s="32">
        <f t="shared" si="3"/>
        <v>11.924764184166669</v>
      </c>
      <c r="L18" s="29">
        <v>131</v>
      </c>
      <c r="M18" s="33">
        <f t="shared" si="6"/>
        <v>0.30534351145038169</v>
      </c>
      <c r="N18" s="29">
        <v>41</v>
      </c>
      <c r="O18" s="34">
        <f t="shared" ref="O18:P18" si="26">D18/7</f>
        <v>5.7142857142857144</v>
      </c>
      <c r="P18" s="34">
        <f t="shared" si="26"/>
        <v>0</v>
      </c>
      <c r="Q18" s="29">
        <f t="shared" si="8"/>
        <v>7</v>
      </c>
      <c r="R18" s="29"/>
      <c r="S18" s="35">
        <v>3.5246636771300399</v>
      </c>
      <c r="T18" s="28">
        <v>800</v>
      </c>
      <c r="U18" s="36">
        <v>0</v>
      </c>
      <c r="V18" s="37" t="s">
        <v>273</v>
      </c>
      <c r="W18" s="28">
        <v>0</v>
      </c>
      <c r="X18" s="38">
        <f t="shared" si="9"/>
        <v>0</v>
      </c>
      <c r="Y18" s="39">
        <f t="shared" si="10"/>
        <v>0</v>
      </c>
      <c r="Z18" s="28">
        <v>0</v>
      </c>
      <c r="AA18" s="28" t="s">
        <v>34</v>
      </c>
      <c r="AB18" s="40">
        <f t="shared" si="11"/>
        <v>-0.69</v>
      </c>
      <c r="AC18" s="41">
        <v>4.9210736111111111E-2</v>
      </c>
      <c r="AD18" s="39">
        <f t="shared" si="12"/>
        <v>-2.7164326333333335</v>
      </c>
      <c r="AE18" s="39">
        <v>-4.9000000000000004</v>
      </c>
      <c r="AF18" s="39">
        <v>-3.9660000000000002</v>
      </c>
      <c r="AG18" s="39">
        <v>0</v>
      </c>
    </row>
    <row r="19" spans="1:33" ht="15.75" customHeight="1" x14ac:dyDescent="0.2">
      <c r="A19" s="28" t="s">
        <v>57</v>
      </c>
      <c r="B19" s="28" t="s">
        <v>47</v>
      </c>
      <c r="C19" s="15">
        <f t="shared" si="4"/>
        <v>25.614999999999998</v>
      </c>
      <c r="D19" s="29">
        <v>38</v>
      </c>
      <c r="E19" s="29">
        <v>0</v>
      </c>
      <c r="F19" s="32">
        <v>973.36999999999989</v>
      </c>
      <c r="G19" s="30">
        <v>-0.03</v>
      </c>
      <c r="H19" s="31">
        <f t="shared" si="1"/>
        <v>3.0820756752314126E-5</v>
      </c>
      <c r="I19" s="31">
        <f t="shared" si="2"/>
        <v>0.49395079876956677</v>
      </c>
      <c r="J19" s="32">
        <f t="shared" si="5"/>
        <v>480.79688899833315</v>
      </c>
      <c r="K19" s="32">
        <f t="shared" si="3"/>
        <v>12.652549710482452</v>
      </c>
      <c r="L19" s="29">
        <v>97</v>
      </c>
      <c r="M19" s="33">
        <f t="shared" si="6"/>
        <v>0.39175257731958762</v>
      </c>
      <c r="N19" s="29">
        <v>44</v>
      </c>
      <c r="O19" s="34">
        <f t="shared" ref="O19:P19" si="27">D19/7</f>
        <v>5.4285714285714288</v>
      </c>
      <c r="P19" s="34">
        <f t="shared" si="27"/>
        <v>0</v>
      </c>
      <c r="Q19" s="29">
        <f t="shared" si="8"/>
        <v>8</v>
      </c>
      <c r="R19" s="29"/>
      <c r="S19" s="35">
        <v>4.3290488431876604</v>
      </c>
      <c r="T19" s="28">
        <v>800</v>
      </c>
      <c r="U19" s="36">
        <v>400</v>
      </c>
      <c r="V19" s="37" t="s">
        <v>274</v>
      </c>
      <c r="W19" s="28">
        <v>0</v>
      </c>
      <c r="X19" s="38">
        <f t="shared" si="9"/>
        <v>0</v>
      </c>
      <c r="Y19" s="39">
        <f t="shared" si="10"/>
        <v>0</v>
      </c>
      <c r="Z19" s="28">
        <v>0</v>
      </c>
      <c r="AA19" s="28" t="s">
        <v>34</v>
      </c>
      <c r="AB19" s="40">
        <f t="shared" si="11"/>
        <v>-0.69</v>
      </c>
      <c r="AC19" s="41">
        <v>4.9210736111111111E-2</v>
      </c>
      <c r="AD19" s="39">
        <f t="shared" si="12"/>
        <v>-2.5806110016666666</v>
      </c>
      <c r="AE19" s="39">
        <v>-4.9000000000000004</v>
      </c>
      <c r="AF19" s="39">
        <v>-4.1515000000000004</v>
      </c>
      <c r="AG19" s="39">
        <v>0</v>
      </c>
    </row>
    <row r="20" spans="1:33" ht="15.75" customHeight="1" x14ac:dyDescent="0.2">
      <c r="A20" s="28" t="s">
        <v>58</v>
      </c>
      <c r="B20" s="28" t="s">
        <v>150</v>
      </c>
      <c r="C20" s="15">
        <f t="shared" si="4"/>
        <v>26.88625</v>
      </c>
      <c r="D20" s="29">
        <v>16</v>
      </c>
      <c r="E20" s="29">
        <v>0</v>
      </c>
      <c r="F20" s="32">
        <v>430.18</v>
      </c>
      <c r="G20" s="30">
        <v>0</v>
      </c>
      <c r="H20" s="31">
        <f t="shared" si="1"/>
        <v>0</v>
      </c>
      <c r="I20" s="31">
        <f t="shared" si="2"/>
        <v>0.51081507031165263</v>
      </c>
      <c r="J20" s="32">
        <f t="shared" si="5"/>
        <v>219.74242694666671</v>
      </c>
      <c r="K20" s="32">
        <f t="shared" si="3"/>
        <v>13.733901684166669</v>
      </c>
      <c r="L20" s="29">
        <v>120</v>
      </c>
      <c r="M20" s="33">
        <f t="shared" si="6"/>
        <v>0.13333333333333333</v>
      </c>
      <c r="N20" s="29">
        <v>29</v>
      </c>
      <c r="O20" s="34">
        <f t="shared" ref="O20:P20" si="28">D20/7</f>
        <v>2.2857142857142856</v>
      </c>
      <c r="P20" s="34">
        <f t="shared" si="28"/>
        <v>0</v>
      </c>
      <c r="Q20" s="29">
        <f t="shared" si="8"/>
        <v>12</v>
      </c>
      <c r="R20" s="29"/>
      <c r="S20" s="35">
        <v>5.3074433656957902</v>
      </c>
      <c r="T20" s="28">
        <v>800</v>
      </c>
      <c r="U20" s="36">
        <v>400</v>
      </c>
      <c r="V20" s="37" t="s">
        <v>275</v>
      </c>
      <c r="W20" s="28">
        <v>0</v>
      </c>
      <c r="X20" s="38">
        <f t="shared" si="9"/>
        <v>0</v>
      </c>
      <c r="Y20" s="39">
        <f t="shared" si="10"/>
        <v>0</v>
      </c>
      <c r="Z20" s="28">
        <v>0</v>
      </c>
      <c r="AA20" s="28" t="s">
        <v>34</v>
      </c>
      <c r="AB20" s="40">
        <f t="shared" si="11"/>
        <v>-0.69</v>
      </c>
      <c r="AC20" s="41">
        <v>4.9210736111111111E-2</v>
      </c>
      <c r="AD20" s="39">
        <f t="shared" si="12"/>
        <v>-1.0865730533333333</v>
      </c>
      <c r="AE20" s="39">
        <v>-4.9000000000000004</v>
      </c>
      <c r="AF20" s="39">
        <v>-4.1515000000000004</v>
      </c>
      <c r="AG20" s="39">
        <v>0</v>
      </c>
    </row>
    <row r="21" spans="1:33" ht="15.75" customHeight="1" x14ac:dyDescent="0.2">
      <c r="A21" s="28" t="s">
        <v>59</v>
      </c>
      <c r="B21" s="28" t="s">
        <v>150</v>
      </c>
      <c r="C21" s="15">
        <f t="shared" si="4"/>
        <v>28.059000000000001</v>
      </c>
      <c r="D21" s="29">
        <v>30</v>
      </c>
      <c r="E21" s="29">
        <v>0</v>
      </c>
      <c r="F21" s="32">
        <v>841.77</v>
      </c>
      <c r="G21" s="30">
        <v>0</v>
      </c>
      <c r="H21" s="31">
        <f t="shared" si="1"/>
        <v>0</v>
      </c>
      <c r="I21" s="31">
        <f t="shared" si="2"/>
        <v>0.52499159571498144</v>
      </c>
      <c r="J21" s="32">
        <f t="shared" si="5"/>
        <v>441.92217552499994</v>
      </c>
      <c r="K21" s="32">
        <f t="shared" si="3"/>
        <v>14.730739184166664</v>
      </c>
      <c r="L21" s="29">
        <v>58</v>
      </c>
      <c r="M21" s="33">
        <f t="shared" si="6"/>
        <v>0.51724137931034486</v>
      </c>
      <c r="N21" s="29">
        <v>4</v>
      </c>
      <c r="O21" s="34">
        <f t="shared" ref="O21:P21" si="29">D21/7</f>
        <v>4.2857142857142856</v>
      </c>
      <c r="P21" s="34">
        <f t="shared" si="29"/>
        <v>0</v>
      </c>
      <c r="Q21" s="29">
        <f t="shared" si="8"/>
        <v>0</v>
      </c>
      <c r="R21" s="29"/>
      <c r="S21" s="35">
        <v>3.5234042553191398</v>
      </c>
      <c r="T21" s="28">
        <v>800</v>
      </c>
      <c r="U21" s="36">
        <v>400</v>
      </c>
      <c r="V21" s="37" t="s">
        <v>276</v>
      </c>
      <c r="W21" s="28">
        <v>0</v>
      </c>
      <c r="X21" s="38">
        <f t="shared" si="9"/>
        <v>0</v>
      </c>
      <c r="Y21" s="39">
        <f t="shared" si="10"/>
        <v>0</v>
      </c>
      <c r="Z21" s="28">
        <v>0</v>
      </c>
      <c r="AA21" s="28" t="s">
        <v>34</v>
      </c>
      <c r="AB21" s="40">
        <f t="shared" si="11"/>
        <v>-0.69</v>
      </c>
      <c r="AC21" s="41">
        <v>4.9210736111111111E-2</v>
      </c>
      <c r="AD21" s="39">
        <f t="shared" si="12"/>
        <v>-2.0373244750000001</v>
      </c>
      <c r="AE21" s="39">
        <v>-4.9000000000000004</v>
      </c>
      <c r="AF21" s="39">
        <v>-4.1515000000000004</v>
      </c>
      <c r="AG21" s="39">
        <v>0</v>
      </c>
    </row>
    <row r="22" spans="1:33" ht="15.75" customHeight="1" x14ac:dyDescent="0.2">
      <c r="A22" s="28" t="s">
        <v>60</v>
      </c>
      <c r="B22" s="28"/>
      <c r="C22" s="15">
        <f t="shared" si="4"/>
        <v>27.689999999999998</v>
      </c>
      <c r="D22" s="29">
        <v>8</v>
      </c>
      <c r="E22" s="29">
        <v>0</v>
      </c>
      <c r="F22" s="30">
        <v>221.51999999999998</v>
      </c>
      <c r="G22" s="30">
        <v>0</v>
      </c>
      <c r="H22" s="31">
        <f t="shared" si="1"/>
        <v>0</v>
      </c>
      <c r="I22" s="31">
        <f t="shared" si="2"/>
        <v>0.52066049780305768</v>
      </c>
      <c r="J22" s="32">
        <f t="shared" si="5"/>
        <v>115.33671347333332</v>
      </c>
      <c r="K22" s="32">
        <f t="shared" si="3"/>
        <v>14.417089184166665</v>
      </c>
      <c r="L22" s="29">
        <v>63</v>
      </c>
      <c r="M22" s="33">
        <f t="shared" si="6"/>
        <v>0.12698412698412698</v>
      </c>
      <c r="N22" s="29">
        <v>4</v>
      </c>
      <c r="O22" s="34">
        <f t="shared" ref="O22:P22" si="30">D22/7</f>
        <v>1.1428571428571428</v>
      </c>
      <c r="P22" s="34">
        <f t="shared" si="30"/>
        <v>0</v>
      </c>
      <c r="Q22" s="29">
        <f t="shared" si="8"/>
        <v>3</v>
      </c>
      <c r="R22" s="29"/>
      <c r="S22" s="35">
        <v>4</v>
      </c>
      <c r="T22" s="28">
        <v>800</v>
      </c>
      <c r="U22" s="36">
        <v>400</v>
      </c>
      <c r="V22" s="37" t="s">
        <v>277</v>
      </c>
      <c r="W22" s="28">
        <v>0</v>
      </c>
      <c r="X22" s="38">
        <f t="shared" si="9"/>
        <v>0</v>
      </c>
      <c r="Y22" s="39">
        <f t="shared" si="10"/>
        <v>0</v>
      </c>
      <c r="Z22" s="28">
        <v>0</v>
      </c>
      <c r="AA22" s="28" t="s">
        <v>34</v>
      </c>
      <c r="AB22" s="40">
        <f t="shared" si="11"/>
        <v>-0.69</v>
      </c>
      <c r="AC22" s="41">
        <v>4.9210736111111111E-2</v>
      </c>
      <c r="AD22" s="39">
        <f t="shared" si="12"/>
        <v>-0.54328652666666666</v>
      </c>
      <c r="AE22" s="39">
        <v>-4.9000000000000004</v>
      </c>
      <c r="AF22" s="39">
        <v>-4.1515000000000004</v>
      </c>
      <c r="AG22" s="39">
        <v>0</v>
      </c>
    </row>
    <row r="23" spans="1:33" ht="15.75" customHeight="1" x14ac:dyDescent="0.2">
      <c r="A23" s="28" t="s">
        <v>62</v>
      </c>
      <c r="B23" s="28" t="s">
        <v>52</v>
      </c>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v>4.8235294117647003</v>
      </c>
      <c r="T23" s="28">
        <v>1200</v>
      </c>
      <c r="U23" s="36">
        <v>400</v>
      </c>
      <c r="V23" s="37" t="s">
        <v>277</v>
      </c>
      <c r="W23" s="28">
        <v>0</v>
      </c>
      <c r="X23" s="38">
        <f t="shared" si="9"/>
        <v>0</v>
      </c>
      <c r="Y23" s="39">
        <f t="shared" si="10"/>
        <v>0</v>
      </c>
      <c r="Z23" s="28">
        <v>0</v>
      </c>
      <c r="AA23" s="28" t="s">
        <v>34</v>
      </c>
      <c r="AB23" s="40">
        <f t="shared" si="11"/>
        <v>-0.69</v>
      </c>
      <c r="AC23" s="41">
        <v>4.9210736111111111E-2</v>
      </c>
      <c r="AD23" s="39">
        <f t="shared" si="12"/>
        <v>0</v>
      </c>
      <c r="AE23" s="39">
        <v>-4.9000000000000004</v>
      </c>
      <c r="AF23" s="39">
        <v>-4.1515000000000004</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1</v>
      </c>
      <c r="O24" s="34">
        <f t="shared" ref="O24:P24" si="32">D24/7</f>
        <v>0</v>
      </c>
      <c r="P24" s="34">
        <f t="shared" si="32"/>
        <v>0</v>
      </c>
      <c r="Q24" s="29" t="e">
        <f t="shared" si="8"/>
        <v>#DIV/0!</v>
      </c>
      <c r="R24" s="29"/>
      <c r="S24" s="35">
        <v>5.0764119601328899</v>
      </c>
      <c r="T24" s="28">
        <v>1200</v>
      </c>
      <c r="U24" s="36">
        <v>400</v>
      </c>
      <c r="V24" s="37" t="s">
        <v>278</v>
      </c>
      <c r="W24" s="28">
        <v>0</v>
      </c>
      <c r="X24" s="38">
        <f t="shared" si="9"/>
        <v>0</v>
      </c>
      <c r="Y24" s="39">
        <f t="shared" si="10"/>
        <v>0</v>
      </c>
      <c r="Z24" s="28">
        <v>0</v>
      </c>
      <c r="AA24" s="28" t="s">
        <v>34</v>
      </c>
      <c r="AB24" s="40">
        <f t="shared" si="11"/>
        <v>-0.69</v>
      </c>
      <c r="AC24" s="41">
        <v>4.9210736111111111E-2</v>
      </c>
      <c r="AD24" s="39">
        <f t="shared" si="12"/>
        <v>0</v>
      </c>
      <c r="AE24" s="39">
        <v>-4.9000000000000004</v>
      </c>
      <c r="AF24" s="39">
        <v>-4.1515000000000004</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1</v>
      </c>
      <c r="O25" s="34">
        <f t="shared" ref="O25:P25" si="33">D25/7</f>
        <v>0</v>
      </c>
      <c r="P25" s="34">
        <f t="shared" si="33"/>
        <v>0</v>
      </c>
      <c r="Q25" s="29" t="e">
        <f t="shared" si="8"/>
        <v>#DIV/0!</v>
      </c>
      <c r="R25" s="29"/>
      <c r="S25" s="35">
        <v>6.2959641255605394</v>
      </c>
      <c r="T25" s="28">
        <v>1500</v>
      </c>
      <c r="U25" s="36">
        <v>400</v>
      </c>
      <c r="V25" s="37" t="s">
        <v>279</v>
      </c>
      <c r="W25" s="14">
        <v>0</v>
      </c>
      <c r="X25" s="38">
        <f t="shared" si="9"/>
        <v>0</v>
      </c>
      <c r="Y25" s="39">
        <f t="shared" si="10"/>
        <v>0</v>
      </c>
      <c r="Z25" s="14">
        <v>0</v>
      </c>
      <c r="AA25" s="28" t="s">
        <v>34</v>
      </c>
      <c r="AB25" s="40">
        <f t="shared" si="11"/>
        <v>-0.69</v>
      </c>
      <c r="AC25" s="41">
        <v>4.9210736111111111E-2</v>
      </c>
      <c r="AD25" s="39">
        <f t="shared" si="12"/>
        <v>0</v>
      </c>
      <c r="AE25" s="39">
        <v>-4.9000000000000004</v>
      </c>
      <c r="AF25" s="39">
        <v>-4.1500000000000004</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1</v>
      </c>
      <c r="O26" s="34">
        <f t="shared" ref="O26:P26" si="34">D26/7</f>
        <v>0</v>
      </c>
      <c r="P26" s="34">
        <f t="shared" si="34"/>
        <v>0</v>
      </c>
      <c r="Q26" s="29" t="e">
        <f t="shared" si="8"/>
        <v>#DIV/0!</v>
      </c>
      <c r="R26" s="29"/>
      <c r="S26" s="21">
        <v>3.3901808785529721</v>
      </c>
      <c r="T26" s="28">
        <v>1100</v>
      </c>
      <c r="U26" s="36" t="s">
        <v>33</v>
      </c>
      <c r="V26" s="37" t="s">
        <v>33</v>
      </c>
      <c r="W26" s="14">
        <v>0</v>
      </c>
      <c r="X26" s="38">
        <f t="shared" si="9"/>
        <v>0</v>
      </c>
      <c r="Y26" s="39">
        <f t="shared" si="10"/>
        <v>0</v>
      </c>
      <c r="Z26" s="14">
        <v>0</v>
      </c>
      <c r="AA26" s="28" t="s">
        <v>34</v>
      </c>
      <c r="AB26" s="40">
        <f t="shared" si="11"/>
        <v>-0.69</v>
      </c>
      <c r="AC26" s="41">
        <v>4.9210736111111111E-2</v>
      </c>
      <c r="AD26" s="39">
        <f t="shared" si="12"/>
        <v>0</v>
      </c>
      <c r="AE26" s="25">
        <v>-4.95</v>
      </c>
      <c r="AF26" s="25">
        <v>-4.1642999999999999</v>
      </c>
      <c r="AG26" s="25">
        <v>0</v>
      </c>
    </row>
    <row r="27" spans="1:33" ht="15.75" customHeight="1" x14ac:dyDescent="0.2">
      <c r="A27" s="14" t="s">
        <v>69</v>
      </c>
      <c r="B27" s="14" t="s">
        <v>280</v>
      </c>
      <c r="C27" s="15">
        <f t="shared" si="4"/>
        <v>30.9</v>
      </c>
      <c r="D27" s="16">
        <v>16</v>
      </c>
      <c r="E27" s="16">
        <v>0</v>
      </c>
      <c r="F27" s="17">
        <v>494.4</v>
      </c>
      <c r="G27" s="17">
        <v>0</v>
      </c>
      <c r="H27" s="31">
        <f t="shared" si="1"/>
        <v>0</v>
      </c>
      <c r="I27" s="31">
        <f t="shared" si="2"/>
        <v>0.51512262731930958</v>
      </c>
      <c r="J27" s="32">
        <f t="shared" si="5"/>
        <v>254.67662694666666</v>
      </c>
      <c r="K27" s="32">
        <f t="shared" si="3"/>
        <v>15.917289184166666</v>
      </c>
      <c r="L27" s="16">
        <v>31</v>
      </c>
      <c r="M27" s="33">
        <f t="shared" si="6"/>
        <v>0.5161290322580645</v>
      </c>
      <c r="N27" s="16">
        <v>389</v>
      </c>
      <c r="O27" s="34">
        <f t="shared" ref="O27:P27" si="35">D27/7</f>
        <v>2.2857142857142856</v>
      </c>
      <c r="P27" s="34">
        <f t="shared" si="35"/>
        <v>0</v>
      </c>
      <c r="Q27" s="29">
        <f t="shared" si="8"/>
        <v>170</v>
      </c>
      <c r="R27" s="29"/>
      <c r="S27" s="21">
        <v>1.7250361794500719</v>
      </c>
      <c r="T27" s="28">
        <v>1100</v>
      </c>
      <c r="U27" s="36" t="s">
        <v>33</v>
      </c>
      <c r="V27" s="37" t="s">
        <v>33</v>
      </c>
      <c r="W27" s="14">
        <v>0</v>
      </c>
      <c r="X27" s="38">
        <f t="shared" si="9"/>
        <v>0</v>
      </c>
      <c r="Y27" s="39">
        <f t="shared" si="10"/>
        <v>0</v>
      </c>
      <c r="Z27" s="14">
        <v>0</v>
      </c>
      <c r="AA27" s="28" t="s">
        <v>34</v>
      </c>
      <c r="AB27" s="40">
        <f t="shared" si="11"/>
        <v>-0.69</v>
      </c>
      <c r="AC27" s="41">
        <v>4.9210736111111111E-2</v>
      </c>
      <c r="AD27" s="39">
        <f t="shared" si="12"/>
        <v>-1.0865730533333333</v>
      </c>
      <c r="AE27" s="25">
        <v>-4.95</v>
      </c>
      <c r="AF27" s="25">
        <v>-5.3297999999999996</v>
      </c>
      <c r="AG27" s="25">
        <v>0</v>
      </c>
    </row>
    <row r="28" spans="1:33" ht="15.75" customHeight="1" x14ac:dyDescent="0.2">
      <c r="A28" s="14" t="s">
        <v>71</v>
      </c>
      <c r="B28" s="14" t="s">
        <v>281</v>
      </c>
      <c r="C28" s="15">
        <f t="shared" si="4"/>
        <v>30.900000000000002</v>
      </c>
      <c r="D28" s="16">
        <v>12</v>
      </c>
      <c r="E28" s="16">
        <v>0</v>
      </c>
      <c r="F28" s="17">
        <v>370.8</v>
      </c>
      <c r="G28" s="17">
        <v>0</v>
      </c>
      <c r="H28" s="31">
        <f t="shared" si="1"/>
        <v>0</v>
      </c>
      <c r="I28" s="31">
        <f t="shared" si="2"/>
        <v>0.51512262731930958</v>
      </c>
      <c r="J28" s="32">
        <f t="shared" si="5"/>
        <v>191.00747020999998</v>
      </c>
      <c r="K28" s="32">
        <f t="shared" si="3"/>
        <v>15.917289184166664</v>
      </c>
      <c r="L28" s="16">
        <v>64</v>
      </c>
      <c r="M28" s="33">
        <f t="shared" si="6"/>
        <v>0.1875</v>
      </c>
      <c r="N28" s="16">
        <v>382</v>
      </c>
      <c r="O28" s="34">
        <f t="shared" ref="O28:P28" si="36">D28/7</f>
        <v>1.7142857142857142</v>
      </c>
      <c r="P28" s="34">
        <f t="shared" si="36"/>
        <v>0</v>
      </c>
      <c r="Q28" s="29">
        <f t="shared" si="8"/>
        <v>222</v>
      </c>
      <c r="R28" s="29"/>
      <c r="S28" s="21">
        <v>1.629402756508423</v>
      </c>
      <c r="T28" s="28">
        <v>1100</v>
      </c>
      <c r="U28" s="36" t="s">
        <v>33</v>
      </c>
      <c r="V28" s="37" t="s">
        <v>33</v>
      </c>
      <c r="W28" s="14">
        <v>0</v>
      </c>
      <c r="X28" s="38">
        <f t="shared" si="9"/>
        <v>0</v>
      </c>
      <c r="Y28" s="39">
        <f t="shared" si="10"/>
        <v>0</v>
      </c>
      <c r="Z28" s="14">
        <v>0</v>
      </c>
      <c r="AA28" s="28" t="s">
        <v>34</v>
      </c>
      <c r="AB28" s="40">
        <f t="shared" si="11"/>
        <v>-0.69</v>
      </c>
      <c r="AC28" s="41">
        <v>4.9210736111111111E-2</v>
      </c>
      <c r="AD28" s="39">
        <f t="shared" si="12"/>
        <v>-0.81492978999999999</v>
      </c>
      <c r="AE28" s="25">
        <v>-4.95</v>
      </c>
      <c r="AF28" s="25">
        <v>-5.3297999999999996</v>
      </c>
      <c r="AG28" s="25">
        <v>0</v>
      </c>
    </row>
    <row r="29" spans="1:33" ht="15.75" customHeight="1" x14ac:dyDescent="0.2">
      <c r="A29" s="28" t="s">
        <v>72</v>
      </c>
      <c r="B29" s="28" t="s">
        <v>47</v>
      </c>
      <c r="C29" s="15">
        <f t="shared" si="4"/>
        <v>27.285714285714285</v>
      </c>
      <c r="D29" s="29">
        <v>14</v>
      </c>
      <c r="E29" s="29">
        <v>0</v>
      </c>
      <c r="F29" s="32">
        <v>382</v>
      </c>
      <c r="G29" s="32">
        <v>0</v>
      </c>
      <c r="H29" s="31">
        <f t="shared" si="1"/>
        <v>0</v>
      </c>
      <c r="I29" s="31">
        <f t="shared" si="2"/>
        <v>0.47076452507417105</v>
      </c>
      <c r="J29" s="32">
        <f t="shared" si="5"/>
        <v>179.83204857833334</v>
      </c>
      <c r="K29" s="32">
        <f t="shared" si="3"/>
        <v>12.84514632702381</v>
      </c>
      <c r="L29" s="29">
        <v>84</v>
      </c>
      <c r="M29" s="33">
        <f t="shared" si="6"/>
        <v>0.16666666666666666</v>
      </c>
      <c r="N29" s="16">
        <v>368</v>
      </c>
      <c r="O29" s="34">
        <f t="shared" ref="O29:P29" si="37">D29/7</f>
        <v>2</v>
      </c>
      <c r="P29" s="34">
        <f t="shared" si="37"/>
        <v>0</v>
      </c>
      <c r="Q29" s="29">
        <f t="shared" si="8"/>
        <v>184</v>
      </c>
      <c r="R29" s="29"/>
      <c r="S29" s="21">
        <v>1.552772808586762</v>
      </c>
      <c r="T29" s="28">
        <v>1300</v>
      </c>
      <c r="U29" s="36">
        <v>200</v>
      </c>
      <c r="V29" s="37" t="s">
        <v>282</v>
      </c>
      <c r="W29" s="14">
        <v>0</v>
      </c>
      <c r="X29" s="38">
        <f t="shared" si="9"/>
        <v>0</v>
      </c>
      <c r="Y29" s="39">
        <f t="shared" si="10"/>
        <v>0</v>
      </c>
      <c r="Z29" s="14">
        <v>0</v>
      </c>
      <c r="AA29" s="28" t="s">
        <v>34</v>
      </c>
      <c r="AB29" s="40">
        <f t="shared" si="11"/>
        <v>-0.69</v>
      </c>
      <c r="AC29" s="41">
        <v>4.9210736111111111E-2</v>
      </c>
      <c r="AD29" s="39">
        <f t="shared" si="12"/>
        <v>-0.9507514216666666</v>
      </c>
      <c r="AE29" s="39">
        <v>-4.95</v>
      </c>
      <c r="AF29" s="25">
        <v>-5.3297999999999996</v>
      </c>
      <c r="AG29" s="39">
        <v>0</v>
      </c>
    </row>
    <row r="30" spans="1:33" ht="15.75" customHeight="1" x14ac:dyDescent="0.2">
      <c r="A30" s="14" t="s">
        <v>74</v>
      </c>
      <c r="B30" s="14" t="s">
        <v>47</v>
      </c>
      <c r="C30" s="15">
        <f t="shared" si="4"/>
        <v>27.168333333333333</v>
      </c>
      <c r="D30" s="16">
        <v>24</v>
      </c>
      <c r="E30" s="16">
        <v>1</v>
      </c>
      <c r="F30" s="17">
        <v>652.04</v>
      </c>
      <c r="G30" s="17">
        <v>0</v>
      </c>
      <c r="H30" s="31">
        <f t="shared" si="1"/>
        <v>0</v>
      </c>
      <c r="I30" s="31">
        <f t="shared" si="2"/>
        <v>0.47309548950616515</v>
      </c>
      <c r="J30" s="32">
        <f t="shared" si="5"/>
        <v>308.47718297759991</v>
      </c>
      <c r="K30" s="32">
        <f t="shared" si="3"/>
        <v>12.853215957399996</v>
      </c>
      <c r="L30" s="16">
        <v>87</v>
      </c>
      <c r="M30" s="33">
        <f t="shared" si="6"/>
        <v>0.27586206896551724</v>
      </c>
      <c r="N30" s="16">
        <v>328</v>
      </c>
      <c r="O30" s="34">
        <f t="shared" ref="O30:P30" si="38">D30/7</f>
        <v>3.4285714285714284</v>
      </c>
      <c r="P30" s="34">
        <f t="shared" si="38"/>
        <v>0.14285714285714285</v>
      </c>
      <c r="Q30" s="29">
        <f t="shared" si="8"/>
        <v>91</v>
      </c>
      <c r="R30" s="29"/>
      <c r="S30" s="21">
        <v>1.5890410958904111</v>
      </c>
      <c r="T30" s="28">
        <v>1100</v>
      </c>
      <c r="U30" s="36">
        <v>200</v>
      </c>
      <c r="V30" s="37" t="s">
        <v>282</v>
      </c>
      <c r="W30" s="14">
        <v>0</v>
      </c>
      <c r="X30" s="38">
        <f t="shared" si="9"/>
        <v>0</v>
      </c>
      <c r="Y30" s="39">
        <f t="shared" si="10"/>
        <v>0</v>
      </c>
      <c r="Z30" s="14">
        <v>0</v>
      </c>
      <c r="AA30" s="28" t="s">
        <v>34</v>
      </c>
      <c r="AB30" s="40">
        <f t="shared" si="11"/>
        <v>-0.69</v>
      </c>
      <c r="AC30" s="41">
        <v>4.9210736111111111E-2</v>
      </c>
      <c r="AD30" s="39">
        <f t="shared" si="12"/>
        <v>-1.62985958</v>
      </c>
      <c r="AE30" s="25">
        <v>-4.95</v>
      </c>
      <c r="AF30" s="25">
        <v>-5.2219565600999998</v>
      </c>
      <c r="AG30" s="25">
        <v>0</v>
      </c>
    </row>
    <row r="31" spans="1:33" ht="15.75" customHeight="1" x14ac:dyDescent="0.2">
      <c r="A31" s="14" t="s">
        <v>75</v>
      </c>
      <c r="B31" s="14"/>
      <c r="C31" s="15">
        <f t="shared" si="4"/>
        <v>27.222631578947368</v>
      </c>
      <c r="D31" s="16">
        <v>19</v>
      </c>
      <c r="E31" s="16">
        <v>0</v>
      </c>
      <c r="F31" s="17">
        <v>517.23</v>
      </c>
      <c r="G31" s="42">
        <v>0</v>
      </c>
      <c r="H31" s="31">
        <f t="shared" si="1"/>
        <v>0</v>
      </c>
      <c r="I31" s="31">
        <f t="shared" si="2"/>
        <v>0.47384726303050212</v>
      </c>
      <c r="J31" s="32">
        <f t="shared" si="5"/>
        <v>245.08801985726663</v>
      </c>
      <c r="K31" s="32">
        <f t="shared" si="3"/>
        <v>12.899369466171928</v>
      </c>
      <c r="L31" s="16">
        <v>81</v>
      </c>
      <c r="M31" s="33">
        <f t="shared" si="6"/>
        <v>0.23456790123456789</v>
      </c>
      <c r="N31" s="16">
        <v>318</v>
      </c>
      <c r="O31" s="34">
        <f t="shared" ref="O31:P32" si="39">D31/7</f>
        <v>2.7142857142857144</v>
      </c>
      <c r="P31" s="34">
        <f t="shared" si="39"/>
        <v>0</v>
      </c>
      <c r="Q31" s="29">
        <f t="shared" si="8"/>
        <v>117</v>
      </c>
      <c r="R31" s="29"/>
      <c r="S31" s="21">
        <v>1.78301886792452</v>
      </c>
      <c r="T31" s="14">
        <v>400</v>
      </c>
      <c r="U31" s="22">
        <v>600</v>
      </c>
      <c r="V31" s="1" t="s">
        <v>963</v>
      </c>
      <c r="W31" s="14">
        <v>0</v>
      </c>
      <c r="X31" s="38">
        <f t="shared" si="9"/>
        <v>0</v>
      </c>
      <c r="Y31" s="39">
        <f t="shared" si="10"/>
        <v>0</v>
      </c>
      <c r="Z31" s="14">
        <v>0</v>
      </c>
      <c r="AA31" s="14" t="s">
        <v>34</v>
      </c>
      <c r="AB31" s="40">
        <f t="shared" si="11"/>
        <v>-0.69</v>
      </c>
      <c r="AC31" s="27">
        <v>4.9210736111111111E-2</v>
      </c>
      <c r="AD31" s="39">
        <f t="shared" si="12"/>
        <v>-1.2903055008333333</v>
      </c>
      <c r="AE31" s="43">
        <v>-4.95</v>
      </c>
      <c r="AF31" s="43">
        <v>-5.2219565601000006</v>
      </c>
      <c r="AG31" s="25">
        <v>0</v>
      </c>
    </row>
    <row r="32" spans="1:33" s="51" customFormat="1" ht="15.75" customHeight="1" x14ac:dyDescent="0.2">
      <c r="A32" s="51" t="s">
        <v>934</v>
      </c>
      <c r="C32" s="15">
        <f t="shared" si="4"/>
        <v>26.626969696969695</v>
      </c>
      <c r="D32" s="52">
        <v>33</v>
      </c>
      <c r="E32" s="52">
        <v>0</v>
      </c>
      <c r="F32" s="53">
        <v>878.68999999999994</v>
      </c>
      <c r="G32" s="53">
        <v>-0.08</v>
      </c>
      <c r="H32" s="31">
        <f t="shared" si="1"/>
        <v>9.1044623245968443E-5</v>
      </c>
      <c r="I32" s="31">
        <f t="shared" si="2"/>
        <v>0.4653414476029088</v>
      </c>
      <c r="J32" s="32">
        <f t="shared" si="5"/>
        <v>408.89087659419988</v>
      </c>
      <c r="K32" s="32">
        <f t="shared" si="3"/>
        <v>12.390632624066663</v>
      </c>
      <c r="L32" s="52">
        <v>90</v>
      </c>
      <c r="M32" s="33">
        <f t="shared" si="6"/>
        <v>0.36666666666666664</v>
      </c>
      <c r="N32" s="52">
        <v>292</v>
      </c>
      <c r="O32" s="34">
        <f t="shared" si="39"/>
        <v>4.7142857142857144</v>
      </c>
      <c r="P32" s="34">
        <f t="shared" si="39"/>
        <v>0</v>
      </c>
      <c r="Q32" s="29">
        <f t="shared" si="8"/>
        <v>61</v>
      </c>
      <c r="R32" s="29" t="str">
        <f ca="1">IFERROR(VLOOKUP($B$2,IMPORTRANGE("https://docs.google.com/spreadsheets/d/1KiWZV1ko8G7lnRucBRBd29jj3Be6ltMfljMDqzOkQmI/edit#gid=1381463014","Lookup!A:F"),6,FALSE),"")</f>
        <v/>
      </c>
      <c r="S32" s="54">
        <v>0.87792207792207788</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4.9210736111111111E-2</v>
      </c>
      <c r="AD32" s="39">
        <f t="shared" si="12"/>
        <v>-2.2410569224999999</v>
      </c>
      <c r="AE32" s="58">
        <v>-4.95</v>
      </c>
      <c r="AF32" s="58">
        <v>-5.2219565600999998</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25.5" customWidth="1"/>
    <col min="22" max="22" width="48.832031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Info!B1:BJ5000""),3,FALSE),"""")"),"14 AWG Replacement Power Cord with Open End - 6 Ft Black Extension Cable, 18/2 SJT")</f>
        <v>14 AWG Replacement Power Cord with Open End - 6 Ft Black Extension Cable, 18/2 SJT</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Info!B1:BJ5000""),2,FALSE),"""")"),"B08LHB4C7K")</f>
        <v>B08LHB4C7K</v>
      </c>
      <c r="B2" s="3" t="s">
        <v>283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107.25" customHeight="1" x14ac:dyDescent="0.2">
      <c r="A3" s="76" t="s">
        <v>30</v>
      </c>
      <c r="B3" s="77"/>
      <c r="C3" s="47">
        <f>((AE32+AF32)/0.85)*-1</f>
        <v>5.8511764705882348</v>
      </c>
      <c r="D3" s="5">
        <f>SUM(D4:D99765)</f>
        <v>147</v>
      </c>
      <c r="E3" s="5"/>
      <c r="F3" s="6">
        <f t="shared" ref="F3:G3" si="0">SUM(F4:F99765)</f>
        <v>1366.3999999999999</v>
      </c>
      <c r="G3" s="6">
        <f t="shared" si="0"/>
        <v>-54.1</v>
      </c>
      <c r="H3" s="7">
        <f>G3/F3*-1</f>
        <v>3.9593091334894616E-2</v>
      </c>
      <c r="I3" s="8">
        <f>J3/F3</f>
        <v>0.28036167831134023</v>
      </c>
      <c r="J3" s="6">
        <f>SUM(J4:J99765)</f>
        <v>383.08619724461528</v>
      </c>
      <c r="K3" s="6">
        <f>J3/D3</f>
        <v>2.6060285526844575</v>
      </c>
      <c r="L3" s="5"/>
      <c r="M3" s="9"/>
      <c r="N3" s="10"/>
      <c r="O3" s="5" t="str">
        <f ca="1">IFERROR(__xludf.DUMMYFUNCTION("IFERROR(VLOOKUP(B2,IMPORTRANGE(""https://docs.google.com/spreadsheets/d/1N8jvpEHDVkurDv7NrPxwI3eH6hQsvtb1QltGNCalRjU/edit#gid=865736387"",""Compiled Sheet!a1:g5000""),2,FALSE),"""")"),"1.5 - March
1.5 - April
1.5 - May
1.5 - June
1.5 - July
1.5 - Aug
1.5 - Sept
1.5 - Oct
1.5 - Nov
1.5 - Dec
1.5 - Jan
1.5 - Feb")</f>
        <v>1.5 - March
1.5 - April
1.5 - May
1.5 - June
1.5 - July
1.5 - Aug
1.5 - Sept
1.5 - Oct
1.5 - Nov
1.5 -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5</v>
      </c>
      <c r="X3" s="7">
        <f>W3/D3</f>
        <v>3.4013605442176874E-2</v>
      </c>
      <c r="Y3" s="6"/>
      <c r="Z3" s="5"/>
      <c r="AA3" s="5"/>
      <c r="AB3" s="5"/>
      <c r="AC3" s="5"/>
      <c r="AD3" s="6">
        <f>SUM(AD4:AD99765)</f>
        <v>-5.5093781400000008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Info!B2:BZ7000""),37,FALSE)),"""")*-1"),-1.3335)</f>
        <v>-1.3334999999999999</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customHeight="1" x14ac:dyDescent="0.2">
      <c r="A9" s="28" t="s">
        <v>44</v>
      </c>
      <c r="B9" s="28"/>
      <c r="C9" s="15">
        <f t="shared" ref="C9:C32" si="1">IFERROR(F9/D9," - ")</f>
        <v>9.99</v>
      </c>
      <c r="D9" s="29">
        <v>1</v>
      </c>
      <c r="E9" s="29">
        <v>0</v>
      </c>
      <c r="F9" s="30">
        <v>9.99</v>
      </c>
      <c r="G9" s="30">
        <v>0</v>
      </c>
      <c r="H9" s="31">
        <f t="shared" ref="H9:H32" si="2">G9/F9*-1</f>
        <v>0</v>
      </c>
      <c r="I9" s="31">
        <f t="shared" ref="I9:I32" si="3">J9/F9</f>
        <v>0.15585198874087769</v>
      </c>
      <c r="J9" s="32">
        <f t="shared" ref="J9:J32" si="4">F9*0.85+G9+AF9*D9+D9*AE9+AG9+AD9</f>
        <v>1.5569613675213683</v>
      </c>
      <c r="K9" s="32">
        <f t="shared" ref="K9:K32" si="5">J9/D9</f>
        <v>1.5569613675213683</v>
      </c>
      <c r="L9" s="29">
        <v>7</v>
      </c>
      <c r="M9" s="33">
        <f t="shared" ref="M9:M32" si="6">IFERROR(D9/L9,"-")</f>
        <v>0.14285714285714285</v>
      </c>
      <c r="N9" s="29">
        <v>50</v>
      </c>
      <c r="O9" s="34">
        <f t="shared" ref="O9:P9" si="7">D9/7</f>
        <v>0.14285714285714285</v>
      </c>
      <c r="P9" s="34">
        <f t="shared" si="7"/>
        <v>0</v>
      </c>
      <c r="Q9" s="29">
        <f t="shared" ref="Q9:Q32" si="8">ROUNDDOWN(N9/(O9+P9),0)</f>
        <v>350</v>
      </c>
      <c r="R9" s="29"/>
      <c r="S9" s="35">
        <v>0</v>
      </c>
      <c r="T9" s="28">
        <v>0</v>
      </c>
      <c r="U9" s="36" t="s">
        <v>33</v>
      </c>
      <c r="V9" s="37" t="s">
        <v>33</v>
      </c>
      <c r="W9" s="28">
        <v>0</v>
      </c>
      <c r="X9" s="38">
        <f t="shared" ref="X9:X32" si="9">IFERROR(W9/D9,0)</f>
        <v>0</v>
      </c>
      <c r="Y9" s="39">
        <f t="shared" ref="Y9:Y32" si="10">IFERROR(G9/(W9+Z9)*-1,0)</f>
        <v>0</v>
      </c>
      <c r="Z9" s="28">
        <v>0</v>
      </c>
      <c r="AA9" s="28" t="s">
        <v>34</v>
      </c>
      <c r="AB9" s="40">
        <f t="shared" ref="AB9:AB32" si="11">IF(OR(AA9="UsLargeStandardSize",AA9="UsSmallStandardSize"),-0.69,-0.48)</f>
        <v>-0.69</v>
      </c>
      <c r="AC9" s="41">
        <v>0.11574074074074074</v>
      </c>
      <c r="AD9" s="39">
        <f t="shared" ref="AD9:AD32" si="12">IFERROR(AB9*AC9*D9*2,0)</f>
        <v>-0.15972222222222221</v>
      </c>
      <c r="AE9" s="39">
        <v>-5.42</v>
      </c>
      <c r="AF9" s="39">
        <v>-1.35481641025641</v>
      </c>
      <c r="AG9" s="39">
        <v>0</v>
      </c>
    </row>
    <row r="10" spans="1:33" ht="15.75" customHeight="1" x14ac:dyDescent="0.2">
      <c r="A10" s="28" t="s">
        <v>46</v>
      </c>
      <c r="B10" s="28" t="s">
        <v>284</v>
      </c>
      <c r="C10" s="15">
        <f t="shared" si="1"/>
        <v>10.418571428571427</v>
      </c>
      <c r="D10" s="29">
        <v>7</v>
      </c>
      <c r="E10" s="29">
        <v>0</v>
      </c>
      <c r="F10" s="30">
        <v>72.929999999999993</v>
      </c>
      <c r="G10" s="30">
        <v>0</v>
      </c>
      <c r="H10" s="31">
        <f t="shared" si="2"/>
        <v>0</v>
      </c>
      <c r="I10" s="31">
        <f t="shared" si="3"/>
        <v>0.38242554197151934</v>
      </c>
      <c r="J10" s="32">
        <f t="shared" si="4"/>
        <v>27.890294775982902</v>
      </c>
      <c r="K10" s="32">
        <f t="shared" si="5"/>
        <v>3.9843278251404146</v>
      </c>
      <c r="L10" s="29">
        <v>10</v>
      </c>
      <c r="M10" s="33">
        <f t="shared" si="6"/>
        <v>0.7</v>
      </c>
      <c r="N10" s="29">
        <v>70</v>
      </c>
      <c r="O10" s="34">
        <f t="shared" ref="O10:P10" si="13">D10/7</f>
        <v>1</v>
      </c>
      <c r="P10" s="34">
        <f t="shared" si="13"/>
        <v>0</v>
      </c>
      <c r="Q10" s="29">
        <f t="shared" si="8"/>
        <v>70</v>
      </c>
      <c r="R10" s="29"/>
      <c r="S10" s="35">
        <v>0.217391304347826</v>
      </c>
      <c r="T10" s="28">
        <v>0</v>
      </c>
      <c r="U10" s="36" t="s">
        <v>33</v>
      </c>
      <c r="V10" s="37" t="s">
        <v>33</v>
      </c>
      <c r="W10" s="28">
        <v>0</v>
      </c>
      <c r="X10" s="38">
        <f t="shared" si="9"/>
        <v>0</v>
      </c>
      <c r="Y10" s="39">
        <f t="shared" si="10"/>
        <v>0</v>
      </c>
      <c r="Z10" s="28">
        <v>0</v>
      </c>
      <c r="AA10" s="28" t="s">
        <v>34</v>
      </c>
      <c r="AB10" s="40">
        <f t="shared" si="11"/>
        <v>-0.69</v>
      </c>
      <c r="AC10" s="41">
        <v>2.6551796296296299E-2</v>
      </c>
      <c r="AD10" s="39">
        <f t="shared" si="12"/>
        <v>-0.25649035222222222</v>
      </c>
      <c r="AE10" s="39">
        <v>-3.48</v>
      </c>
      <c r="AF10" s="39">
        <v>-1.35481641025641</v>
      </c>
      <c r="AG10" s="39">
        <v>0</v>
      </c>
    </row>
    <row r="11" spans="1:33" ht="15.75" customHeight="1" x14ac:dyDescent="0.2">
      <c r="A11" s="28" t="s">
        <v>48</v>
      </c>
      <c r="B11" s="28" t="s">
        <v>285</v>
      </c>
      <c r="C11" s="15">
        <f t="shared" si="1"/>
        <v>11.49</v>
      </c>
      <c r="D11" s="29">
        <v>2</v>
      </c>
      <c r="E11" s="29">
        <v>2</v>
      </c>
      <c r="F11" s="30">
        <v>22.98</v>
      </c>
      <c r="G11" s="30">
        <v>-13.010000000000002</v>
      </c>
      <c r="H11" s="31">
        <f t="shared" si="2"/>
        <v>0.56614447345517849</v>
      </c>
      <c r="I11" s="31">
        <f t="shared" si="3"/>
        <v>-0.14011818008227145</v>
      </c>
      <c r="J11" s="32">
        <f t="shared" si="4"/>
        <v>-3.2199157782905981</v>
      </c>
      <c r="K11" s="32">
        <f t="shared" si="5"/>
        <v>-1.609957889145299</v>
      </c>
      <c r="L11" s="29">
        <v>15</v>
      </c>
      <c r="M11" s="33">
        <f t="shared" si="6"/>
        <v>0.13333333333333333</v>
      </c>
      <c r="N11" s="29">
        <v>61</v>
      </c>
      <c r="O11" s="34">
        <f t="shared" ref="O11:P11" si="14">D11/7</f>
        <v>0.2857142857142857</v>
      </c>
      <c r="P11" s="34">
        <f t="shared" si="14"/>
        <v>0.2857142857142857</v>
      </c>
      <c r="Q11" s="29">
        <f t="shared" si="8"/>
        <v>106</v>
      </c>
      <c r="R11" s="29"/>
      <c r="S11" s="35">
        <v>0.52380952380952295</v>
      </c>
      <c r="T11" s="28">
        <v>0</v>
      </c>
      <c r="U11" s="36" t="s">
        <v>33</v>
      </c>
      <c r="V11" s="37" t="s">
        <v>33</v>
      </c>
      <c r="W11" s="28">
        <v>0</v>
      </c>
      <c r="X11" s="38">
        <f t="shared" si="9"/>
        <v>0</v>
      </c>
      <c r="Y11" s="39">
        <f t="shared" si="10"/>
        <v>6.5050000000000008</v>
      </c>
      <c r="Z11" s="28">
        <v>2</v>
      </c>
      <c r="AA11" s="28" t="s">
        <v>34</v>
      </c>
      <c r="AB11" s="40">
        <f t="shared" si="11"/>
        <v>-0.69</v>
      </c>
      <c r="AC11" s="41">
        <v>2.6551796296296299E-2</v>
      </c>
      <c r="AD11" s="39">
        <f t="shared" si="12"/>
        <v>-7.3282957777777782E-2</v>
      </c>
      <c r="AE11" s="39">
        <v>-3.48</v>
      </c>
      <c r="AF11" s="39">
        <v>-1.35481641025641</v>
      </c>
      <c r="AG11" s="39">
        <v>0</v>
      </c>
    </row>
    <row r="12" spans="1:33" ht="15.75" customHeight="1" x14ac:dyDescent="0.2">
      <c r="A12" s="28" t="s">
        <v>49</v>
      </c>
      <c r="B12" s="28" t="s">
        <v>286</v>
      </c>
      <c r="C12" s="15">
        <f t="shared" si="1"/>
        <v>9.0481818181818188</v>
      </c>
      <c r="D12" s="29">
        <v>11</v>
      </c>
      <c r="E12" s="29">
        <v>0</v>
      </c>
      <c r="F12" s="30">
        <v>99.53</v>
      </c>
      <c r="G12" s="30">
        <v>-39.74</v>
      </c>
      <c r="H12" s="31">
        <f t="shared" si="2"/>
        <v>0.39927660002009446</v>
      </c>
      <c r="I12" s="31">
        <f t="shared" si="3"/>
        <v>-8.7667404607638832E-2</v>
      </c>
      <c r="J12" s="32">
        <f t="shared" si="4"/>
        <v>-8.7255367805982935</v>
      </c>
      <c r="K12" s="32">
        <f t="shared" si="5"/>
        <v>-0.79323061641802672</v>
      </c>
      <c r="L12" s="29">
        <v>27</v>
      </c>
      <c r="M12" s="33">
        <f t="shared" si="6"/>
        <v>0.40740740740740738</v>
      </c>
      <c r="N12" s="29">
        <v>126</v>
      </c>
      <c r="O12" s="34">
        <f t="shared" ref="O12:P12" si="15">D12/7</f>
        <v>1.5714285714285714</v>
      </c>
      <c r="P12" s="34">
        <f t="shared" si="15"/>
        <v>0</v>
      </c>
      <c r="Q12" s="29">
        <f t="shared" si="8"/>
        <v>80</v>
      </c>
      <c r="R12" s="29"/>
      <c r="S12" s="35">
        <v>0.43846153846153801</v>
      </c>
      <c r="T12" s="28">
        <v>0</v>
      </c>
      <c r="U12" s="36" t="s">
        <v>33</v>
      </c>
      <c r="V12" s="37" t="s">
        <v>33</v>
      </c>
      <c r="W12" s="28">
        <v>3</v>
      </c>
      <c r="X12" s="38">
        <f t="shared" si="9"/>
        <v>0.27272727272727271</v>
      </c>
      <c r="Y12" s="39">
        <f t="shared" si="10"/>
        <v>6.623333333333334</v>
      </c>
      <c r="Z12" s="28">
        <v>3</v>
      </c>
      <c r="AA12" s="28" t="s">
        <v>34</v>
      </c>
      <c r="AB12" s="40">
        <f t="shared" si="11"/>
        <v>-0.69</v>
      </c>
      <c r="AC12" s="41">
        <v>2.6551796296296299E-2</v>
      </c>
      <c r="AD12" s="39">
        <f t="shared" si="12"/>
        <v>-0.40305626777777781</v>
      </c>
      <c r="AE12" s="39">
        <v>-3.48</v>
      </c>
      <c r="AF12" s="39">
        <v>-1.35481641025641</v>
      </c>
      <c r="AG12" s="39">
        <v>0</v>
      </c>
    </row>
    <row r="13" spans="1:33" ht="15.75" customHeight="1" x14ac:dyDescent="0.2">
      <c r="A13" s="28" t="s">
        <v>50</v>
      </c>
      <c r="B13" s="28" t="s">
        <v>287</v>
      </c>
      <c r="C13" s="15">
        <f t="shared" si="1"/>
        <v>8.6811999999999987</v>
      </c>
      <c r="D13" s="29">
        <v>25</v>
      </c>
      <c r="E13" s="29">
        <v>0</v>
      </c>
      <c r="F13" s="32">
        <v>217.02999999999997</v>
      </c>
      <c r="G13" s="30">
        <v>-1.27</v>
      </c>
      <c r="H13" s="31">
        <f t="shared" si="2"/>
        <v>5.8517255678938408E-3</v>
      </c>
      <c r="I13" s="31">
        <f t="shared" si="3"/>
        <v>0.28159914771127381</v>
      </c>
      <c r="J13" s="32">
        <f t="shared" si="4"/>
        <v>61.115463027777743</v>
      </c>
      <c r="K13" s="32">
        <f t="shared" si="5"/>
        <v>2.4446185211111096</v>
      </c>
      <c r="L13" s="29">
        <v>9</v>
      </c>
      <c r="M13" s="33">
        <f t="shared" si="6"/>
        <v>2.7777777777777777</v>
      </c>
      <c r="N13" s="29">
        <v>101</v>
      </c>
      <c r="O13" s="34">
        <f t="shared" ref="O13:P13" si="16">D13/7</f>
        <v>3.5714285714285716</v>
      </c>
      <c r="P13" s="34">
        <f t="shared" si="16"/>
        <v>0</v>
      </c>
      <c r="Q13" s="29">
        <f t="shared" si="8"/>
        <v>28</v>
      </c>
      <c r="R13" s="29"/>
      <c r="S13" s="35">
        <v>0.41176470588235198</v>
      </c>
      <c r="T13" s="28">
        <v>0</v>
      </c>
      <c r="U13" s="36" t="s">
        <v>33</v>
      </c>
      <c r="V13" s="37" t="s">
        <v>33</v>
      </c>
      <c r="W13" s="28">
        <v>1</v>
      </c>
      <c r="X13" s="38">
        <f t="shared" si="9"/>
        <v>0.04</v>
      </c>
      <c r="Y13" s="39">
        <f t="shared" si="10"/>
        <v>1.27</v>
      </c>
      <c r="Z13" s="28">
        <v>0</v>
      </c>
      <c r="AA13" s="28" t="s">
        <v>34</v>
      </c>
      <c r="AB13" s="40">
        <f t="shared" si="11"/>
        <v>-0.69</v>
      </c>
      <c r="AC13" s="41">
        <v>2.6551796296296299E-2</v>
      </c>
      <c r="AD13" s="39">
        <f t="shared" si="12"/>
        <v>-0.91603697222222225</v>
      </c>
      <c r="AE13" s="39">
        <v>-3.48</v>
      </c>
      <c r="AF13" s="39">
        <v>-1.36696</v>
      </c>
      <c r="AG13" s="39">
        <v>0</v>
      </c>
    </row>
    <row r="14" spans="1:33" ht="15.75" customHeight="1" x14ac:dyDescent="0.2">
      <c r="A14" s="28" t="s">
        <v>51</v>
      </c>
      <c r="B14" s="28" t="s">
        <v>284</v>
      </c>
      <c r="C14" s="15">
        <f t="shared" si="1"/>
        <v>9.3360000000000021</v>
      </c>
      <c r="D14" s="29">
        <v>5</v>
      </c>
      <c r="E14" s="29">
        <v>0</v>
      </c>
      <c r="F14" s="32">
        <v>46.680000000000007</v>
      </c>
      <c r="G14" s="30">
        <v>0</v>
      </c>
      <c r="H14" s="31">
        <f t="shared" si="2"/>
        <v>0</v>
      </c>
      <c r="I14" s="31">
        <f t="shared" si="3"/>
        <v>0.32690643970770261</v>
      </c>
      <c r="J14" s="32">
        <f t="shared" si="4"/>
        <v>15.25999260555556</v>
      </c>
      <c r="K14" s="32">
        <f t="shared" si="5"/>
        <v>3.0519985211111118</v>
      </c>
      <c r="L14" s="29">
        <v>6</v>
      </c>
      <c r="M14" s="33">
        <f t="shared" si="6"/>
        <v>0.83333333333333337</v>
      </c>
      <c r="N14" s="29">
        <v>93</v>
      </c>
      <c r="O14" s="34">
        <f t="shared" ref="O14:P14" si="17">D14/7</f>
        <v>0.7142857142857143</v>
      </c>
      <c r="P14" s="34">
        <f t="shared" si="17"/>
        <v>0</v>
      </c>
      <c r="Q14" s="29">
        <f t="shared" si="8"/>
        <v>130</v>
      </c>
      <c r="R14" s="29"/>
      <c r="S14" s="35">
        <v>1.24550898203592</v>
      </c>
      <c r="T14" s="28">
        <v>0</v>
      </c>
      <c r="U14" s="36" t="s">
        <v>33</v>
      </c>
      <c r="V14" s="37" t="s">
        <v>33</v>
      </c>
      <c r="W14" s="28">
        <v>1</v>
      </c>
      <c r="X14" s="38">
        <f t="shared" si="9"/>
        <v>0.2</v>
      </c>
      <c r="Y14" s="39">
        <f t="shared" si="10"/>
        <v>0</v>
      </c>
      <c r="Z14" s="28">
        <v>0</v>
      </c>
      <c r="AA14" s="28" t="s">
        <v>34</v>
      </c>
      <c r="AB14" s="40">
        <f t="shared" si="11"/>
        <v>-0.69</v>
      </c>
      <c r="AC14" s="41">
        <v>2.6551796296296299E-2</v>
      </c>
      <c r="AD14" s="39">
        <f t="shared" si="12"/>
        <v>-0.18320739444444445</v>
      </c>
      <c r="AE14" s="39">
        <v>-3.48</v>
      </c>
      <c r="AF14" s="39">
        <v>-1.36696</v>
      </c>
      <c r="AG14" s="39">
        <v>0</v>
      </c>
    </row>
    <row r="15" spans="1:33" ht="15.75" customHeight="1" x14ac:dyDescent="0.2">
      <c r="A15" s="28" t="s">
        <v>53</v>
      </c>
      <c r="B15" s="28" t="s">
        <v>288</v>
      </c>
      <c r="C15" s="15">
        <f t="shared" si="1"/>
        <v>9.620000000000001</v>
      </c>
      <c r="D15" s="29">
        <v>5</v>
      </c>
      <c r="E15" s="29">
        <v>0</v>
      </c>
      <c r="F15" s="32">
        <v>48.1</v>
      </c>
      <c r="G15" s="30">
        <v>0</v>
      </c>
      <c r="H15" s="31">
        <f t="shared" si="2"/>
        <v>0</v>
      </c>
      <c r="I15" s="31">
        <f t="shared" si="3"/>
        <v>0.34258196685146686</v>
      </c>
      <c r="J15" s="32">
        <f t="shared" si="4"/>
        <v>16.478192605555556</v>
      </c>
      <c r="K15" s="32">
        <f t="shared" si="5"/>
        <v>3.295638521111111</v>
      </c>
      <c r="L15" s="29">
        <v>11</v>
      </c>
      <c r="M15" s="33">
        <f t="shared" si="6"/>
        <v>0.45454545454545453</v>
      </c>
      <c r="N15" s="29">
        <v>91</v>
      </c>
      <c r="O15" s="34">
        <f t="shared" ref="O15:P15" si="18">D15/7</f>
        <v>0.7142857142857143</v>
      </c>
      <c r="P15" s="34">
        <f t="shared" si="18"/>
        <v>0</v>
      </c>
      <c r="Q15" s="29">
        <f t="shared" si="8"/>
        <v>127</v>
      </c>
      <c r="R15" s="29"/>
      <c r="S15" s="35">
        <v>1.49677419354838</v>
      </c>
      <c r="T15" s="28">
        <v>0</v>
      </c>
      <c r="U15" s="36" t="s">
        <v>33</v>
      </c>
      <c r="V15" s="37" t="s">
        <v>33</v>
      </c>
      <c r="W15" s="28">
        <v>0</v>
      </c>
      <c r="X15" s="38">
        <f t="shared" si="9"/>
        <v>0</v>
      </c>
      <c r="Y15" s="39">
        <f t="shared" si="10"/>
        <v>0</v>
      </c>
      <c r="Z15" s="28">
        <v>0</v>
      </c>
      <c r="AA15" s="28" t="s">
        <v>34</v>
      </c>
      <c r="AB15" s="40">
        <f t="shared" si="11"/>
        <v>-0.69</v>
      </c>
      <c r="AC15" s="41">
        <v>2.6551796296296299E-2</v>
      </c>
      <c r="AD15" s="39">
        <f t="shared" si="12"/>
        <v>-0.18320739444444445</v>
      </c>
      <c r="AE15" s="39">
        <v>-3.48</v>
      </c>
      <c r="AF15" s="39">
        <v>-1.3647199999999999</v>
      </c>
      <c r="AG15" s="39">
        <v>0</v>
      </c>
    </row>
    <row r="16" spans="1:33" ht="15.75" customHeight="1" x14ac:dyDescent="0.2">
      <c r="A16" s="28" t="s">
        <v>54</v>
      </c>
      <c r="B16" s="28" t="s">
        <v>47</v>
      </c>
      <c r="C16" s="15">
        <f t="shared" si="1"/>
        <v>9.0042857142857144</v>
      </c>
      <c r="D16" s="29">
        <v>7</v>
      </c>
      <c r="E16" s="29">
        <v>0</v>
      </c>
      <c r="F16" s="32">
        <v>63.03</v>
      </c>
      <c r="G16" s="30">
        <v>-0.08</v>
      </c>
      <c r="H16" s="31">
        <f t="shared" si="2"/>
        <v>1.2692368713311123E-3</v>
      </c>
      <c r="I16" s="31">
        <f t="shared" si="3"/>
        <v>0.30661541563981876</v>
      </c>
      <c r="J16" s="32">
        <f t="shared" si="4"/>
        <v>19.325969647777775</v>
      </c>
      <c r="K16" s="32">
        <f t="shared" si="5"/>
        <v>2.7608528068253966</v>
      </c>
      <c r="L16" s="29">
        <v>8</v>
      </c>
      <c r="M16" s="33">
        <f t="shared" si="6"/>
        <v>0.875</v>
      </c>
      <c r="N16" s="29">
        <v>85</v>
      </c>
      <c r="O16" s="34">
        <f t="shared" ref="O16:P16" si="19">D16/7</f>
        <v>1</v>
      </c>
      <c r="P16" s="34">
        <f t="shared" si="19"/>
        <v>0</v>
      </c>
      <c r="Q16" s="29">
        <f t="shared" si="8"/>
        <v>85</v>
      </c>
      <c r="R16" s="29"/>
      <c r="S16" s="35">
        <v>1.8028169014084501</v>
      </c>
      <c r="T16" s="28">
        <v>0</v>
      </c>
      <c r="U16" s="36" t="s">
        <v>33</v>
      </c>
      <c r="V16" s="37" t="s">
        <v>33</v>
      </c>
      <c r="W16" s="28">
        <v>0</v>
      </c>
      <c r="X16" s="38">
        <f t="shared" si="9"/>
        <v>0</v>
      </c>
      <c r="Y16" s="39">
        <f t="shared" si="10"/>
        <v>0</v>
      </c>
      <c r="Z16" s="28">
        <v>0</v>
      </c>
      <c r="AA16" s="28" t="s">
        <v>34</v>
      </c>
      <c r="AB16" s="40">
        <f t="shared" si="11"/>
        <v>-0.69</v>
      </c>
      <c r="AC16" s="41">
        <v>2.6551796296296299E-2</v>
      </c>
      <c r="AD16" s="39">
        <f t="shared" si="12"/>
        <v>-0.25649035222222222</v>
      </c>
      <c r="AE16" s="39">
        <v>-3.48</v>
      </c>
      <c r="AF16" s="39">
        <v>-1.3647199999999999</v>
      </c>
      <c r="AG16" s="39">
        <v>0</v>
      </c>
    </row>
    <row r="17" spans="1:33" ht="15.75" customHeight="1" x14ac:dyDescent="0.2">
      <c r="A17" s="28" t="s">
        <v>55</v>
      </c>
      <c r="B17" s="28" t="s">
        <v>289</v>
      </c>
      <c r="C17" s="15">
        <f t="shared" si="1"/>
        <v>8.5380000000000003</v>
      </c>
      <c r="D17" s="29">
        <v>15</v>
      </c>
      <c r="E17" s="29">
        <v>0</v>
      </c>
      <c r="F17" s="32">
        <v>128.07</v>
      </c>
      <c r="G17" s="30">
        <v>0</v>
      </c>
      <c r="H17" s="31">
        <f t="shared" si="2"/>
        <v>0</v>
      </c>
      <c r="I17" s="31">
        <f t="shared" si="3"/>
        <v>0.27827811210015357</v>
      </c>
      <c r="J17" s="32">
        <f t="shared" si="4"/>
        <v>35.639077816666664</v>
      </c>
      <c r="K17" s="32">
        <f t="shared" si="5"/>
        <v>2.3759385211111108</v>
      </c>
      <c r="L17" s="29">
        <v>9</v>
      </c>
      <c r="M17" s="33">
        <f t="shared" si="6"/>
        <v>1.6666666666666667</v>
      </c>
      <c r="N17" s="29">
        <v>70</v>
      </c>
      <c r="O17" s="34">
        <f t="shared" ref="O17:P17" si="20">D17/7</f>
        <v>2.1428571428571428</v>
      </c>
      <c r="P17" s="34">
        <f t="shared" si="20"/>
        <v>0</v>
      </c>
      <c r="Q17" s="29">
        <f t="shared" si="8"/>
        <v>32</v>
      </c>
      <c r="R17" s="29"/>
      <c r="S17" s="35">
        <v>1.35111111111111</v>
      </c>
      <c r="T17" s="28">
        <v>0</v>
      </c>
      <c r="U17" s="36" t="s">
        <v>33</v>
      </c>
      <c r="V17" s="37" t="s">
        <v>33</v>
      </c>
      <c r="W17" s="28">
        <v>0</v>
      </c>
      <c r="X17" s="38">
        <f t="shared" si="9"/>
        <v>0</v>
      </c>
      <c r="Y17" s="39">
        <f t="shared" si="10"/>
        <v>0</v>
      </c>
      <c r="Z17" s="28">
        <v>0</v>
      </c>
      <c r="AA17" s="28" t="s">
        <v>34</v>
      </c>
      <c r="AB17" s="40">
        <f t="shared" si="11"/>
        <v>-0.69</v>
      </c>
      <c r="AC17" s="41">
        <v>2.6551796296296299E-2</v>
      </c>
      <c r="AD17" s="39">
        <f t="shared" si="12"/>
        <v>-0.54962218333333335</v>
      </c>
      <c r="AE17" s="39">
        <v>-3.48</v>
      </c>
      <c r="AF17" s="39">
        <v>-1.3647199999999999</v>
      </c>
      <c r="AG17" s="39">
        <v>0</v>
      </c>
    </row>
    <row r="18" spans="1:33" ht="15.75" customHeight="1" x14ac:dyDescent="0.2">
      <c r="A18" s="28" t="s">
        <v>56</v>
      </c>
      <c r="B18" s="28" t="s">
        <v>47</v>
      </c>
      <c r="C18" s="15">
        <f t="shared" si="1"/>
        <v>8.612857142857143</v>
      </c>
      <c r="D18" s="29">
        <v>7</v>
      </c>
      <c r="E18" s="29">
        <v>0</v>
      </c>
      <c r="F18" s="32">
        <v>60.29</v>
      </c>
      <c r="G18" s="30">
        <v>0</v>
      </c>
      <c r="H18" s="31">
        <f t="shared" si="2"/>
        <v>0</v>
      </c>
      <c r="I18" s="31">
        <f t="shared" si="3"/>
        <v>0.28324713298685983</v>
      </c>
      <c r="J18" s="32">
        <f t="shared" si="4"/>
        <v>17.07696964777778</v>
      </c>
      <c r="K18" s="32">
        <f t="shared" si="5"/>
        <v>2.4395670925396828</v>
      </c>
      <c r="L18" s="29">
        <v>20</v>
      </c>
      <c r="M18" s="33">
        <f t="shared" si="6"/>
        <v>0.35</v>
      </c>
      <c r="N18" s="29">
        <v>63</v>
      </c>
      <c r="O18" s="34">
        <f t="shared" ref="O18:P18" si="21">D18/7</f>
        <v>1</v>
      </c>
      <c r="P18" s="34">
        <f t="shared" si="21"/>
        <v>0</v>
      </c>
      <c r="Q18" s="29">
        <f t="shared" si="8"/>
        <v>63</v>
      </c>
      <c r="R18" s="29"/>
      <c r="S18" s="35">
        <v>1.67307692307692</v>
      </c>
      <c r="T18" s="28">
        <v>0</v>
      </c>
      <c r="U18" s="36">
        <v>0</v>
      </c>
      <c r="V18" s="37" t="s">
        <v>33</v>
      </c>
      <c r="W18" s="28">
        <v>0</v>
      </c>
      <c r="X18" s="38">
        <f t="shared" si="9"/>
        <v>0</v>
      </c>
      <c r="Y18" s="39">
        <f t="shared" si="10"/>
        <v>0</v>
      </c>
      <c r="Z18" s="28">
        <v>0</v>
      </c>
      <c r="AA18" s="28" t="s">
        <v>34</v>
      </c>
      <c r="AB18" s="40">
        <f t="shared" si="11"/>
        <v>-0.69</v>
      </c>
      <c r="AC18" s="41">
        <v>2.6551796296296299E-2</v>
      </c>
      <c r="AD18" s="39">
        <f t="shared" si="12"/>
        <v>-0.25649035222222222</v>
      </c>
      <c r="AE18" s="39">
        <v>-3.48</v>
      </c>
      <c r="AF18" s="39">
        <v>-1.3647199999999999</v>
      </c>
      <c r="AG18" s="39">
        <v>0</v>
      </c>
    </row>
    <row r="19" spans="1:33" ht="15.75" customHeight="1" x14ac:dyDescent="0.2">
      <c r="A19" s="28" t="s">
        <v>57</v>
      </c>
      <c r="B19" s="28" t="s">
        <v>47</v>
      </c>
      <c r="C19" s="15">
        <f t="shared" si="1"/>
        <v>9.0414285714285718</v>
      </c>
      <c r="D19" s="29">
        <v>14</v>
      </c>
      <c r="E19" s="29">
        <v>1</v>
      </c>
      <c r="F19" s="32">
        <v>126.58</v>
      </c>
      <c r="G19" s="30">
        <v>0</v>
      </c>
      <c r="H19" s="31">
        <f t="shared" si="2"/>
        <v>0</v>
      </c>
      <c r="I19" s="31">
        <f t="shared" si="3"/>
        <v>0.30308847602745731</v>
      </c>
      <c r="J19" s="32">
        <f t="shared" si="4"/>
        <v>38.364939295555544</v>
      </c>
      <c r="K19" s="32">
        <f t="shared" si="5"/>
        <v>2.7403528068253959</v>
      </c>
      <c r="L19" s="29">
        <v>17</v>
      </c>
      <c r="M19" s="33">
        <f t="shared" si="6"/>
        <v>0.82352941176470584</v>
      </c>
      <c r="N19" s="29">
        <v>58</v>
      </c>
      <c r="O19" s="34">
        <f t="shared" ref="O19:P19" si="22">D19/7</f>
        <v>2</v>
      </c>
      <c r="P19" s="34">
        <f t="shared" si="22"/>
        <v>0.14285714285714285</v>
      </c>
      <c r="Q19" s="29">
        <f t="shared" si="8"/>
        <v>27</v>
      </c>
      <c r="R19" s="29"/>
      <c r="S19" s="35">
        <v>1.63302752293577</v>
      </c>
      <c r="T19" s="28">
        <v>0</v>
      </c>
      <c r="U19" s="36" t="s">
        <v>33</v>
      </c>
      <c r="V19" s="37" t="s">
        <v>33</v>
      </c>
      <c r="W19" s="28">
        <v>0</v>
      </c>
      <c r="X19" s="38">
        <f t="shared" si="9"/>
        <v>0</v>
      </c>
      <c r="Y19" s="39">
        <f t="shared" si="10"/>
        <v>0</v>
      </c>
      <c r="Z19" s="28">
        <v>0</v>
      </c>
      <c r="AA19" s="28" t="s">
        <v>34</v>
      </c>
      <c r="AB19" s="40">
        <f t="shared" si="11"/>
        <v>-0.69</v>
      </c>
      <c r="AC19" s="41">
        <v>2.6551796296296299E-2</v>
      </c>
      <c r="AD19" s="39">
        <f t="shared" si="12"/>
        <v>-0.51298070444444444</v>
      </c>
      <c r="AE19" s="39">
        <v>-3.48</v>
      </c>
      <c r="AF19" s="39">
        <v>-1.42822</v>
      </c>
      <c r="AG19" s="39">
        <v>0</v>
      </c>
    </row>
    <row r="20" spans="1:33" ht="15.75" customHeight="1" x14ac:dyDescent="0.2">
      <c r="A20" s="28" t="s">
        <v>58</v>
      </c>
      <c r="B20" s="28" t="s">
        <v>290</v>
      </c>
      <c r="C20" s="15">
        <f t="shared" si="1"/>
        <v>9.0044444444444451</v>
      </c>
      <c r="D20" s="29">
        <v>9</v>
      </c>
      <c r="E20" s="29">
        <v>0</v>
      </c>
      <c r="F20" s="32">
        <v>81.040000000000006</v>
      </c>
      <c r="G20" s="30">
        <v>0</v>
      </c>
      <c r="H20" s="31">
        <f t="shared" si="2"/>
        <v>0</v>
      </c>
      <c r="I20" s="31">
        <f t="shared" si="3"/>
        <v>0.30084213585883512</v>
      </c>
      <c r="J20" s="32">
        <f t="shared" si="4"/>
        <v>24.38024669</v>
      </c>
      <c r="K20" s="32">
        <f t="shared" si="5"/>
        <v>2.7089162988888891</v>
      </c>
      <c r="L20" s="29">
        <v>8</v>
      </c>
      <c r="M20" s="33">
        <f t="shared" si="6"/>
        <v>1.125</v>
      </c>
      <c r="N20" s="29">
        <v>38</v>
      </c>
      <c r="O20" s="34">
        <f t="shared" ref="O20:P20" si="23">D20/7</f>
        <v>1.2857142857142858</v>
      </c>
      <c r="P20" s="34">
        <f t="shared" si="23"/>
        <v>0</v>
      </c>
      <c r="Q20" s="29">
        <f t="shared" si="8"/>
        <v>29</v>
      </c>
      <c r="R20" s="29"/>
      <c r="S20" s="35">
        <v>2.27979274611398</v>
      </c>
      <c r="T20" s="28">
        <v>0</v>
      </c>
      <c r="U20" s="36" t="s">
        <v>33</v>
      </c>
      <c r="V20" s="37" t="s">
        <v>33</v>
      </c>
      <c r="W20" s="28">
        <v>0</v>
      </c>
      <c r="X20" s="38">
        <f t="shared" si="9"/>
        <v>0</v>
      </c>
      <c r="Y20" s="39">
        <f t="shared" si="10"/>
        <v>0</v>
      </c>
      <c r="Z20" s="28">
        <v>0</v>
      </c>
      <c r="AA20" s="28" t="s">
        <v>34</v>
      </c>
      <c r="AB20" s="40">
        <f t="shared" si="11"/>
        <v>-0.69</v>
      </c>
      <c r="AC20" s="41">
        <v>2.6551796296296299E-2</v>
      </c>
      <c r="AD20" s="39">
        <f t="shared" si="12"/>
        <v>-0.32977331000000004</v>
      </c>
      <c r="AE20" s="39">
        <v>-3.48</v>
      </c>
      <c r="AF20" s="39">
        <v>-1.42822</v>
      </c>
      <c r="AG20" s="39">
        <v>0</v>
      </c>
    </row>
    <row r="21" spans="1:33" ht="15.75" customHeight="1" x14ac:dyDescent="0.2">
      <c r="A21" s="28" t="s">
        <v>59</v>
      </c>
      <c r="B21" s="28" t="s">
        <v>246</v>
      </c>
      <c r="C21" s="15">
        <f t="shared" si="1"/>
        <v>9.8233333333333341</v>
      </c>
      <c r="D21" s="29">
        <v>6</v>
      </c>
      <c r="E21" s="29">
        <v>0</v>
      </c>
      <c r="F21" s="32">
        <v>58.940000000000005</v>
      </c>
      <c r="G21" s="30">
        <v>0</v>
      </c>
      <c r="H21" s="31">
        <f t="shared" si="2"/>
        <v>0</v>
      </c>
      <c r="I21" s="31">
        <f t="shared" si="3"/>
        <v>0.34662081992987215</v>
      </c>
      <c r="J21" s="32">
        <f t="shared" si="4"/>
        <v>20.429831126666667</v>
      </c>
      <c r="K21" s="32">
        <f t="shared" si="5"/>
        <v>3.4049718544444443</v>
      </c>
      <c r="L21" s="29">
        <v>5</v>
      </c>
      <c r="M21" s="33">
        <f t="shared" si="6"/>
        <v>1.2</v>
      </c>
      <c r="N21" s="29">
        <v>33</v>
      </c>
      <c r="O21" s="34">
        <f t="shared" ref="O21:P21" si="24">D21/7</f>
        <v>0.8571428571428571</v>
      </c>
      <c r="P21" s="34">
        <f t="shared" si="24"/>
        <v>0</v>
      </c>
      <c r="Q21" s="29">
        <f t="shared" si="8"/>
        <v>38</v>
      </c>
      <c r="R21" s="29"/>
      <c r="S21" s="35">
        <v>1.75757575757575</v>
      </c>
      <c r="T21" s="28">
        <v>250</v>
      </c>
      <c r="U21" s="36" t="s">
        <v>33</v>
      </c>
      <c r="V21" s="37" t="s">
        <v>33</v>
      </c>
      <c r="W21" s="28">
        <v>0</v>
      </c>
      <c r="X21" s="38">
        <f t="shared" si="9"/>
        <v>0</v>
      </c>
      <c r="Y21" s="39">
        <f t="shared" si="10"/>
        <v>0</v>
      </c>
      <c r="Z21" s="28">
        <v>0</v>
      </c>
      <c r="AA21" s="28" t="s">
        <v>34</v>
      </c>
      <c r="AB21" s="40">
        <f t="shared" si="11"/>
        <v>-0.69</v>
      </c>
      <c r="AC21" s="41">
        <v>2.6551796296296299E-2</v>
      </c>
      <c r="AD21" s="39">
        <f t="shared" si="12"/>
        <v>-0.21984887333333336</v>
      </c>
      <c r="AE21" s="39">
        <v>-3.48</v>
      </c>
      <c r="AF21" s="39">
        <v>-1.42822</v>
      </c>
      <c r="AG21" s="39">
        <v>0</v>
      </c>
    </row>
    <row r="22" spans="1:33" ht="15.75" customHeight="1" x14ac:dyDescent="0.2">
      <c r="A22" s="28" t="s">
        <v>60</v>
      </c>
      <c r="B22" s="28" t="s">
        <v>47</v>
      </c>
      <c r="C22" s="15">
        <f t="shared" si="1"/>
        <v>9.99</v>
      </c>
      <c r="D22" s="29">
        <v>2</v>
      </c>
      <c r="E22" s="29">
        <v>1</v>
      </c>
      <c r="F22" s="30">
        <v>19.98</v>
      </c>
      <c r="G22" s="30">
        <v>0</v>
      </c>
      <c r="H22" s="31">
        <f t="shared" si="2"/>
        <v>0</v>
      </c>
      <c r="I22" s="31">
        <f t="shared" si="3"/>
        <v>0.35501887098209328</v>
      </c>
      <c r="J22" s="32">
        <f t="shared" si="4"/>
        <v>7.0932770422222235</v>
      </c>
      <c r="K22" s="32">
        <f t="shared" si="5"/>
        <v>3.5466385211111118</v>
      </c>
      <c r="L22" s="29">
        <v>12</v>
      </c>
      <c r="M22" s="33">
        <f t="shared" si="6"/>
        <v>0.16666666666666666</v>
      </c>
      <c r="N22" s="29">
        <v>30</v>
      </c>
      <c r="O22" s="34">
        <f t="shared" ref="O22:P22" si="25">D22/7</f>
        <v>0.2857142857142857</v>
      </c>
      <c r="P22" s="34">
        <f t="shared" si="25"/>
        <v>0.14285714285714285</v>
      </c>
      <c r="Q22" s="29">
        <f t="shared" si="8"/>
        <v>70</v>
      </c>
      <c r="R22" s="29"/>
      <c r="S22" s="35">
        <v>1.93495934959349</v>
      </c>
      <c r="T22" s="28">
        <v>500</v>
      </c>
      <c r="U22" s="36" t="s">
        <v>33</v>
      </c>
      <c r="V22" s="37" t="s">
        <v>33</v>
      </c>
      <c r="W22" s="28">
        <v>0</v>
      </c>
      <c r="X22" s="38">
        <f t="shared" si="9"/>
        <v>0</v>
      </c>
      <c r="Y22" s="39">
        <f t="shared" si="10"/>
        <v>0</v>
      </c>
      <c r="Z22" s="28">
        <v>0</v>
      </c>
      <c r="AA22" s="28" t="s">
        <v>34</v>
      </c>
      <c r="AB22" s="40">
        <f t="shared" si="11"/>
        <v>-0.69</v>
      </c>
      <c r="AC22" s="41">
        <v>2.6551796296296299E-2</v>
      </c>
      <c r="AD22" s="39">
        <f t="shared" si="12"/>
        <v>-7.3282957777777782E-2</v>
      </c>
      <c r="AE22" s="39">
        <v>-3.48</v>
      </c>
      <c r="AF22" s="39">
        <v>-1.42822</v>
      </c>
      <c r="AG22" s="39">
        <v>0</v>
      </c>
    </row>
    <row r="23" spans="1:33" ht="15.75" customHeight="1" x14ac:dyDescent="0.2">
      <c r="A23" s="28" t="s">
        <v>62</v>
      </c>
      <c r="B23" s="28" t="s">
        <v>291</v>
      </c>
      <c r="C23" s="15">
        <f t="shared" si="1"/>
        <v>10.009166666666665</v>
      </c>
      <c r="D23" s="29">
        <v>12</v>
      </c>
      <c r="E23" s="29">
        <v>1</v>
      </c>
      <c r="F23" s="32">
        <v>120.10999999999999</v>
      </c>
      <c r="G23" s="30">
        <v>0</v>
      </c>
      <c r="H23" s="31">
        <f t="shared" si="2"/>
        <v>0</v>
      </c>
      <c r="I23" s="31">
        <f t="shared" si="3"/>
        <v>0.35596671595481921</v>
      </c>
      <c r="J23" s="32">
        <f t="shared" si="4"/>
        <v>42.755162253333332</v>
      </c>
      <c r="K23" s="32">
        <f t="shared" si="5"/>
        <v>3.5629301877777775</v>
      </c>
      <c r="L23" s="29">
        <v>8</v>
      </c>
      <c r="M23" s="33">
        <f t="shared" si="6"/>
        <v>1.5</v>
      </c>
      <c r="N23" s="29">
        <v>20</v>
      </c>
      <c r="O23" s="34">
        <f t="shared" ref="O23:P23" si="26">D23/7</f>
        <v>1.7142857142857142</v>
      </c>
      <c r="P23" s="34">
        <f t="shared" si="26"/>
        <v>0.14285714285714285</v>
      </c>
      <c r="Q23" s="29">
        <f t="shared" si="8"/>
        <v>10</v>
      </c>
      <c r="R23" s="29"/>
      <c r="S23" s="35">
        <v>1.8425196850393699</v>
      </c>
      <c r="T23" s="28">
        <v>750</v>
      </c>
      <c r="U23" s="36" t="s">
        <v>33</v>
      </c>
      <c r="V23" s="37" t="s">
        <v>33</v>
      </c>
      <c r="W23" s="28">
        <v>0</v>
      </c>
      <c r="X23" s="38">
        <f t="shared" si="9"/>
        <v>0</v>
      </c>
      <c r="Y23" s="39">
        <f t="shared" si="10"/>
        <v>0</v>
      </c>
      <c r="Z23" s="28">
        <v>0</v>
      </c>
      <c r="AA23" s="28" t="s">
        <v>34</v>
      </c>
      <c r="AB23" s="40">
        <f t="shared" si="11"/>
        <v>-0.69</v>
      </c>
      <c r="AC23" s="41">
        <v>2.6551796296296299E-2</v>
      </c>
      <c r="AD23" s="39">
        <f t="shared" si="12"/>
        <v>-0.43969774666666672</v>
      </c>
      <c r="AE23" s="39">
        <v>-3.48</v>
      </c>
      <c r="AF23" s="39">
        <v>-1.42822</v>
      </c>
      <c r="AG23" s="39">
        <v>0</v>
      </c>
    </row>
    <row r="24" spans="1:33" ht="15.75" customHeight="1" x14ac:dyDescent="0.2">
      <c r="A24" s="28" t="s">
        <v>64</v>
      </c>
      <c r="B24" s="28" t="s">
        <v>199</v>
      </c>
      <c r="C24" s="15">
        <f t="shared" si="1"/>
        <v>10.083749999999998</v>
      </c>
      <c r="D24" s="29">
        <v>8</v>
      </c>
      <c r="E24" s="29">
        <v>0</v>
      </c>
      <c r="F24" s="32">
        <v>80.669999999999987</v>
      </c>
      <c r="G24" s="32">
        <v>0</v>
      </c>
      <c r="H24" s="31">
        <f t="shared" si="2"/>
        <v>0</v>
      </c>
      <c r="I24" s="31">
        <f t="shared" si="3"/>
        <v>0.35962077809456905</v>
      </c>
      <c r="J24" s="32">
        <f t="shared" si="4"/>
        <v>29.010608168888883</v>
      </c>
      <c r="K24" s="32">
        <f t="shared" si="5"/>
        <v>3.6263260211111104</v>
      </c>
      <c r="L24" s="29">
        <v>13</v>
      </c>
      <c r="M24" s="33">
        <f t="shared" si="6"/>
        <v>0.61538461538461542</v>
      </c>
      <c r="N24" s="29">
        <v>10</v>
      </c>
      <c r="O24" s="34">
        <f t="shared" ref="O24:P24" si="27">D24/7</f>
        <v>1.1428571428571428</v>
      </c>
      <c r="P24" s="34">
        <f t="shared" si="27"/>
        <v>0</v>
      </c>
      <c r="Q24" s="29">
        <f t="shared" si="8"/>
        <v>8</v>
      </c>
      <c r="R24" s="29"/>
      <c r="S24" s="35">
        <v>2.2648401826483999</v>
      </c>
      <c r="T24" s="28">
        <v>750</v>
      </c>
      <c r="U24" s="36" t="s">
        <v>33</v>
      </c>
      <c r="V24" s="37" t="s">
        <v>33</v>
      </c>
      <c r="W24" s="28">
        <v>0</v>
      </c>
      <c r="X24" s="38">
        <f t="shared" si="9"/>
        <v>0</v>
      </c>
      <c r="Y24" s="39">
        <f t="shared" si="10"/>
        <v>0</v>
      </c>
      <c r="Z24" s="28">
        <v>0</v>
      </c>
      <c r="AA24" s="28" t="s">
        <v>34</v>
      </c>
      <c r="AB24" s="40">
        <f t="shared" si="11"/>
        <v>-0.69</v>
      </c>
      <c r="AC24" s="41">
        <v>2.6551796296296299E-2</v>
      </c>
      <c r="AD24" s="39">
        <f t="shared" si="12"/>
        <v>-0.29313183111111113</v>
      </c>
      <c r="AE24" s="39">
        <v>-3.48</v>
      </c>
      <c r="AF24" s="39">
        <v>-1.42822</v>
      </c>
      <c r="AG24" s="39">
        <v>0</v>
      </c>
    </row>
    <row r="25" spans="1:33" ht="15.75" customHeight="1" x14ac:dyDescent="0.2">
      <c r="A25" s="28" t="s">
        <v>65</v>
      </c>
      <c r="B25" s="14" t="s">
        <v>150</v>
      </c>
      <c r="C25" s="15">
        <f t="shared" si="1"/>
        <v>10.063333333333334</v>
      </c>
      <c r="D25" s="29">
        <v>6</v>
      </c>
      <c r="E25" s="29">
        <v>0</v>
      </c>
      <c r="F25" s="32">
        <v>60.38</v>
      </c>
      <c r="G25" s="32">
        <v>0</v>
      </c>
      <c r="H25" s="31">
        <f t="shared" si="2"/>
        <v>0</v>
      </c>
      <c r="I25" s="31">
        <f t="shared" si="3"/>
        <v>0.35844900839129956</v>
      </c>
      <c r="J25" s="32">
        <f t="shared" si="4"/>
        <v>21.64315112666667</v>
      </c>
      <c r="K25" s="32">
        <f t="shared" si="5"/>
        <v>3.6071918544444448</v>
      </c>
      <c r="L25" s="29">
        <v>16</v>
      </c>
      <c r="M25" s="33">
        <f t="shared" si="6"/>
        <v>0.375</v>
      </c>
      <c r="N25" s="29">
        <v>4</v>
      </c>
      <c r="O25" s="34">
        <f t="shared" ref="O25:P25" si="28">D25/7</f>
        <v>0.8571428571428571</v>
      </c>
      <c r="P25" s="34">
        <f t="shared" si="28"/>
        <v>0</v>
      </c>
      <c r="Q25" s="29">
        <f t="shared" si="8"/>
        <v>4</v>
      </c>
      <c r="R25" s="29"/>
      <c r="S25" s="35">
        <v>1.9838709677419351</v>
      </c>
      <c r="T25" s="28">
        <v>750</v>
      </c>
      <c r="U25" s="36" t="s">
        <v>33</v>
      </c>
      <c r="V25" s="37" t="s">
        <v>33</v>
      </c>
      <c r="W25" s="14">
        <v>0</v>
      </c>
      <c r="X25" s="38">
        <f t="shared" si="9"/>
        <v>0</v>
      </c>
      <c r="Y25" s="39">
        <f t="shared" si="10"/>
        <v>0</v>
      </c>
      <c r="Z25" s="14">
        <v>0</v>
      </c>
      <c r="AA25" s="28" t="s">
        <v>34</v>
      </c>
      <c r="AB25" s="40">
        <f t="shared" si="11"/>
        <v>-0.69</v>
      </c>
      <c r="AC25" s="41">
        <v>2.6551796296296299E-2</v>
      </c>
      <c r="AD25" s="39">
        <f t="shared" si="12"/>
        <v>-0.21984887333333336</v>
      </c>
      <c r="AE25" s="39">
        <v>-3.48</v>
      </c>
      <c r="AF25" s="39">
        <v>-1.43</v>
      </c>
      <c r="AG25" s="39">
        <v>0</v>
      </c>
    </row>
    <row r="26" spans="1:33" ht="15.75" customHeight="1" x14ac:dyDescent="0.2">
      <c r="A26" s="14" t="s">
        <v>67</v>
      </c>
      <c r="B26" s="14" t="s">
        <v>52</v>
      </c>
      <c r="C26" s="15">
        <f t="shared" si="1"/>
        <v>10.013999999999999</v>
      </c>
      <c r="D26" s="16">
        <v>5</v>
      </c>
      <c r="E26" s="16">
        <v>0</v>
      </c>
      <c r="F26" s="17">
        <v>50.07</v>
      </c>
      <c r="G26" s="17">
        <v>0</v>
      </c>
      <c r="H26" s="31">
        <f t="shared" si="2"/>
        <v>0</v>
      </c>
      <c r="I26" s="31">
        <f t="shared" si="3"/>
        <v>0.3397545956771631</v>
      </c>
      <c r="J26" s="32">
        <f t="shared" si="4"/>
        <v>17.011512605555556</v>
      </c>
      <c r="K26" s="32">
        <f t="shared" si="5"/>
        <v>3.4023025211111113</v>
      </c>
      <c r="L26" s="16">
        <v>14</v>
      </c>
      <c r="M26" s="33">
        <f t="shared" si="6"/>
        <v>0.35714285714285715</v>
      </c>
      <c r="N26" s="16">
        <v>1</v>
      </c>
      <c r="O26" s="34">
        <f t="shared" ref="O26:P26" si="29">D26/7</f>
        <v>0.7142857142857143</v>
      </c>
      <c r="P26" s="34">
        <f t="shared" si="29"/>
        <v>0</v>
      </c>
      <c r="Q26" s="29">
        <f t="shared" si="8"/>
        <v>1</v>
      </c>
      <c r="R26" s="29"/>
      <c r="S26" s="21">
        <v>2.0287081339712918</v>
      </c>
      <c r="T26" s="28">
        <v>750</v>
      </c>
      <c r="U26" s="36" t="s">
        <v>33</v>
      </c>
      <c r="V26" s="37" t="s">
        <v>33</v>
      </c>
      <c r="W26" s="14">
        <v>0</v>
      </c>
      <c r="X26" s="38">
        <f t="shared" si="9"/>
        <v>0</v>
      </c>
      <c r="Y26" s="39">
        <f t="shared" si="10"/>
        <v>0</v>
      </c>
      <c r="Z26" s="14">
        <v>0</v>
      </c>
      <c r="AA26" s="28" t="s">
        <v>34</v>
      </c>
      <c r="AB26" s="40">
        <f t="shared" si="11"/>
        <v>-0.69</v>
      </c>
      <c r="AC26" s="41">
        <v>2.6551796296296299E-2</v>
      </c>
      <c r="AD26" s="39">
        <f t="shared" si="12"/>
        <v>-0.18320739444444445</v>
      </c>
      <c r="AE26" s="25">
        <v>-3.64</v>
      </c>
      <c r="AF26" s="25">
        <v>-1.4329559999999999</v>
      </c>
      <c r="AG26" s="25">
        <v>0</v>
      </c>
    </row>
    <row r="27" spans="1:33" ht="15.75" customHeight="1" x14ac:dyDescent="0.2">
      <c r="A27" s="14" t="s">
        <v>69</v>
      </c>
      <c r="B27" s="14"/>
      <c r="C27" s="15" t="str">
        <f t="shared" si="1"/>
        <v xml:space="preserve"> - </v>
      </c>
      <c r="D27" s="16">
        <v>0</v>
      </c>
      <c r="E27" s="16">
        <v>0</v>
      </c>
      <c r="F27" s="17">
        <v>0</v>
      </c>
      <c r="G27" s="17">
        <v>0</v>
      </c>
      <c r="H27" s="31" t="e">
        <f t="shared" si="2"/>
        <v>#DIV/0!</v>
      </c>
      <c r="I27" s="31" t="e">
        <f t="shared" si="3"/>
        <v>#DIV/0!</v>
      </c>
      <c r="J27" s="32">
        <f t="shared" si="4"/>
        <v>0</v>
      </c>
      <c r="K27" s="32" t="e">
        <f t="shared" si="5"/>
        <v>#DIV/0!</v>
      </c>
      <c r="L27" s="16">
        <v>0</v>
      </c>
      <c r="M27" s="33" t="str">
        <f t="shared" si="6"/>
        <v>-</v>
      </c>
      <c r="N27" s="16">
        <v>0</v>
      </c>
      <c r="O27" s="34">
        <f t="shared" ref="O27:P27" si="30">D27/7</f>
        <v>0</v>
      </c>
      <c r="P27" s="34">
        <f t="shared" si="30"/>
        <v>0</v>
      </c>
      <c r="Q27" s="29" t="e">
        <f t="shared" si="8"/>
        <v>#DIV/0!</v>
      </c>
      <c r="R27" s="29"/>
      <c r="S27" s="21">
        <v>0</v>
      </c>
      <c r="T27" s="28">
        <v>750</v>
      </c>
      <c r="U27" s="36" t="s">
        <v>33</v>
      </c>
      <c r="V27" s="37" t="s">
        <v>33</v>
      </c>
      <c r="W27" s="14">
        <v>0</v>
      </c>
      <c r="X27" s="38">
        <f t="shared" si="9"/>
        <v>0</v>
      </c>
      <c r="Y27" s="39">
        <f t="shared" si="10"/>
        <v>0</v>
      </c>
      <c r="Z27" s="14">
        <v>0</v>
      </c>
      <c r="AA27" s="28" t="s">
        <v>34</v>
      </c>
      <c r="AB27" s="40">
        <f t="shared" si="11"/>
        <v>-0.69</v>
      </c>
      <c r="AC27" s="41">
        <v>2.6551796296296299E-2</v>
      </c>
      <c r="AD27" s="39">
        <f t="shared" si="12"/>
        <v>0</v>
      </c>
      <c r="AE27" s="25">
        <v>-3.64</v>
      </c>
      <c r="AF27" s="25">
        <v>-1.4329559999999999</v>
      </c>
      <c r="AG27" s="25">
        <v>0</v>
      </c>
    </row>
    <row r="28" spans="1:33" ht="15.75" customHeight="1" x14ac:dyDescent="0.2">
      <c r="A28" s="14" t="s">
        <v>71</v>
      </c>
      <c r="B28" s="14"/>
      <c r="C28" s="15" t="str">
        <f t="shared" si="1"/>
        <v xml:space="preserve"> - </v>
      </c>
      <c r="D28" s="16">
        <v>0</v>
      </c>
      <c r="E28" s="16">
        <v>0</v>
      </c>
      <c r="F28" s="17">
        <v>0</v>
      </c>
      <c r="G28" s="17">
        <v>0</v>
      </c>
      <c r="H28" s="31" t="e">
        <f t="shared" si="2"/>
        <v>#DIV/0!</v>
      </c>
      <c r="I28" s="31" t="e">
        <f t="shared" si="3"/>
        <v>#DIV/0!</v>
      </c>
      <c r="J28" s="32">
        <f t="shared" si="4"/>
        <v>0</v>
      </c>
      <c r="K28" s="32" t="e">
        <f t="shared" si="5"/>
        <v>#DIV/0!</v>
      </c>
      <c r="L28" s="16">
        <v>0</v>
      </c>
      <c r="M28" s="33" t="str">
        <f t="shared" si="6"/>
        <v>-</v>
      </c>
      <c r="N28" s="16">
        <v>0</v>
      </c>
      <c r="O28" s="34">
        <f t="shared" ref="O28:P28" si="31">D28/7</f>
        <v>0</v>
      </c>
      <c r="P28" s="34">
        <f t="shared" si="31"/>
        <v>0</v>
      </c>
      <c r="Q28" s="29" t="e">
        <f t="shared" si="8"/>
        <v>#DIV/0!</v>
      </c>
      <c r="R28" s="29"/>
      <c r="S28" s="21">
        <v>0</v>
      </c>
      <c r="T28" s="28">
        <v>400</v>
      </c>
      <c r="U28" s="36" t="s">
        <v>33</v>
      </c>
      <c r="V28" s="37" t="s">
        <v>33</v>
      </c>
      <c r="W28" s="14">
        <v>0</v>
      </c>
      <c r="X28" s="38">
        <f t="shared" si="9"/>
        <v>0</v>
      </c>
      <c r="Y28" s="39">
        <f t="shared" si="10"/>
        <v>0</v>
      </c>
      <c r="Z28" s="14">
        <v>0</v>
      </c>
      <c r="AA28" s="28" t="s">
        <v>34</v>
      </c>
      <c r="AB28" s="40">
        <f t="shared" si="11"/>
        <v>-0.69</v>
      </c>
      <c r="AC28" s="41">
        <v>2.6551796296296299E-2</v>
      </c>
      <c r="AD28" s="39">
        <f t="shared" si="12"/>
        <v>0</v>
      </c>
      <c r="AE28" s="25">
        <v>-3.64</v>
      </c>
      <c r="AF28" s="25">
        <v>-1.4329559999999999</v>
      </c>
      <c r="AG28" s="25">
        <v>0</v>
      </c>
    </row>
    <row r="29" spans="1:33" ht="15.75" customHeight="1" x14ac:dyDescent="0.2">
      <c r="A29" s="28" t="s">
        <v>72</v>
      </c>
      <c r="B29" s="28"/>
      <c r="C29" s="15" t="str">
        <f t="shared" si="1"/>
        <v xml:space="preserve"> - </v>
      </c>
      <c r="D29" s="29">
        <v>0</v>
      </c>
      <c r="E29" s="29">
        <v>0</v>
      </c>
      <c r="F29" s="32">
        <v>0</v>
      </c>
      <c r="G29" s="32">
        <v>0</v>
      </c>
      <c r="H29" s="31" t="e">
        <f t="shared" si="2"/>
        <v>#DIV/0!</v>
      </c>
      <c r="I29" s="31" t="e">
        <f t="shared" si="3"/>
        <v>#DIV/0!</v>
      </c>
      <c r="J29" s="32">
        <f t="shared" si="4"/>
        <v>0</v>
      </c>
      <c r="K29" s="32" t="e">
        <f t="shared" si="5"/>
        <v>#DIV/0!</v>
      </c>
      <c r="L29" s="29">
        <v>0</v>
      </c>
      <c r="M29" s="33" t="str">
        <f t="shared" si="6"/>
        <v>-</v>
      </c>
      <c r="N29" s="16">
        <v>0</v>
      </c>
      <c r="O29" s="34">
        <f t="shared" ref="O29:P29" si="32">D29/7</f>
        <v>0</v>
      </c>
      <c r="P29" s="34">
        <f t="shared" si="32"/>
        <v>0</v>
      </c>
      <c r="Q29" s="29" t="e">
        <f t="shared" si="8"/>
        <v>#DIV/0!</v>
      </c>
      <c r="R29" s="29"/>
      <c r="S29" s="21">
        <v>0</v>
      </c>
      <c r="T29" s="28">
        <v>400</v>
      </c>
      <c r="U29" s="36" t="s">
        <v>33</v>
      </c>
      <c r="V29" s="37" t="s">
        <v>33</v>
      </c>
      <c r="W29" s="14">
        <v>0</v>
      </c>
      <c r="X29" s="38">
        <f t="shared" si="9"/>
        <v>0</v>
      </c>
      <c r="Y29" s="39">
        <f t="shared" si="10"/>
        <v>0</v>
      </c>
      <c r="Z29" s="14">
        <v>0</v>
      </c>
      <c r="AA29" s="28" t="s">
        <v>34</v>
      </c>
      <c r="AB29" s="40">
        <f t="shared" si="11"/>
        <v>-0.69</v>
      </c>
      <c r="AC29" s="41">
        <v>2.6551796296296299E-2</v>
      </c>
      <c r="AD29" s="39">
        <f t="shared" si="12"/>
        <v>0</v>
      </c>
      <c r="AE29" s="39">
        <v>-3.64</v>
      </c>
      <c r="AF29" s="25">
        <v>-1.4329559999999999</v>
      </c>
      <c r="AG29" s="39">
        <v>0</v>
      </c>
    </row>
    <row r="30" spans="1:33" ht="15.75" customHeight="1" x14ac:dyDescent="0.2">
      <c r="A30" s="14" t="s">
        <v>74</v>
      </c>
      <c r="B30" s="14"/>
      <c r="C30" s="15" t="str">
        <f t="shared" si="1"/>
        <v xml:space="preserve"> - </v>
      </c>
      <c r="D30" s="16">
        <v>0</v>
      </c>
      <c r="E30" s="16">
        <v>0</v>
      </c>
      <c r="F30" s="17">
        <v>0</v>
      </c>
      <c r="G30" s="17">
        <v>0</v>
      </c>
      <c r="H30" s="31" t="e">
        <f t="shared" si="2"/>
        <v>#DIV/0!</v>
      </c>
      <c r="I30" s="31" t="e">
        <f t="shared" si="3"/>
        <v>#DIV/0!</v>
      </c>
      <c r="J30" s="32">
        <f t="shared" si="4"/>
        <v>0</v>
      </c>
      <c r="K30" s="32" t="e">
        <f t="shared" si="5"/>
        <v>#DIV/0!</v>
      </c>
      <c r="L30" s="16">
        <v>0</v>
      </c>
      <c r="M30" s="33" t="str">
        <f t="shared" si="6"/>
        <v>-</v>
      </c>
      <c r="N30" s="16">
        <v>0</v>
      </c>
      <c r="O30" s="34">
        <f t="shared" ref="O30:P30" si="33">D30/7</f>
        <v>0</v>
      </c>
      <c r="P30" s="34">
        <f t="shared" si="33"/>
        <v>0</v>
      </c>
      <c r="Q30" s="29" t="e">
        <f t="shared" si="8"/>
        <v>#DIV/0!</v>
      </c>
      <c r="R30" s="29"/>
      <c r="S30" s="21">
        <v>0</v>
      </c>
      <c r="T30" s="28">
        <v>500</v>
      </c>
      <c r="U30" s="36" t="s">
        <v>33</v>
      </c>
      <c r="V30" s="37" t="s">
        <v>33</v>
      </c>
      <c r="W30" s="14">
        <v>0</v>
      </c>
      <c r="X30" s="38">
        <f t="shared" si="9"/>
        <v>0</v>
      </c>
      <c r="Y30" s="39">
        <f t="shared" si="10"/>
        <v>0</v>
      </c>
      <c r="Z30" s="14">
        <v>0</v>
      </c>
      <c r="AA30" s="28" t="s">
        <v>34</v>
      </c>
      <c r="AB30" s="40">
        <f t="shared" si="11"/>
        <v>-0.69</v>
      </c>
      <c r="AC30" s="41">
        <v>2.6551796296296299E-2</v>
      </c>
      <c r="AD30" s="39">
        <f t="shared" si="12"/>
        <v>0</v>
      </c>
      <c r="AE30" s="25">
        <v>-3.64</v>
      </c>
      <c r="AF30" s="25">
        <v>-1.3334999999999999</v>
      </c>
      <c r="AG30" s="25">
        <v>0</v>
      </c>
    </row>
    <row r="31" spans="1:33" ht="15.75" customHeight="1" x14ac:dyDescent="0.2">
      <c r="A31" s="14" t="s">
        <v>75</v>
      </c>
      <c r="B31" s="14"/>
      <c r="C31" s="15" t="str">
        <f t="shared" si="1"/>
        <v xml:space="preserve"> - </v>
      </c>
      <c r="D31" s="16">
        <v>0</v>
      </c>
      <c r="E31" s="16">
        <v>0</v>
      </c>
      <c r="F31" s="17">
        <v>0</v>
      </c>
      <c r="G31" s="42">
        <v>0</v>
      </c>
      <c r="H31" s="31" t="e">
        <f t="shared" si="2"/>
        <v>#DIV/0!</v>
      </c>
      <c r="I31" s="31" t="e">
        <f t="shared" si="3"/>
        <v>#DIV/0!</v>
      </c>
      <c r="J31" s="32">
        <f t="shared" si="4"/>
        <v>0</v>
      </c>
      <c r="K31" s="32" t="e">
        <f t="shared" si="5"/>
        <v>#DIV/0!</v>
      </c>
      <c r="L31" s="16">
        <v>0</v>
      </c>
      <c r="M31" s="33" t="str">
        <f t="shared" si="6"/>
        <v>-</v>
      </c>
      <c r="N31" s="16">
        <v>0</v>
      </c>
      <c r="O31" s="34">
        <f t="shared" ref="O31:P32" si="34">D31/7</f>
        <v>0</v>
      </c>
      <c r="P31" s="34">
        <f t="shared" si="34"/>
        <v>0</v>
      </c>
      <c r="Q31" s="29" t="e">
        <f t="shared" si="8"/>
        <v>#DIV/0!</v>
      </c>
      <c r="R31" s="29"/>
      <c r="S31" s="21" t="e">
        <v>#N/A</v>
      </c>
      <c r="T31" s="14">
        <v>500</v>
      </c>
      <c r="U31" s="22" t="s">
        <v>33</v>
      </c>
      <c r="V31" s="1" t="s">
        <v>954</v>
      </c>
      <c r="W31" s="14">
        <v>0</v>
      </c>
      <c r="X31" s="38">
        <f t="shared" si="9"/>
        <v>0</v>
      </c>
      <c r="Y31" s="39">
        <f t="shared" si="10"/>
        <v>0</v>
      </c>
      <c r="Z31" s="14">
        <v>0</v>
      </c>
      <c r="AA31" s="14" t="s">
        <v>34</v>
      </c>
      <c r="AB31" s="40">
        <f t="shared" si="11"/>
        <v>-0.69</v>
      </c>
      <c r="AC31" s="27">
        <v>2.6551796296296299E-2</v>
      </c>
      <c r="AD31" s="39">
        <f t="shared" si="12"/>
        <v>0</v>
      </c>
      <c r="AE31" s="43">
        <v>-3.64</v>
      </c>
      <c r="AF31" s="43">
        <v>-1.3335000000000001</v>
      </c>
      <c r="AG31" s="25">
        <v>0</v>
      </c>
    </row>
    <row r="32" spans="1:33" s="51" customFormat="1" ht="15.75" customHeight="1" x14ac:dyDescent="0.2">
      <c r="A32" s="51" t="s">
        <v>934</v>
      </c>
      <c r="C32" s="15" t="str">
        <f t="shared" si="1"/>
        <v xml:space="preserve"> - </v>
      </c>
      <c r="D32" s="52">
        <v>0</v>
      </c>
      <c r="E32" s="52">
        <v>0</v>
      </c>
      <c r="F32" s="53">
        <v>0</v>
      </c>
      <c r="G32" s="53">
        <v>0</v>
      </c>
      <c r="H32" s="31" t="e">
        <f t="shared" si="2"/>
        <v>#DIV/0!</v>
      </c>
      <c r="I32" s="31" t="e">
        <f t="shared" si="3"/>
        <v>#DIV/0!</v>
      </c>
      <c r="J32" s="32">
        <f t="shared" si="4"/>
        <v>0</v>
      </c>
      <c r="K32" s="32" t="e">
        <f t="shared" si="5"/>
        <v>#DIV/0!</v>
      </c>
      <c r="L32" s="52">
        <v>0</v>
      </c>
      <c r="M32" s="33" t="str">
        <f t="shared" si="6"/>
        <v>-</v>
      </c>
      <c r="N32" s="52">
        <v>0</v>
      </c>
      <c r="O32" s="34">
        <f t="shared" si="34"/>
        <v>0</v>
      </c>
      <c r="P32" s="34">
        <f t="shared" si="34"/>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2.6551796296296299E-2</v>
      </c>
      <c r="AD32" s="39">
        <f t="shared" si="12"/>
        <v>0</v>
      </c>
      <c r="AE32" s="58">
        <v>-3.64</v>
      </c>
      <c r="AF32" s="58">
        <v>-1.3334999999999999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S221" s="21"/>
    </row>
    <row r="222" spans="1:33" ht="15.75" customHeight="1" x14ac:dyDescent="0.2">
      <c r="S222" s="21"/>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48.832031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Info!B1:BJ5000""),3,FALSE),"""")"),"14 AWG Replacement Power Cord with Open End - 10 Ft Black Extension Cable, 18/2 SJT")</f>
        <v>14 AWG Replacement Power Cord with Open End - 10 Ft Black Extension Cable, 18/2 SJT</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Info!B1:BJ5000""),2,FALSE),"""")"),"B08LHD3H19")</f>
        <v>B08LHD3H19</v>
      </c>
      <c r="B2" s="3" t="s">
        <v>292</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107.25" customHeight="1" x14ac:dyDescent="0.2">
      <c r="A3" s="76" t="s">
        <v>30</v>
      </c>
      <c r="B3" s="77"/>
      <c r="C3" s="47">
        <f>((AE32+AF32)/0.85)*-1</f>
        <v>8.2352941176470598</v>
      </c>
      <c r="D3" s="5">
        <f>SUM(D4:D99765)</f>
        <v>175</v>
      </c>
      <c r="E3" s="5"/>
      <c r="F3" s="6">
        <f t="shared" ref="F3:G3" si="0">SUM(F4:F99765)</f>
        <v>2879.45</v>
      </c>
      <c r="G3" s="6">
        <f t="shared" si="0"/>
        <v>-118.22999999999999</v>
      </c>
      <c r="H3" s="7">
        <f>G3/F3*-1</f>
        <v>4.10599246383858E-2</v>
      </c>
      <c r="I3" s="8">
        <f>J3/F3</f>
        <v>0.37036927304859668</v>
      </c>
      <c r="J3" s="6">
        <f>SUM(J4:J99765)</f>
        <v>1066.4598032797817</v>
      </c>
      <c r="K3" s="6">
        <f>J3/D3</f>
        <v>6.0940560187416093</v>
      </c>
      <c r="L3" s="5"/>
      <c r="M3" s="9"/>
      <c r="N3" s="10"/>
      <c r="O3" s="5" t="str">
        <f ca="1">IFERROR(__xludf.DUMMYFUNCTION("IFERROR(VLOOKUP(B2,IMPORTRANGE(""https://docs.google.com/spreadsheets/d/1N8jvpEHDVkurDv7NrPxwI3eH6hQsvtb1QltGNCalRjU/edit#gid=865736387"",""Compiled Sheet!a1:g5000""),2,FALSE),"""")"),"3 - March
3 - April
3 - May
3 - June
3 - July
3 - Aug
3 - Sept
3 - Oct
3 - Nov
3 - Dec
3 - Jan
3 - Feb")</f>
        <v>3 - March
3 - April
3 - May
3 - June
3 - July
3 - Aug
3 - Sept
3 - Oct
3 - Nov
3 - Dec
3 - Jan
3 -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11</v>
      </c>
      <c r="X3" s="7">
        <f>W3/D3</f>
        <v>6.2857142857142861E-2</v>
      </c>
      <c r="Y3" s="6"/>
      <c r="Z3" s="5"/>
      <c r="AA3" s="5"/>
      <c r="AB3" s="5"/>
      <c r="AC3" s="5"/>
      <c r="AD3" s="6">
        <f>SUM(AD4:AD99765)</f>
        <v>-14.949782258680555</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Info!B2:BZ7000""),37,FALSE)),"""")*-1"),-2.1)</f>
        <v>-2.1</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customHeight="1" x14ac:dyDescent="0.2">
      <c r="A9" s="28" t="s">
        <v>44</v>
      </c>
      <c r="B9" s="28"/>
      <c r="C9" s="15">
        <f t="shared" ref="C9:C32" si="1">IFERROR(F9/D9," - ")</f>
        <v>11.790000000000003</v>
      </c>
      <c r="D9" s="29">
        <v>20</v>
      </c>
      <c r="E9" s="29">
        <v>0</v>
      </c>
      <c r="F9" s="30">
        <v>235.80000000000004</v>
      </c>
      <c r="G9" s="30">
        <v>-107.47</v>
      </c>
      <c r="H9" s="31">
        <f t="shared" ref="H9:H32" si="2">G9/F9*-1</f>
        <v>0.45576759966072933</v>
      </c>
      <c r="I9" s="31">
        <f t="shared" ref="I9:I32" si="3">J9/F9</f>
        <v>-0.26352036348346697</v>
      </c>
      <c r="J9" s="32">
        <f t="shared" ref="J9:J32" si="4">F9*0.85+G9+AF9*D9+D9*AE9+AG9+AD9</f>
        <v>-62.138101709401525</v>
      </c>
      <c r="K9" s="32">
        <f t="shared" ref="K9:K32" si="5">J9/D9</f>
        <v>-3.1069050854700762</v>
      </c>
      <c r="L9" s="29">
        <v>40</v>
      </c>
      <c r="M9" s="33">
        <f t="shared" ref="M9:M32" si="6">IFERROR(D9/L9,"-")</f>
        <v>0.5</v>
      </c>
      <c r="N9" s="29">
        <v>36</v>
      </c>
      <c r="O9" s="34">
        <f t="shared" ref="O9:P9" si="7">D9/7</f>
        <v>2.8571428571428572</v>
      </c>
      <c r="P9" s="34">
        <f t="shared" si="7"/>
        <v>0</v>
      </c>
      <c r="Q9" s="29">
        <f t="shared" ref="Q9:Q32" si="8">ROUNDDOWN(N9/(O9+P9),0)</f>
        <v>12</v>
      </c>
      <c r="R9" s="29"/>
      <c r="S9" s="35">
        <v>0.94736842105263097</v>
      </c>
      <c r="T9" s="28">
        <v>0</v>
      </c>
      <c r="U9" s="36" t="s">
        <v>33</v>
      </c>
      <c r="V9" s="37" t="s">
        <v>33</v>
      </c>
      <c r="W9" s="28">
        <v>11</v>
      </c>
      <c r="X9" s="38">
        <f t="shared" ref="X9:X32" si="9">IFERROR(W9/D9,0)</f>
        <v>0.55000000000000004</v>
      </c>
      <c r="Y9" s="39">
        <f t="shared" ref="Y9:Y32" si="10">IFERROR(G9/(W9+Z9)*-1,0)</f>
        <v>6.7168749999999999</v>
      </c>
      <c r="Z9" s="28">
        <v>5</v>
      </c>
      <c r="AA9" s="28" t="s">
        <v>34</v>
      </c>
      <c r="AB9" s="40">
        <f t="shared" ref="AB9:AB32" si="11">IF(OR(AA9="UsLargeStandardSize",AA9="UsSmallStandardSize"),-0.69,-0.48)</f>
        <v>-0.69</v>
      </c>
      <c r="AC9" s="41">
        <v>0.14467592592592593</v>
      </c>
      <c r="AD9" s="39">
        <f t="shared" ref="AD9:AD32" si="12">IFERROR(AB9*AC9*D9*2,0)</f>
        <v>-3.9930555555555554</v>
      </c>
      <c r="AE9" s="39">
        <v>-5.42</v>
      </c>
      <c r="AF9" s="39">
        <v>-2.1352523076923</v>
      </c>
      <c r="AG9" s="39">
        <v>0</v>
      </c>
    </row>
    <row r="10" spans="1:33" ht="15.75" customHeight="1" x14ac:dyDescent="0.2">
      <c r="A10" s="28" t="s">
        <v>46</v>
      </c>
      <c r="B10" s="28" t="s">
        <v>293</v>
      </c>
      <c r="C10" s="15">
        <f t="shared" si="1"/>
        <v>13.240000000000002</v>
      </c>
      <c r="D10" s="29">
        <v>16</v>
      </c>
      <c r="E10" s="29">
        <v>0</v>
      </c>
      <c r="F10" s="30">
        <v>211.84000000000003</v>
      </c>
      <c r="G10" s="30">
        <v>-10.280000000000001</v>
      </c>
      <c r="H10" s="31">
        <f t="shared" si="2"/>
        <v>4.8527190332326282E-2</v>
      </c>
      <c r="I10" s="31">
        <f t="shared" si="3"/>
        <v>0.26477032726077798</v>
      </c>
      <c r="J10" s="32">
        <f t="shared" si="4"/>
        <v>56.088946126923219</v>
      </c>
      <c r="K10" s="32">
        <f t="shared" si="5"/>
        <v>3.5055591329327012</v>
      </c>
      <c r="L10" s="29">
        <v>31</v>
      </c>
      <c r="M10" s="33">
        <f t="shared" si="6"/>
        <v>0.5161290322580645</v>
      </c>
      <c r="N10" s="29">
        <v>14</v>
      </c>
      <c r="O10" s="34">
        <f t="shared" ref="O10:P10" si="13">D10/7</f>
        <v>2.2857142857142856</v>
      </c>
      <c r="P10" s="34">
        <f t="shared" si="13"/>
        <v>0</v>
      </c>
      <c r="Q10" s="29">
        <f t="shared" si="8"/>
        <v>6</v>
      </c>
      <c r="R10" s="29"/>
      <c r="S10" s="35">
        <v>7</v>
      </c>
      <c r="T10" s="28">
        <v>0</v>
      </c>
      <c r="U10" s="36" t="s">
        <v>33</v>
      </c>
      <c r="V10" s="37" t="s">
        <v>33</v>
      </c>
      <c r="W10" s="28">
        <v>0</v>
      </c>
      <c r="X10" s="38">
        <f t="shared" si="9"/>
        <v>0</v>
      </c>
      <c r="Y10" s="39">
        <f t="shared" si="10"/>
        <v>0</v>
      </c>
      <c r="Z10" s="28">
        <v>0</v>
      </c>
      <c r="AA10" s="28" t="s">
        <v>34</v>
      </c>
      <c r="AB10" s="40">
        <f t="shared" si="11"/>
        <v>-0.69</v>
      </c>
      <c r="AC10" s="41">
        <v>5.122359374999999E-2</v>
      </c>
      <c r="AD10" s="39">
        <f t="shared" si="12"/>
        <v>-1.1310169499999998</v>
      </c>
      <c r="AE10" s="39">
        <v>-4.9000000000000004</v>
      </c>
      <c r="AF10" s="39">
        <v>-2.1352523076923</v>
      </c>
      <c r="AG10" s="39">
        <v>0</v>
      </c>
    </row>
    <row r="11" spans="1:33" ht="15.75" customHeight="1" x14ac:dyDescent="0.2">
      <c r="A11" s="28" t="s">
        <v>48</v>
      </c>
      <c r="B11" s="28" t="s">
        <v>294</v>
      </c>
      <c r="C11" s="15">
        <f t="shared" si="1"/>
        <v>17.989999999999998</v>
      </c>
      <c r="D11" s="29">
        <v>1</v>
      </c>
      <c r="E11" s="29">
        <v>1</v>
      </c>
      <c r="F11" s="30">
        <v>17.989999999999998</v>
      </c>
      <c r="G11" s="30">
        <v>0</v>
      </c>
      <c r="H11" s="31">
        <f t="shared" si="2"/>
        <v>0</v>
      </c>
      <c r="I11" s="31">
        <f t="shared" si="3"/>
        <v>0.45500606631087814</v>
      </c>
      <c r="J11" s="32">
        <f t="shared" si="4"/>
        <v>8.1855591329326973</v>
      </c>
      <c r="K11" s="32">
        <f t="shared" si="5"/>
        <v>8.1855591329326973</v>
      </c>
      <c r="L11" s="29">
        <v>17</v>
      </c>
      <c r="M11" s="33">
        <f t="shared" si="6"/>
        <v>5.8823529411764705E-2</v>
      </c>
      <c r="N11" s="29">
        <v>37</v>
      </c>
      <c r="O11" s="34">
        <f t="shared" ref="O11:P11" si="14">D11/7</f>
        <v>0.14285714285714285</v>
      </c>
      <c r="P11" s="34">
        <f t="shared" si="14"/>
        <v>0.14285714285714285</v>
      </c>
      <c r="Q11" s="29">
        <f t="shared" si="8"/>
        <v>129</v>
      </c>
      <c r="R11" s="29"/>
      <c r="S11" s="35">
        <v>3.0810810810810798</v>
      </c>
      <c r="T11" s="28">
        <v>0</v>
      </c>
      <c r="U11" s="36" t="s">
        <v>33</v>
      </c>
      <c r="V11" s="37" t="s">
        <v>33</v>
      </c>
      <c r="W11" s="28">
        <v>0</v>
      </c>
      <c r="X11" s="38">
        <f t="shared" si="9"/>
        <v>0</v>
      </c>
      <c r="Y11" s="39">
        <f t="shared" si="10"/>
        <v>0</v>
      </c>
      <c r="Z11" s="28">
        <v>0</v>
      </c>
      <c r="AA11" s="28" t="s">
        <v>34</v>
      </c>
      <c r="AB11" s="40">
        <f t="shared" si="11"/>
        <v>-0.69</v>
      </c>
      <c r="AC11" s="41">
        <v>5.122359374999999E-2</v>
      </c>
      <c r="AD11" s="39">
        <f t="shared" si="12"/>
        <v>-7.0688559374999987E-2</v>
      </c>
      <c r="AE11" s="39">
        <v>-4.9000000000000004</v>
      </c>
      <c r="AF11" s="39">
        <v>-2.1352523076923</v>
      </c>
      <c r="AG11" s="39">
        <v>0</v>
      </c>
    </row>
    <row r="12" spans="1:33" ht="15.75" customHeight="1" x14ac:dyDescent="0.2">
      <c r="A12" s="28" t="s">
        <v>49</v>
      </c>
      <c r="B12" s="28" t="s">
        <v>295</v>
      </c>
      <c r="C12" s="15">
        <f t="shared" si="1"/>
        <v>15.44173913043478</v>
      </c>
      <c r="D12" s="29">
        <v>23</v>
      </c>
      <c r="E12" s="29">
        <v>1</v>
      </c>
      <c r="F12" s="30">
        <v>355.15999999999991</v>
      </c>
      <c r="G12" s="30">
        <v>-0.16</v>
      </c>
      <c r="H12" s="31">
        <f t="shared" si="2"/>
        <v>4.5050118256560436E-4</v>
      </c>
      <c r="I12" s="31">
        <f t="shared" si="3"/>
        <v>0.38937200151326729</v>
      </c>
      <c r="J12" s="32">
        <f t="shared" si="4"/>
        <v>138.28936005745197</v>
      </c>
      <c r="K12" s="32">
        <f t="shared" si="5"/>
        <v>6.0125808720631291</v>
      </c>
      <c r="L12" s="29">
        <v>37</v>
      </c>
      <c r="M12" s="33">
        <f t="shared" si="6"/>
        <v>0.6216216216216216</v>
      </c>
      <c r="N12" s="29">
        <v>114</v>
      </c>
      <c r="O12" s="34">
        <f t="shared" ref="O12:P12" si="15">D12/7</f>
        <v>3.2857142857142856</v>
      </c>
      <c r="P12" s="34">
        <f t="shared" si="15"/>
        <v>0.14285714285714285</v>
      </c>
      <c r="Q12" s="29">
        <f t="shared" si="8"/>
        <v>33</v>
      </c>
      <c r="R12" s="29"/>
      <c r="S12" s="35">
        <v>1.4491525423728799</v>
      </c>
      <c r="T12" s="28">
        <v>0</v>
      </c>
      <c r="U12" s="36" t="s">
        <v>33</v>
      </c>
      <c r="V12" s="37" t="s">
        <v>33</v>
      </c>
      <c r="W12" s="28">
        <v>0</v>
      </c>
      <c r="X12" s="38">
        <f t="shared" si="9"/>
        <v>0</v>
      </c>
      <c r="Y12" s="39">
        <f t="shared" si="10"/>
        <v>0</v>
      </c>
      <c r="Z12" s="28">
        <v>0</v>
      </c>
      <c r="AA12" s="28" t="s">
        <v>34</v>
      </c>
      <c r="AB12" s="40">
        <f t="shared" si="11"/>
        <v>-0.69</v>
      </c>
      <c r="AC12" s="41">
        <v>5.122359374999999E-2</v>
      </c>
      <c r="AD12" s="39">
        <f t="shared" si="12"/>
        <v>-1.6258368656249997</v>
      </c>
      <c r="AE12" s="39">
        <v>-4.9000000000000004</v>
      </c>
      <c r="AF12" s="39">
        <v>-2.1352523076923</v>
      </c>
      <c r="AG12" s="39">
        <v>0</v>
      </c>
    </row>
    <row r="13" spans="1:33" ht="15.75" customHeight="1" x14ac:dyDescent="0.2">
      <c r="A13" s="28" t="s">
        <v>50</v>
      </c>
      <c r="B13" s="28" t="s">
        <v>296</v>
      </c>
      <c r="C13" s="15">
        <f t="shared" si="1"/>
        <v>16.268823529411765</v>
      </c>
      <c r="D13" s="29">
        <v>17</v>
      </c>
      <c r="E13" s="29">
        <v>0</v>
      </c>
      <c r="F13" s="32">
        <v>276.57</v>
      </c>
      <c r="G13" s="30">
        <v>-0.24</v>
      </c>
      <c r="H13" s="31">
        <f t="shared" si="2"/>
        <v>8.6777307734027553E-4</v>
      </c>
      <c r="I13" s="31">
        <f t="shared" si="3"/>
        <v>0.41115043023692061</v>
      </c>
      <c r="J13" s="32">
        <f t="shared" si="4"/>
        <v>113.71187449062514</v>
      </c>
      <c r="K13" s="32">
        <f t="shared" si="5"/>
        <v>6.6889337935661848</v>
      </c>
      <c r="L13" s="29">
        <v>26</v>
      </c>
      <c r="M13" s="33">
        <f t="shared" si="6"/>
        <v>0.65384615384615385</v>
      </c>
      <c r="N13" s="29">
        <v>96</v>
      </c>
      <c r="O13" s="34">
        <f t="shared" ref="O13:P13" si="16">D13/7</f>
        <v>2.4285714285714284</v>
      </c>
      <c r="P13" s="34">
        <f t="shared" si="16"/>
        <v>0</v>
      </c>
      <c r="Q13" s="29">
        <f t="shared" si="8"/>
        <v>39</v>
      </c>
      <c r="R13" s="29"/>
      <c r="S13" s="35">
        <v>1.6460176991150399</v>
      </c>
      <c r="T13" s="28">
        <v>0</v>
      </c>
      <c r="U13" s="36" t="s">
        <v>33</v>
      </c>
      <c r="V13" s="37" t="s">
        <v>33</v>
      </c>
      <c r="W13" s="28">
        <v>0</v>
      </c>
      <c r="X13" s="38">
        <f t="shared" si="9"/>
        <v>0</v>
      </c>
      <c r="Y13" s="39">
        <f t="shared" si="10"/>
        <v>0</v>
      </c>
      <c r="Z13" s="28">
        <v>0</v>
      </c>
      <c r="AA13" s="28" t="s">
        <v>34</v>
      </c>
      <c r="AB13" s="40">
        <f t="shared" si="11"/>
        <v>-0.69</v>
      </c>
      <c r="AC13" s="41">
        <v>5.122359374999999E-2</v>
      </c>
      <c r="AD13" s="39">
        <f t="shared" si="12"/>
        <v>-1.2017055093749998</v>
      </c>
      <c r="AE13" s="39">
        <v>-4.9000000000000004</v>
      </c>
      <c r="AF13" s="39">
        <v>-2.1547599999999898</v>
      </c>
      <c r="AG13" s="39">
        <v>0</v>
      </c>
    </row>
    <row r="14" spans="1:33" ht="15.75" customHeight="1" x14ac:dyDescent="0.2">
      <c r="A14" s="28" t="s">
        <v>51</v>
      </c>
      <c r="B14" s="28" t="s">
        <v>194</v>
      </c>
      <c r="C14" s="15">
        <f t="shared" si="1"/>
        <v>17.640909090909091</v>
      </c>
      <c r="D14" s="29">
        <v>11</v>
      </c>
      <c r="E14" s="29">
        <v>0</v>
      </c>
      <c r="F14" s="32">
        <v>194.05</v>
      </c>
      <c r="G14" s="30">
        <v>0</v>
      </c>
      <c r="H14" s="31">
        <f t="shared" si="2"/>
        <v>0</v>
      </c>
      <c r="I14" s="31">
        <f t="shared" si="3"/>
        <v>0.44608382296766347</v>
      </c>
      <c r="J14" s="32">
        <f t="shared" si="4"/>
        <v>86.562565846875103</v>
      </c>
      <c r="K14" s="32">
        <f t="shared" si="5"/>
        <v>7.8693241678977364</v>
      </c>
      <c r="L14" s="29">
        <v>27</v>
      </c>
      <c r="M14" s="33">
        <f t="shared" si="6"/>
        <v>0.40740740740740738</v>
      </c>
      <c r="N14" s="29">
        <v>85</v>
      </c>
      <c r="O14" s="34">
        <f t="shared" ref="O14:P14" si="17">D14/7</f>
        <v>1.5714285714285714</v>
      </c>
      <c r="P14" s="34">
        <f t="shared" si="17"/>
        <v>0</v>
      </c>
      <c r="Q14" s="29">
        <f t="shared" si="8"/>
        <v>54</v>
      </c>
      <c r="R14" s="29"/>
      <c r="S14" s="35">
        <v>3.4901960784313699</v>
      </c>
      <c r="T14" s="28">
        <v>0</v>
      </c>
      <c r="U14" s="36" t="s">
        <v>33</v>
      </c>
      <c r="V14" s="37" t="s">
        <v>33</v>
      </c>
      <c r="W14" s="28">
        <v>0</v>
      </c>
      <c r="X14" s="38">
        <f t="shared" si="9"/>
        <v>0</v>
      </c>
      <c r="Y14" s="39">
        <f t="shared" si="10"/>
        <v>0</v>
      </c>
      <c r="Z14" s="28">
        <v>0</v>
      </c>
      <c r="AA14" s="28" t="s">
        <v>34</v>
      </c>
      <c r="AB14" s="40">
        <f t="shared" si="11"/>
        <v>-0.69</v>
      </c>
      <c r="AC14" s="41">
        <v>5.122359374999999E-2</v>
      </c>
      <c r="AD14" s="39">
        <f t="shared" si="12"/>
        <v>-0.77757415312499989</v>
      </c>
      <c r="AE14" s="39">
        <v>-4.9000000000000004</v>
      </c>
      <c r="AF14" s="39">
        <v>-2.1547599999999898</v>
      </c>
      <c r="AG14" s="39">
        <v>0</v>
      </c>
    </row>
    <row r="15" spans="1:33" ht="15.75" customHeight="1" x14ac:dyDescent="0.2">
      <c r="A15" s="28" t="s">
        <v>53</v>
      </c>
      <c r="B15" s="28" t="s">
        <v>297</v>
      </c>
      <c r="C15" s="15">
        <f t="shared" si="1"/>
        <v>17.427272727272729</v>
      </c>
      <c r="D15" s="29">
        <v>11</v>
      </c>
      <c r="E15" s="29">
        <v>0</v>
      </c>
      <c r="F15" s="32">
        <v>191.70000000000002</v>
      </c>
      <c r="G15" s="30">
        <v>0</v>
      </c>
      <c r="H15" s="31">
        <f t="shared" si="2"/>
        <v>0</v>
      </c>
      <c r="I15" s="31">
        <f t="shared" si="3"/>
        <v>0.44128151198161197</v>
      </c>
      <c r="J15" s="32">
        <f t="shared" si="4"/>
        <v>84.593665846875027</v>
      </c>
      <c r="K15" s="32">
        <f t="shared" si="5"/>
        <v>7.6903332588068203</v>
      </c>
      <c r="L15" s="29">
        <v>28</v>
      </c>
      <c r="M15" s="33">
        <f t="shared" si="6"/>
        <v>0.39285714285714285</v>
      </c>
      <c r="N15" s="29">
        <v>74</v>
      </c>
      <c r="O15" s="34">
        <f t="shared" ref="O15:P15" si="18">D15/7</f>
        <v>1.5714285714285714</v>
      </c>
      <c r="P15" s="34">
        <f t="shared" si="18"/>
        <v>0</v>
      </c>
      <c r="Q15" s="29">
        <f t="shared" si="8"/>
        <v>47</v>
      </c>
      <c r="R15" s="29"/>
      <c r="S15" s="35">
        <v>4.3076923076923004</v>
      </c>
      <c r="T15" s="28">
        <v>0</v>
      </c>
      <c r="U15" s="36" t="s">
        <v>33</v>
      </c>
      <c r="V15" s="37" t="s">
        <v>33</v>
      </c>
      <c r="W15" s="28">
        <v>0</v>
      </c>
      <c r="X15" s="38">
        <f t="shared" si="9"/>
        <v>0</v>
      </c>
      <c r="Y15" s="39">
        <f t="shared" si="10"/>
        <v>0</v>
      </c>
      <c r="Z15" s="28">
        <v>0</v>
      </c>
      <c r="AA15" s="28" t="s">
        <v>34</v>
      </c>
      <c r="AB15" s="40">
        <f t="shared" si="11"/>
        <v>-0.69</v>
      </c>
      <c r="AC15" s="41">
        <v>5.122359374999999E-2</v>
      </c>
      <c r="AD15" s="39">
        <f t="shared" si="12"/>
        <v>-0.77757415312499989</v>
      </c>
      <c r="AE15" s="39">
        <v>-4.9000000000000004</v>
      </c>
      <c r="AF15" s="39">
        <v>-2.1521599999999999</v>
      </c>
      <c r="AG15" s="39">
        <v>0</v>
      </c>
    </row>
    <row r="16" spans="1:33" ht="15.75" customHeight="1" x14ac:dyDescent="0.2">
      <c r="A16" s="28" t="s">
        <v>54</v>
      </c>
      <c r="B16" s="28" t="s">
        <v>47</v>
      </c>
      <c r="C16" s="15">
        <f t="shared" si="1"/>
        <v>17.23</v>
      </c>
      <c r="D16" s="29">
        <v>7</v>
      </c>
      <c r="E16" s="29">
        <v>0</v>
      </c>
      <c r="F16" s="32">
        <v>120.61</v>
      </c>
      <c r="G16" s="30">
        <v>-0.08</v>
      </c>
      <c r="H16" s="31">
        <f t="shared" si="2"/>
        <v>6.6329491750269462E-4</v>
      </c>
      <c r="I16" s="31">
        <f t="shared" si="3"/>
        <v>0.43593864591969989</v>
      </c>
      <c r="J16" s="32">
        <f t="shared" si="4"/>
        <v>52.578560084375006</v>
      </c>
      <c r="K16" s="32">
        <f t="shared" si="5"/>
        <v>7.5112228691964296</v>
      </c>
      <c r="L16" s="29">
        <v>26</v>
      </c>
      <c r="M16" s="33">
        <f t="shared" si="6"/>
        <v>0.26923076923076922</v>
      </c>
      <c r="N16" s="29">
        <v>68</v>
      </c>
      <c r="O16" s="34">
        <f t="shared" ref="O16:P16" si="19">D16/7</f>
        <v>1</v>
      </c>
      <c r="P16" s="34">
        <f t="shared" si="19"/>
        <v>0</v>
      </c>
      <c r="Q16" s="29">
        <f t="shared" si="8"/>
        <v>68</v>
      </c>
      <c r="R16" s="29"/>
      <c r="S16" s="35">
        <v>3.456</v>
      </c>
      <c r="T16" s="28">
        <v>0</v>
      </c>
      <c r="U16" s="36" t="s">
        <v>33</v>
      </c>
      <c r="V16" s="37" t="s">
        <v>33</v>
      </c>
      <c r="W16" s="28">
        <v>0</v>
      </c>
      <c r="X16" s="38">
        <f t="shared" si="9"/>
        <v>0</v>
      </c>
      <c r="Y16" s="39">
        <f t="shared" si="10"/>
        <v>0</v>
      </c>
      <c r="Z16" s="28">
        <v>0</v>
      </c>
      <c r="AA16" s="28" t="s">
        <v>34</v>
      </c>
      <c r="AB16" s="40">
        <f t="shared" si="11"/>
        <v>-0.69</v>
      </c>
      <c r="AC16" s="41">
        <v>5.122359374999999E-2</v>
      </c>
      <c r="AD16" s="39">
        <f t="shared" si="12"/>
        <v>-0.49481991562499994</v>
      </c>
      <c r="AE16" s="39">
        <v>-4.9000000000000004</v>
      </c>
      <c r="AF16" s="39">
        <v>-2.1521599999999999</v>
      </c>
      <c r="AG16" s="39">
        <v>0</v>
      </c>
    </row>
    <row r="17" spans="1:33" ht="15.75" customHeight="1" x14ac:dyDescent="0.2">
      <c r="A17" s="28" t="s">
        <v>55</v>
      </c>
      <c r="B17" s="28" t="s">
        <v>47</v>
      </c>
      <c r="C17" s="15">
        <f t="shared" si="1"/>
        <v>18.144666666666669</v>
      </c>
      <c r="D17" s="29">
        <v>15</v>
      </c>
      <c r="E17" s="29">
        <v>0</v>
      </c>
      <c r="F17" s="32">
        <v>272.17</v>
      </c>
      <c r="G17" s="30">
        <v>0</v>
      </c>
      <c r="H17" s="31">
        <f t="shared" si="2"/>
        <v>0</v>
      </c>
      <c r="I17" s="31">
        <f t="shared" si="3"/>
        <v>0.45744120075458355</v>
      </c>
      <c r="J17" s="32">
        <f t="shared" si="4"/>
        <v>124.50177160937501</v>
      </c>
      <c r="K17" s="32">
        <f t="shared" si="5"/>
        <v>8.3001181072916683</v>
      </c>
      <c r="L17" s="29">
        <v>30</v>
      </c>
      <c r="M17" s="33">
        <f t="shared" si="6"/>
        <v>0.5</v>
      </c>
      <c r="N17" s="29">
        <v>56</v>
      </c>
      <c r="O17" s="34">
        <f t="shared" ref="O17:P17" si="20">D17/7</f>
        <v>2.1428571428571428</v>
      </c>
      <c r="P17" s="34">
        <f t="shared" si="20"/>
        <v>0</v>
      </c>
      <c r="Q17" s="29">
        <f t="shared" si="8"/>
        <v>26</v>
      </c>
      <c r="R17" s="29"/>
      <c r="S17" s="35">
        <v>2.2999999999999998</v>
      </c>
      <c r="T17" s="28">
        <v>0</v>
      </c>
      <c r="U17" s="36" t="s">
        <v>33</v>
      </c>
      <c r="V17" s="37" t="s">
        <v>33</v>
      </c>
      <c r="W17" s="28">
        <v>0</v>
      </c>
      <c r="X17" s="38">
        <f t="shared" si="9"/>
        <v>0</v>
      </c>
      <c r="Y17" s="39">
        <f t="shared" si="10"/>
        <v>0</v>
      </c>
      <c r="Z17" s="28">
        <v>0</v>
      </c>
      <c r="AA17" s="28" t="s">
        <v>34</v>
      </c>
      <c r="AB17" s="40">
        <f t="shared" si="11"/>
        <v>-0.69</v>
      </c>
      <c r="AC17" s="41">
        <v>5.122359374999999E-2</v>
      </c>
      <c r="AD17" s="39">
        <f t="shared" si="12"/>
        <v>-1.0603283906249998</v>
      </c>
      <c r="AE17" s="39">
        <v>-4.9000000000000004</v>
      </c>
      <c r="AF17" s="39">
        <v>-2.1521599999999999</v>
      </c>
      <c r="AG17" s="39">
        <v>0</v>
      </c>
    </row>
    <row r="18" spans="1:33" ht="15.75" customHeight="1" x14ac:dyDescent="0.2">
      <c r="A18" s="28" t="s">
        <v>56</v>
      </c>
      <c r="B18" s="28" t="s">
        <v>47</v>
      </c>
      <c r="C18" s="15">
        <f t="shared" si="1"/>
        <v>18.684545454545454</v>
      </c>
      <c r="D18" s="29">
        <v>11</v>
      </c>
      <c r="E18" s="29">
        <v>0</v>
      </c>
      <c r="F18" s="32">
        <v>205.53</v>
      </c>
      <c r="G18" s="30">
        <v>0</v>
      </c>
      <c r="H18" s="31">
        <f t="shared" si="2"/>
        <v>0</v>
      </c>
      <c r="I18" s="31">
        <f t="shared" si="3"/>
        <v>0.46878395293570285</v>
      </c>
      <c r="J18" s="32">
        <f t="shared" si="4"/>
        <v>96.34916584687501</v>
      </c>
      <c r="K18" s="32">
        <f t="shared" si="5"/>
        <v>8.7590150769886375</v>
      </c>
      <c r="L18" s="29">
        <v>42</v>
      </c>
      <c r="M18" s="33">
        <f t="shared" si="6"/>
        <v>0.26190476190476192</v>
      </c>
      <c r="N18" s="29">
        <v>44</v>
      </c>
      <c r="O18" s="34">
        <f t="shared" ref="O18:P18" si="21">D18/7</f>
        <v>1.5714285714285714</v>
      </c>
      <c r="P18" s="34">
        <f t="shared" si="21"/>
        <v>0</v>
      </c>
      <c r="Q18" s="29">
        <f t="shared" si="8"/>
        <v>28</v>
      </c>
      <c r="R18" s="29"/>
      <c r="S18" s="35">
        <v>3.4025974025974</v>
      </c>
      <c r="T18" s="28">
        <v>0</v>
      </c>
      <c r="U18" s="36">
        <v>0</v>
      </c>
      <c r="V18" s="37" t="s">
        <v>33</v>
      </c>
      <c r="W18" s="28">
        <v>0</v>
      </c>
      <c r="X18" s="38">
        <f t="shared" si="9"/>
        <v>0</v>
      </c>
      <c r="Y18" s="39">
        <f t="shared" si="10"/>
        <v>0</v>
      </c>
      <c r="Z18" s="28">
        <v>0</v>
      </c>
      <c r="AA18" s="28" t="s">
        <v>34</v>
      </c>
      <c r="AB18" s="40">
        <f t="shared" si="11"/>
        <v>-0.69</v>
      </c>
      <c r="AC18" s="41">
        <v>5.122359374999999E-2</v>
      </c>
      <c r="AD18" s="39">
        <f t="shared" si="12"/>
        <v>-0.77757415312499989</v>
      </c>
      <c r="AE18" s="39">
        <v>-4.9000000000000004</v>
      </c>
      <c r="AF18" s="39">
        <v>-2.1521599999999999</v>
      </c>
      <c r="AG18" s="39">
        <v>0</v>
      </c>
    </row>
    <row r="19" spans="1:33" ht="15.75" customHeight="1" x14ac:dyDescent="0.2">
      <c r="A19" s="28" t="s">
        <v>57</v>
      </c>
      <c r="B19" s="28" t="s">
        <v>47</v>
      </c>
      <c r="C19" s="15">
        <f t="shared" si="1"/>
        <v>18.743636363636362</v>
      </c>
      <c r="D19" s="29">
        <v>11</v>
      </c>
      <c r="E19" s="29">
        <v>1</v>
      </c>
      <c r="F19" s="32">
        <v>206.17999999999998</v>
      </c>
      <c r="G19" s="30">
        <v>0</v>
      </c>
      <c r="H19" s="31">
        <f t="shared" si="2"/>
        <v>0</v>
      </c>
      <c r="I19" s="31">
        <f t="shared" si="3"/>
        <v>0.46465062492421672</v>
      </c>
      <c r="J19" s="32">
        <f t="shared" si="4"/>
        <v>95.801665846874997</v>
      </c>
      <c r="K19" s="32">
        <f t="shared" si="5"/>
        <v>8.7092423497159093</v>
      </c>
      <c r="L19" s="29">
        <v>32</v>
      </c>
      <c r="M19" s="33">
        <f t="shared" si="6"/>
        <v>0.34375</v>
      </c>
      <c r="N19" s="29">
        <v>31</v>
      </c>
      <c r="O19" s="34">
        <f t="shared" ref="O19:P19" si="22">D19/7</f>
        <v>1.5714285714285714</v>
      </c>
      <c r="P19" s="34">
        <f t="shared" si="22"/>
        <v>0.14285714285714285</v>
      </c>
      <c r="Q19" s="29">
        <f t="shared" si="8"/>
        <v>18</v>
      </c>
      <c r="R19" s="29"/>
      <c r="S19" s="35">
        <v>4.2442748091603004</v>
      </c>
      <c r="T19" s="28">
        <v>0</v>
      </c>
      <c r="U19" s="36" t="s">
        <v>33</v>
      </c>
      <c r="V19" s="37" t="s">
        <v>33</v>
      </c>
      <c r="W19" s="28">
        <v>0</v>
      </c>
      <c r="X19" s="38">
        <f t="shared" si="9"/>
        <v>0</v>
      </c>
      <c r="Y19" s="39">
        <f t="shared" si="10"/>
        <v>0</v>
      </c>
      <c r="Z19" s="28">
        <v>0</v>
      </c>
      <c r="AA19" s="28" t="s">
        <v>34</v>
      </c>
      <c r="AB19" s="40">
        <f t="shared" si="11"/>
        <v>-0.69</v>
      </c>
      <c r="AC19" s="41">
        <v>5.122359374999999E-2</v>
      </c>
      <c r="AD19" s="39">
        <f t="shared" si="12"/>
        <v>-0.77757415312499989</v>
      </c>
      <c r="AE19" s="39">
        <v>-4.9000000000000004</v>
      </c>
      <c r="AF19" s="39">
        <v>-2.2521599999999995</v>
      </c>
      <c r="AG19" s="39">
        <v>0</v>
      </c>
    </row>
    <row r="20" spans="1:33" ht="15.75" customHeight="1" x14ac:dyDescent="0.2">
      <c r="A20" s="28" t="s">
        <v>58</v>
      </c>
      <c r="B20" s="28" t="s">
        <v>47</v>
      </c>
      <c r="C20" s="15">
        <f t="shared" si="1"/>
        <v>17.990000000000002</v>
      </c>
      <c r="D20" s="29">
        <v>10</v>
      </c>
      <c r="E20" s="29">
        <v>0</v>
      </c>
      <c r="F20" s="32">
        <v>179.9</v>
      </c>
      <c r="G20" s="30">
        <v>0</v>
      </c>
      <c r="H20" s="31">
        <f t="shared" si="2"/>
        <v>0</v>
      </c>
      <c r="I20" s="31">
        <f t="shared" si="3"/>
        <v>0.44850758424819331</v>
      </c>
      <c r="J20" s="32">
        <f t="shared" si="4"/>
        <v>80.686514406249984</v>
      </c>
      <c r="K20" s="32">
        <f t="shared" si="5"/>
        <v>8.0686514406249987</v>
      </c>
      <c r="L20" s="29">
        <v>22</v>
      </c>
      <c r="M20" s="33">
        <f t="shared" si="6"/>
        <v>0.45454545454545453</v>
      </c>
      <c r="N20" s="29">
        <v>23</v>
      </c>
      <c r="O20" s="34">
        <f t="shared" ref="O20:P20" si="23">D20/7</f>
        <v>1.4285714285714286</v>
      </c>
      <c r="P20" s="34">
        <f t="shared" si="23"/>
        <v>0</v>
      </c>
      <c r="Q20" s="29">
        <f t="shared" si="8"/>
        <v>16</v>
      </c>
      <c r="R20" s="29"/>
      <c r="S20" s="35">
        <v>4.4117647058823497</v>
      </c>
      <c r="T20" s="28">
        <v>0</v>
      </c>
      <c r="U20" s="36" t="s">
        <v>33</v>
      </c>
      <c r="V20" s="37" t="s">
        <v>33</v>
      </c>
      <c r="W20" s="28">
        <v>0</v>
      </c>
      <c r="X20" s="38">
        <f t="shared" si="9"/>
        <v>0</v>
      </c>
      <c r="Y20" s="39">
        <f t="shared" si="10"/>
        <v>0</v>
      </c>
      <c r="Z20" s="28">
        <v>0</v>
      </c>
      <c r="AA20" s="28" t="s">
        <v>34</v>
      </c>
      <c r="AB20" s="40">
        <f t="shared" si="11"/>
        <v>-0.69</v>
      </c>
      <c r="AC20" s="41">
        <v>5.122359374999999E-2</v>
      </c>
      <c r="AD20" s="39">
        <f t="shared" si="12"/>
        <v>-0.70688559374999982</v>
      </c>
      <c r="AE20" s="39">
        <v>-4.9000000000000004</v>
      </c>
      <c r="AF20" s="39">
        <v>-2.2521599999999995</v>
      </c>
      <c r="AG20" s="39">
        <v>0</v>
      </c>
    </row>
    <row r="21" spans="1:33" ht="15.75" customHeight="1" x14ac:dyDescent="0.2">
      <c r="A21" s="28" t="s">
        <v>59</v>
      </c>
      <c r="B21" s="28" t="s">
        <v>47</v>
      </c>
      <c r="C21" s="15">
        <f t="shared" si="1"/>
        <v>17.989999999999998</v>
      </c>
      <c r="D21" s="29">
        <v>7</v>
      </c>
      <c r="E21" s="29">
        <v>0</v>
      </c>
      <c r="F21" s="32">
        <v>125.92999999999999</v>
      </c>
      <c r="G21" s="30">
        <v>0</v>
      </c>
      <c r="H21" s="31">
        <f t="shared" si="2"/>
        <v>0</v>
      </c>
      <c r="I21" s="31">
        <f t="shared" si="3"/>
        <v>0.44850758424819342</v>
      </c>
      <c r="J21" s="32">
        <f t="shared" si="4"/>
        <v>56.480560084374993</v>
      </c>
      <c r="K21" s="32">
        <f t="shared" si="5"/>
        <v>8.0686514406249987</v>
      </c>
      <c r="L21" s="29">
        <v>10</v>
      </c>
      <c r="M21" s="33">
        <f t="shared" si="6"/>
        <v>0.7</v>
      </c>
      <c r="N21" s="29">
        <v>15</v>
      </c>
      <c r="O21" s="34">
        <f t="shared" ref="O21:P21" si="24">D21/7</f>
        <v>1</v>
      </c>
      <c r="P21" s="34">
        <f t="shared" si="24"/>
        <v>0</v>
      </c>
      <c r="Q21" s="29">
        <f t="shared" si="8"/>
        <v>15</v>
      </c>
      <c r="R21" s="29"/>
      <c r="S21" s="35">
        <v>3.3160621761657998</v>
      </c>
      <c r="T21" s="28">
        <v>350</v>
      </c>
      <c r="U21" s="36" t="s">
        <v>33</v>
      </c>
      <c r="V21" s="37" t="s">
        <v>33</v>
      </c>
      <c r="W21" s="28">
        <v>0</v>
      </c>
      <c r="X21" s="38">
        <f t="shared" si="9"/>
        <v>0</v>
      </c>
      <c r="Y21" s="39">
        <f t="shared" si="10"/>
        <v>0</v>
      </c>
      <c r="Z21" s="28">
        <v>0</v>
      </c>
      <c r="AA21" s="28" t="s">
        <v>34</v>
      </c>
      <c r="AB21" s="40">
        <f t="shared" si="11"/>
        <v>-0.69</v>
      </c>
      <c r="AC21" s="41">
        <v>5.122359374999999E-2</v>
      </c>
      <c r="AD21" s="39">
        <f t="shared" si="12"/>
        <v>-0.49481991562499994</v>
      </c>
      <c r="AE21" s="39">
        <v>-4.9000000000000004</v>
      </c>
      <c r="AF21" s="39">
        <v>-2.2521599999999995</v>
      </c>
      <c r="AG21" s="39">
        <v>0</v>
      </c>
    </row>
    <row r="22" spans="1:33" ht="15.75" customHeight="1" x14ac:dyDescent="0.2">
      <c r="A22" s="28" t="s">
        <v>60</v>
      </c>
      <c r="B22" s="28" t="s">
        <v>47</v>
      </c>
      <c r="C22" s="15">
        <f t="shared" si="1"/>
        <v>19.042499999999997</v>
      </c>
      <c r="D22" s="29">
        <v>4</v>
      </c>
      <c r="E22" s="29">
        <v>0</v>
      </c>
      <c r="F22" s="30">
        <v>76.169999999999987</v>
      </c>
      <c r="G22" s="30">
        <v>0</v>
      </c>
      <c r="H22" s="31">
        <f t="shared" si="2"/>
        <v>0</v>
      </c>
      <c r="I22" s="31">
        <f t="shared" si="3"/>
        <v>0.47069851335827745</v>
      </c>
      <c r="J22" s="32">
        <f t="shared" si="4"/>
        <v>35.853105762499986</v>
      </c>
      <c r="K22" s="32">
        <f t="shared" si="5"/>
        <v>8.9632764406249965</v>
      </c>
      <c r="L22" s="29">
        <v>19</v>
      </c>
      <c r="M22" s="33">
        <f t="shared" si="6"/>
        <v>0.21052631578947367</v>
      </c>
      <c r="N22" s="29">
        <v>11</v>
      </c>
      <c r="O22" s="34">
        <f t="shared" ref="O22:P22" si="25">D22/7</f>
        <v>0.5714285714285714</v>
      </c>
      <c r="P22" s="34">
        <f t="shared" si="25"/>
        <v>0</v>
      </c>
      <c r="Q22" s="29">
        <f t="shared" si="8"/>
        <v>19</v>
      </c>
      <c r="R22" s="29"/>
      <c r="S22" s="35">
        <v>3.2205128205128202</v>
      </c>
      <c r="T22" s="28">
        <v>700</v>
      </c>
      <c r="U22" s="36" t="s">
        <v>33</v>
      </c>
      <c r="V22" s="37" t="s">
        <v>33</v>
      </c>
      <c r="W22" s="28">
        <v>0</v>
      </c>
      <c r="X22" s="38">
        <f t="shared" si="9"/>
        <v>0</v>
      </c>
      <c r="Y22" s="39">
        <f t="shared" si="10"/>
        <v>0</v>
      </c>
      <c r="Z22" s="28">
        <v>0</v>
      </c>
      <c r="AA22" s="28" t="s">
        <v>34</v>
      </c>
      <c r="AB22" s="40">
        <f t="shared" si="11"/>
        <v>-0.69</v>
      </c>
      <c r="AC22" s="41">
        <v>5.122359374999999E-2</v>
      </c>
      <c r="AD22" s="39">
        <f t="shared" si="12"/>
        <v>-0.28275423749999995</v>
      </c>
      <c r="AE22" s="39">
        <v>-4.9000000000000004</v>
      </c>
      <c r="AF22" s="39">
        <v>-2.2521599999999995</v>
      </c>
      <c r="AG22" s="39">
        <v>0</v>
      </c>
    </row>
    <row r="23" spans="1:33" ht="15.75" customHeight="1" x14ac:dyDescent="0.2">
      <c r="A23" s="28" t="s">
        <v>62</v>
      </c>
      <c r="B23" s="28" t="s">
        <v>298</v>
      </c>
      <c r="C23" s="15">
        <f t="shared" si="1"/>
        <v>19.422000000000001</v>
      </c>
      <c r="D23" s="29">
        <v>5</v>
      </c>
      <c r="E23" s="29">
        <v>1</v>
      </c>
      <c r="F23" s="32">
        <v>97.11</v>
      </c>
      <c r="G23" s="30">
        <v>0</v>
      </c>
      <c r="H23" s="31">
        <f t="shared" si="2"/>
        <v>0</v>
      </c>
      <c r="I23" s="31">
        <f t="shared" si="3"/>
        <v>0.47810994957393665</v>
      </c>
      <c r="J23" s="32">
        <f t="shared" si="4"/>
        <v>46.42925720312499</v>
      </c>
      <c r="K23" s="32">
        <f t="shared" si="5"/>
        <v>9.2858514406249988</v>
      </c>
      <c r="L23" s="29">
        <v>18</v>
      </c>
      <c r="M23" s="33">
        <f t="shared" si="6"/>
        <v>0.27777777777777779</v>
      </c>
      <c r="N23" s="29">
        <v>5</v>
      </c>
      <c r="O23" s="34">
        <f t="shared" ref="O23:P23" si="26">D23/7</f>
        <v>0.7142857142857143</v>
      </c>
      <c r="P23" s="34">
        <f t="shared" si="26"/>
        <v>0.14285714285714285</v>
      </c>
      <c r="Q23" s="29">
        <f t="shared" si="8"/>
        <v>5</v>
      </c>
      <c r="R23" s="29"/>
      <c r="S23" s="35">
        <v>3.5032679738561998</v>
      </c>
      <c r="T23" s="28">
        <v>1050</v>
      </c>
      <c r="U23" s="36" t="s">
        <v>33</v>
      </c>
      <c r="V23" s="37" t="s">
        <v>33</v>
      </c>
      <c r="W23" s="28">
        <v>0</v>
      </c>
      <c r="X23" s="38">
        <f t="shared" si="9"/>
        <v>0</v>
      </c>
      <c r="Y23" s="39">
        <f t="shared" si="10"/>
        <v>0</v>
      </c>
      <c r="Z23" s="28">
        <v>0</v>
      </c>
      <c r="AA23" s="28" t="s">
        <v>34</v>
      </c>
      <c r="AB23" s="40">
        <f t="shared" si="11"/>
        <v>-0.69</v>
      </c>
      <c r="AC23" s="41">
        <v>5.122359374999999E-2</v>
      </c>
      <c r="AD23" s="39">
        <f t="shared" si="12"/>
        <v>-0.35344279687499991</v>
      </c>
      <c r="AE23" s="39">
        <v>-4.9000000000000004</v>
      </c>
      <c r="AF23" s="39">
        <v>-2.2521599999999995</v>
      </c>
      <c r="AG23" s="39">
        <v>0</v>
      </c>
    </row>
    <row r="24" spans="1:33" ht="15.75" customHeight="1" x14ac:dyDescent="0.2">
      <c r="A24" s="28" t="s">
        <v>64</v>
      </c>
      <c r="B24" s="28" t="s">
        <v>298</v>
      </c>
      <c r="C24" s="15" t="str">
        <f t="shared" si="1"/>
        <v xml:space="preserve"> - </v>
      </c>
      <c r="D24" s="29">
        <v>0</v>
      </c>
      <c r="E24" s="29">
        <v>0</v>
      </c>
      <c r="F24" s="32">
        <v>0</v>
      </c>
      <c r="G24" s="32">
        <v>0</v>
      </c>
      <c r="H24" s="31" t="e">
        <f t="shared" si="2"/>
        <v>#DIV/0!</v>
      </c>
      <c r="I24" s="31" t="e">
        <f t="shared" si="3"/>
        <v>#DIV/0!</v>
      </c>
      <c r="J24" s="32">
        <f t="shared" si="4"/>
        <v>0</v>
      </c>
      <c r="K24" s="32" t="e">
        <f t="shared" si="5"/>
        <v>#DIV/0!</v>
      </c>
      <c r="L24" s="29">
        <v>0</v>
      </c>
      <c r="M24" s="33" t="str">
        <f t="shared" si="6"/>
        <v>-</v>
      </c>
      <c r="N24" s="29">
        <v>5</v>
      </c>
      <c r="O24" s="34">
        <f t="shared" ref="O24:P24" si="27">D24/7</f>
        <v>0</v>
      </c>
      <c r="P24" s="34">
        <f t="shared" si="27"/>
        <v>0</v>
      </c>
      <c r="Q24" s="29" t="e">
        <f t="shared" si="8"/>
        <v>#DIV/0!</v>
      </c>
      <c r="R24" s="29"/>
      <c r="S24" s="35">
        <v>4.2519685039370003</v>
      </c>
      <c r="T24" s="28">
        <v>1050</v>
      </c>
      <c r="U24" s="36" t="s">
        <v>33</v>
      </c>
      <c r="V24" s="37" t="s">
        <v>33</v>
      </c>
      <c r="W24" s="28">
        <v>0</v>
      </c>
      <c r="X24" s="38">
        <f t="shared" si="9"/>
        <v>0</v>
      </c>
      <c r="Y24" s="39">
        <f t="shared" si="10"/>
        <v>0</v>
      </c>
      <c r="Z24" s="28">
        <v>0</v>
      </c>
      <c r="AA24" s="28" t="s">
        <v>34</v>
      </c>
      <c r="AB24" s="40">
        <f t="shared" si="11"/>
        <v>-0.69</v>
      </c>
      <c r="AC24" s="41">
        <v>5.122359374999999E-2</v>
      </c>
      <c r="AD24" s="39">
        <f t="shared" si="12"/>
        <v>0</v>
      </c>
      <c r="AE24" s="39">
        <v>-4.9000000000000004</v>
      </c>
      <c r="AF24" s="39">
        <v>-2.2521599999999995</v>
      </c>
      <c r="AG24" s="39">
        <v>0</v>
      </c>
    </row>
    <row r="25" spans="1:33" ht="15.75" customHeight="1" x14ac:dyDescent="0.2">
      <c r="A25" s="28" t="s">
        <v>65</v>
      </c>
      <c r="B25" s="14" t="s">
        <v>150</v>
      </c>
      <c r="C25" s="15">
        <f t="shared" si="1"/>
        <v>18.549999999999997</v>
      </c>
      <c r="D25" s="29">
        <v>4</v>
      </c>
      <c r="E25" s="29">
        <v>0</v>
      </c>
      <c r="F25" s="32">
        <v>74.199999999999989</v>
      </c>
      <c r="G25" s="32">
        <v>0</v>
      </c>
      <c r="H25" s="31">
        <f t="shared" si="2"/>
        <v>0</v>
      </c>
      <c r="I25" s="31">
        <f t="shared" si="3"/>
        <v>0.46074455205525594</v>
      </c>
      <c r="J25" s="32">
        <f t="shared" si="4"/>
        <v>34.187245762499984</v>
      </c>
      <c r="K25" s="32">
        <f t="shared" si="5"/>
        <v>8.546811440624996</v>
      </c>
      <c r="L25" s="29">
        <v>24</v>
      </c>
      <c r="M25" s="33">
        <f t="shared" si="6"/>
        <v>0.16666666666666666</v>
      </c>
      <c r="N25" s="29">
        <v>3</v>
      </c>
      <c r="O25" s="34">
        <f t="shared" ref="O25:P25" si="28">D25/7</f>
        <v>0.5714285714285714</v>
      </c>
      <c r="P25" s="34">
        <f t="shared" si="28"/>
        <v>0</v>
      </c>
      <c r="Q25" s="29">
        <f t="shared" si="8"/>
        <v>5</v>
      </c>
      <c r="R25" s="29"/>
      <c r="S25" s="35">
        <v>2.2463054187192122</v>
      </c>
      <c r="T25" s="28">
        <v>1050</v>
      </c>
      <c r="U25" s="36" t="s">
        <v>33</v>
      </c>
      <c r="V25" s="37" t="s">
        <v>33</v>
      </c>
      <c r="W25" s="14">
        <v>0</v>
      </c>
      <c r="X25" s="38">
        <f t="shared" si="9"/>
        <v>0</v>
      </c>
      <c r="Y25" s="39">
        <f t="shared" si="10"/>
        <v>0</v>
      </c>
      <c r="Z25" s="14">
        <v>0</v>
      </c>
      <c r="AA25" s="28" t="s">
        <v>34</v>
      </c>
      <c r="AB25" s="40">
        <f t="shared" si="11"/>
        <v>-0.69</v>
      </c>
      <c r="AC25" s="41">
        <v>5.122359374999999E-2</v>
      </c>
      <c r="AD25" s="39">
        <f t="shared" si="12"/>
        <v>-0.28275423749999995</v>
      </c>
      <c r="AE25" s="39">
        <v>-4.9000000000000004</v>
      </c>
      <c r="AF25" s="39">
        <v>-2.25</v>
      </c>
      <c r="AG25" s="39">
        <v>0</v>
      </c>
    </row>
    <row r="26" spans="1:33" ht="15.75" customHeight="1" x14ac:dyDescent="0.2">
      <c r="A26" s="14" t="s">
        <v>67</v>
      </c>
      <c r="B26" s="14" t="s">
        <v>52</v>
      </c>
      <c r="C26" s="15">
        <f t="shared" si="1"/>
        <v>18.32</v>
      </c>
      <c r="D26" s="16">
        <v>1</v>
      </c>
      <c r="E26" s="16">
        <v>0</v>
      </c>
      <c r="F26" s="17">
        <v>18.32</v>
      </c>
      <c r="G26" s="17">
        <v>0</v>
      </c>
      <c r="H26" s="31">
        <f t="shared" si="2"/>
        <v>0</v>
      </c>
      <c r="I26" s="31">
        <f t="shared" si="3"/>
        <v>0.45532442361490216</v>
      </c>
      <c r="J26" s="32">
        <f t="shared" si="4"/>
        <v>8.3415434406250082</v>
      </c>
      <c r="K26" s="32">
        <f t="shared" si="5"/>
        <v>8.3415434406250082</v>
      </c>
      <c r="L26" s="16">
        <v>0</v>
      </c>
      <c r="M26" s="33" t="str">
        <f t="shared" si="6"/>
        <v>-</v>
      </c>
      <c r="N26" s="16">
        <v>0</v>
      </c>
      <c r="O26" s="34">
        <f t="shared" ref="O26:P26" si="29">D26/7</f>
        <v>0.14285714285714285</v>
      </c>
      <c r="P26" s="34">
        <f t="shared" si="29"/>
        <v>0</v>
      </c>
      <c r="Q26" s="29">
        <f t="shared" si="8"/>
        <v>0</v>
      </c>
      <c r="R26" s="29"/>
      <c r="S26" s="21">
        <v>0</v>
      </c>
      <c r="T26" s="28">
        <v>1050</v>
      </c>
      <c r="U26" s="36" t="s">
        <v>33</v>
      </c>
      <c r="V26" s="37" t="s">
        <v>33</v>
      </c>
      <c r="W26" s="14">
        <v>0</v>
      </c>
      <c r="X26" s="38">
        <f t="shared" si="9"/>
        <v>0</v>
      </c>
      <c r="Y26" s="39">
        <f t="shared" si="10"/>
        <v>0</v>
      </c>
      <c r="Z26" s="14">
        <v>0</v>
      </c>
      <c r="AA26" s="28" t="s">
        <v>34</v>
      </c>
      <c r="AB26" s="40">
        <f t="shared" si="11"/>
        <v>-0.69</v>
      </c>
      <c r="AC26" s="41">
        <v>5.122359374999999E-2</v>
      </c>
      <c r="AD26" s="39">
        <f t="shared" si="12"/>
        <v>-7.0688559374999987E-2</v>
      </c>
      <c r="AE26" s="25">
        <v>-4.9000000000000004</v>
      </c>
      <c r="AF26" s="25">
        <v>-2.25976799999999</v>
      </c>
      <c r="AG26" s="25">
        <v>0</v>
      </c>
    </row>
    <row r="27" spans="1:33" ht="15.75" customHeight="1" x14ac:dyDescent="0.2">
      <c r="A27" s="14" t="s">
        <v>69</v>
      </c>
      <c r="B27" s="14"/>
      <c r="C27" s="15" t="str">
        <f t="shared" si="1"/>
        <v xml:space="preserve"> - </v>
      </c>
      <c r="D27" s="16">
        <v>0</v>
      </c>
      <c r="E27" s="16">
        <v>0</v>
      </c>
      <c r="F27" s="17">
        <v>0</v>
      </c>
      <c r="G27" s="17">
        <v>0</v>
      </c>
      <c r="H27" s="31" t="e">
        <f t="shared" si="2"/>
        <v>#DIV/0!</v>
      </c>
      <c r="I27" s="31" t="e">
        <f t="shared" si="3"/>
        <v>#DIV/0!</v>
      </c>
      <c r="J27" s="32">
        <f t="shared" si="4"/>
        <v>0</v>
      </c>
      <c r="K27" s="32" t="e">
        <f t="shared" si="5"/>
        <v>#DIV/0!</v>
      </c>
      <c r="L27" s="16">
        <v>0</v>
      </c>
      <c r="M27" s="33" t="str">
        <f t="shared" si="6"/>
        <v>-</v>
      </c>
      <c r="N27" s="16">
        <v>1</v>
      </c>
      <c r="O27" s="34">
        <f t="shared" ref="O27:P27" si="30">D27/7</f>
        <v>0</v>
      </c>
      <c r="P27" s="34">
        <f t="shared" si="30"/>
        <v>0</v>
      </c>
      <c r="Q27" s="29" t="e">
        <f t="shared" si="8"/>
        <v>#DIV/0!</v>
      </c>
      <c r="R27" s="29"/>
      <c r="S27" s="21">
        <v>2.5611510791366912</v>
      </c>
      <c r="T27" s="28">
        <v>1050</v>
      </c>
      <c r="U27" s="36" t="s">
        <v>33</v>
      </c>
      <c r="V27" s="37" t="s">
        <v>33</v>
      </c>
      <c r="W27" s="14">
        <v>0</v>
      </c>
      <c r="X27" s="38">
        <f t="shared" si="9"/>
        <v>0</v>
      </c>
      <c r="Y27" s="39">
        <f t="shared" si="10"/>
        <v>0</v>
      </c>
      <c r="Z27" s="14">
        <v>0</v>
      </c>
      <c r="AA27" s="28" t="s">
        <v>34</v>
      </c>
      <c r="AB27" s="40">
        <f t="shared" si="11"/>
        <v>-0.69</v>
      </c>
      <c r="AC27" s="41">
        <v>5.122359374999999E-2</v>
      </c>
      <c r="AD27" s="39">
        <f t="shared" si="12"/>
        <v>0</v>
      </c>
      <c r="AE27" s="25">
        <v>-4.9000000000000004</v>
      </c>
      <c r="AF27" s="25">
        <v>-2.25976799999999</v>
      </c>
      <c r="AG27" s="25">
        <v>0</v>
      </c>
    </row>
    <row r="28" spans="1:33" ht="15.75" customHeight="1" x14ac:dyDescent="0.2">
      <c r="A28" s="14" t="s">
        <v>71</v>
      </c>
      <c r="B28" s="14" t="s">
        <v>52</v>
      </c>
      <c r="C28" s="15">
        <f t="shared" si="1"/>
        <v>20.22</v>
      </c>
      <c r="D28" s="16">
        <v>1</v>
      </c>
      <c r="E28" s="16">
        <v>0</v>
      </c>
      <c r="F28" s="17">
        <v>20.22</v>
      </c>
      <c r="G28" s="17">
        <v>0</v>
      </c>
      <c r="H28" s="31">
        <f t="shared" si="2"/>
        <v>0</v>
      </c>
      <c r="I28" s="31">
        <f t="shared" si="3"/>
        <v>0.49241065482814084</v>
      </c>
      <c r="J28" s="32">
        <f t="shared" si="4"/>
        <v>9.9565434406250066</v>
      </c>
      <c r="K28" s="32">
        <f t="shared" si="5"/>
        <v>9.9565434406250066</v>
      </c>
      <c r="L28" s="16">
        <v>3</v>
      </c>
      <c r="M28" s="33">
        <f t="shared" si="6"/>
        <v>0.33333333333333331</v>
      </c>
      <c r="N28" s="16">
        <v>0</v>
      </c>
      <c r="O28" s="34">
        <f t="shared" ref="O28:P28" si="31">D28/7</f>
        <v>0.14285714285714285</v>
      </c>
      <c r="P28" s="34">
        <f t="shared" si="31"/>
        <v>0</v>
      </c>
      <c r="Q28" s="29">
        <f t="shared" si="8"/>
        <v>0</v>
      </c>
      <c r="R28" s="29"/>
      <c r="S28" s="21">
        <v>0</v>
      </c>
      <c r="T28" s="28">
        <v>525</v>
      </c>
      <c r="U28" s="36" t="s">
        <v>33</v>
      </c>
      <c r="V28" s="37" t="s">
        <v>33</v>
      </c>
      <c r="W28" s="14">
        <v>0</v>
      </c>
      <c r="X28" s="38">
        <f t="shared" si="9"/>
        <v>0</v>
      </c>
      <c r="Y28" s="39">
        <f t="shared" si="10"/>
        <v>0</v>
      </c>
      <c r="Z28" s="14">
        <v>0</v>
      </c>
      <c r="AA28" s="28" t="s">
        <v>34</v>
      </c>
      <c r="AB28" s="40">
        <f t="shared" si="11"/>
        <v>-0.69</v>
      </c>
      <c r="AC28" s="41">
        <v>5.122359374999999E-2</v>
      </c>
      <c r="AD28" s="39">
        <f t="shared" si="12"/>
        <v>-7.0688559374999987E-2</v>
      </c>
      <c r="AE28" s="25">
        <v>-4.9000000000000004</v>
      </c>
      <c r="AF28" s="25">
        <v>-2.25976799999999</v>
      </c>
      <c r="AG28" s="25">
        <v>0</v>
      </c>
    </row>
    <row r="29" spans="1:33" ht="15.75" customHeight="1" x14ac:dyDescent="0.2">
      <c r="A29" s="28" t="s">
        <v>72</v>
      </c>
      <c r="B29" s="28"/>
      <c r="C29" s="15" t="str">
        <f t="shared" si="1"/>
        <v xml:space="preserve"> - </v>
      </c>
      <c r="D29" s="29">
        <v>0</v>
      </c>
      <c r="E29" s="29">
        <v>0</v>
      </c>
      <c r="F29" s="32">
        <v>0</v>
      </c>
      <c r="G29" s="32">
        <v>0</v>
      </c>
      <c r="H29" s="31" t="e">
        <f t="shared" si="2"/>
        <v>#DIV/0!</v>
      </c>
      <c r="I29" s="31" t="e">
        <f t="shared" si="3"/>
        <v>#DIV/0!</v>
      </c>
      <c r="J29" s="32">
        <f t="shared" si="4"/>
        <v>0</v>
      </c>
      <c r="K29" s="32" t="e">
        <f t="shared" si="5"/>
        <v>#DIV/0!</v>
      </c>
      <c r="L29" s="29">
        <v>0</v>
      </c>
      <c r="M29" s="33" t="str">
        <f t="shared" si="6"/>
        <v>-</v>
      </c>
      <c r="N29" s="16">
        <v>0</v>
      </c>
      <c r="O29" s="34">
        <f t="shared" ref="O29:P29" si="32">D29/7</f>
        <v>0</v>
      </c>
      <c r="P29" s="34">
        <f t="shared" si="32"/>
        <v>0</v>
      </c>
      <c r="Q29" s="29" t="e">
        <f t="shared" si="8"/>
        <v>#DIV/0!</v>
      </c>
      <c r="R29" s="29"/>
      <c r="S29" s="21">
        <v>0</v>
      </c>
      <c r="T29" s="28">
        <v>525</v>
      </c>
      <c r="U29" s="36" t="s">
        <v>33</v>
      </c>
      <c r="V29" s="37" t="s">
        <v>33</v>
      </c>
      <c r="W29" s="14">
        <v>0</v>
      </c>
      <c r="X29" s="38">
        <f t="shared" si="9"/>
        <v>0</v>
      </c>
      <c r="Y29" s="39">
        <f t="shared" si="10"/>
        <v>0</v>
      </c>
      <c r="Z29" s="14">
        <v>0</v>
      </c>
      <c r="AA29" s="28" t="s">
        <v>34</v>
      </c>
      <c r="AB29" s="40">
        <f t="shared" si="11"/>
        <v>-0.69</v>
      </c>
      <c r="AC29" s="41">
        <v>5.122359374999999E-2</v>
      </c>
      <c r="AD29" s="39">
        <f t="shared" si="12"/>
        <v>0</v>
      </c>
      <c r="AE29" s="39">
        <v>-4.9000000000000004</v>
      </c>
      <c r="AF29" s="25">
        <v>-2.25976799999999</v>
      </c>
      <c r="AG29" s="39">
        <v>0</v>
      </c>
    </row>
    <row r="30" spans="1:33" ht="15.75" customHeight="1" x14ac:dyDescent="0.2">
      <c r="A30" s="14" t="s">
        <v>74</v>
      </c>
      <c r="B30" s="14"/>
      <c r="C30" s="15" t="str">
        <f t="shared" si="1"/>
        <v xml:space="preserve"> - </v>
      </c>
      <c r="D30" s="16">
        <v>0</v>
      </c>
      <c r="E30" s="16">
        <v>0</v>
      </c>
      <c r="F30" s="17">
        <v>0</v>
      </c>
      <c r="G30" s="17">
        <v>0</v>
      </c>
      <c r="H30" s="31" t="e">
        <f t="shared" si="2"/>
        <v>#DIV/0!</v>
      </c>
      <c r="I30" s="31" t="e">
        <f t="shared" si="3"/>
        <v>#DIV/0!</v>
      </c>
      <c r="J30" s="32">
        <f t="shared" si="4"/>
        <v>0</v>
      </c>
      <c r="K30" s="32" t="e">
        <f t="shared" si="5"/>
        <v>#DIV/0!</v>
      </c>
      <c r="L30" s="16">
        <v>0</v>
      </c>
      <c r="M30" s="33" t="str">
        <f t="shared" si="6"/>
        <v>-</v>
      </c>
      <c r="N30" s="16">
        <v>0</v>
      </c>
      <c r="O30" s="34">
        <f t="shared" ref="O30:P30" si="33">D30/7</f>
        <v>0</v>
      </c>
      <c r="P30" s="34">
        <f t="shared" si="33"/>
        <v>0</v>
      </c>
      <c r="Q30" s="29" t="e">
        <f t="shared" si="8"/>
        <v>#DIV/0!</v>
      </c>
      <c r="R30" s="29"/>
      <c r="S30" s="21">
        <v>0</v>
      </c>
      <c r="T30" s="28">
        <v>700</v>
      </c>
      <c r="U30" s="36" t="s">
        <v>33</v>
      </c>
      <c r="V30" s="37" t="s">
        <v>33</v>
      </c>
      <c r="W30" s="14">
        <v>0</v>
      </c>
      <c r="X30" s="38">
        <f t="shared" si="9"/>
        <v>0</v>
      </c>
      <c r="Y30" s="39">
        <f t="shared" si="10"/>
        <v>0</v>
      </c>
      <c r="Z30" s="14">
        <v>0</v>
      </c>
      <c r="AA30" s="28" t="s">
        <v>34</v>
      </c>
      <c r="AB30" s="40">
        <f t="shared" si="11"/>
        <v>-0.69</v>
      </c>
      <c r="AC30" s="41">
        <v>5.122359374999999E-2</v>
      </c>
      <c r="AD30" s="39">
        <f t="shared" si="12"/>
        <v>0</v>
      </c>
      <c r="AE30" s="25">
        <v>-4.9000000000000004</v>
      </c>
      <c r="AF30" s="25">
        <v>-2.1</v>
      </c>
      <c r="AG30" s="25">
        <v>0</v>
      </c>
    </row>
    <row r="31" spans="1:33" ht="15.75" customHeight="1" x14ac:dyDescent="0.2">
      <c r="A31" s="14" t="s">
        <v>75</v>
      </c>
      <c r="B31" s="14"/>
      <c r="C31" s="15" t="str">
        <f t="shared" si="1"/>
        <v xml:space="preserve"> - </v>
      </c>
      <c r="D31" s="16">
        <v>0</v>
      </c>
      <c r="E31" s="16">
        <v>0</v>
      </c>
      <c r="F31" s="17">
        <v>0</v>
      </c>
      <c r="G31" s="42">
        <v>0</v>
      </c>
      <c r="H31" s="31" t="e">
        <f t="shared" si="2"/>
        <v>#DIV/0!</v>
      </c>
      <c r="I31" s="31" t="e">
        <f t="shared" si="3"/>
        <v>#DIV/0!</v>
      </c>
      <c r="J31" s="32">
        <f t="shared" si="4"/>
        <v>0</v>
      </c>
      <c r="K31" s="32" t="e">
        <f t="shared" si="5"/>
        <v>#DIV/0!</v>
      </c>
      <c r="L31" s="16">
        <v>0</v>
      </c>
      <c r="M31" s="33" t="str">
        <f t="shared" si="6"/>
        <v>-</v>
      </c>
      <c r="N31" s="16">
        <v>0</v>
      </c>
      <c r="O31" s="34">
        <f t="shared" ref="O31:P32" si="34">D31/7</f>
        <v>0</v>
      </c>
      <c r="P31" s="34">
        <f t="shared" si="34"/>
        <v>0</v>
      </c>
      <c r="Q31" s="29" t="e">
        <f t="shared" si="8"/>
        <v>#DIV/0!</v>
      </c>
      <c r="R31" s="29"/>
      <c r="S31" s="21" t="e">
        <v>#N/A</v>
      </c>
      <c r="T31" s="14">
        <v>700</v>
      </c>
      <c r="U31" s="22" t="s">
        <v>33</v>
      </c>
      <c r="V31" s="1" t="s">
        <v>962</v>
      </c>
      <c r="W31" s="14">
        <v>0</v>
      </c>
      <c r="X31" s="38">
        <f t="shared" si="9"/>
        <v>0</v>
      </c>
      <c r="Y31" s="39">
        <f t="shared" si="10"/>
        <v>0</v>
      </c>
      <c r="Z31" s="14">
        <v>0</v>
      </c>
      <c r="AA31" s="14" t="s">
        <v>34</v>
      </c>
      <c r="AB31" s="40">
        <f t="shared" si="11"/>
        <v>-0.69</v>
      </c>
      <c r="AC31" s="27">
        <v>5.122359374999999E-2</v>
      </c>
      <c r="AD31" s="39">
        <f t="shared" si="12"/>
        <v>0</v>
      </c>
      <c r="AE31" s="43">
        <v>-4.9000000000000004</v>
      </c>
      <c r="AF31" s="43">
        <v>-2.1</v>
      </c>
      <c r="AG31" s="25">
        <v>0</v>
      </c>
    </row>
    <row r="32" spans="1:33" s="51" customFormat="1" ht="15.75" customHeight="1" x14ac:dyDescent="0.2">
      <c r="A32" s="51" t="s">
        <v>934</v>
      </c>
      <c r="C32" s="15" t="str">
        <f t="shared" si="1"/>
        <v xml:space="preserve"> - </v>
      </c>
      <c r="D32" s="52">
        <v>0</v>
      </c>
      <c r="E32" s="52">
        <v>0</v>
      </c>
      <c r="F32" s="53">
        <v>0</v>
      </c>
      <c r="G32" s="53">
        <v>0</v>
      </c>
      <c r="H32" s="31" t="e">
        <f t="shared" si="2"/>
        <v>#DIV/0!</v>
      </c>
      <c r="I32" s="31" t="e">
        <f t="shared" si="3"/>
        <v>#DIV/0!</v>
      </c>
      <c r="J32" s="32">
        <f t="shared" si="4"/>
        <v>0</v>
      </c>
      <c r="K32" s="32" t="e">
        <f t="shared" si="5"/>
        <v>#DIV/0!</v>
      </c>
      <c r="L32" s="52">
        <v>0</v>
      </c>
      <c r="M32" s="33" t="str">
        <f t="shared" si="6"/>
        <v>-</v>
      </c>
      <c r="N32" s="52">
        <v>0</v>
      </c>
      <c r="O32" s="34">
        <f t="shared" si="34"/>
        <v>0</v>
      </c>
      <c r="P32" s="34">
        <f t="shared" si="34"/>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5.122359374999999E-2</v>
      </c>
      <c r="AD32" s="39">
        <f t="shared" si="12"/>
        <v>0</v>
      </c>
      <c r="AE32" s="58">
        <v>-4.9000000000000004</v>
      </c>
      <c r="AF32" s="58">
        <v>-2.1</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S221" s="21"/>
    </row>
    <row r="222" spans="1:33" ht="15.75" customHeight="1" x14ac:dyDescent="0.2">
      <c r="S222" s="21"/>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32" customWidth="1"/>
    <col min="22" max="22" width="44.332031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Info!B1:BJ5000""),3,FALSE),"""")"),"14 AWG Replacement Power Cord with Open End - 6 Ft Black Extension Cable, 14/3 SJT, NEMA 5-15P")</f>
        <v>14 AWG Replacement Power Cord with Open End - 6 Ft Black Extension Cable, 14/3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Info!B1:BJ5000""),2,FALSE),"""")"),"B082FMNR8T")</f>
        <v>B082FMNR8T</v>
      </c>
      <c r="B2" s="3" t="s">
        <v>299</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50.25" customHeight="1" x14ac:dyDescent="0.2">
      <c r="A3" s="76" t="s">
        <v>30</v>
      </c>
      <c r="B3" s="77"/>
      <c r="C3" s="47">
        <f>((AE32+AF32)/0.85)*-1</f>
        <v>6.3002848423529416</v>
      </c>
      <c r="D3" s="5">
        <f>SUM(D4:D99765)</f>
        <v>290</v>
      </c>
      <c r="E3" s="5"/>
      <c r="F3" s="6">
        <f t="shared" ref="F3:G3" si="0">SUM(F4:F99765)</f>
        <v>2388.12</v>
      </c>
      <c r="G3" s="6">
        <f t="shared" si="0"/>
        <v>-170.97</v>
      </c>
      <c r="H3" s="7">
        <f t="shared" ref="H3:H32" si="1">G3/F3*-1</f>
        <v>7.1591879805034925E-2</v>
      </c>
      <c r="I3" s="8">
        <f t="shared" ref="I3:I32" si="2">J3/F3</f>
        <v>0.13971933544135484</v>
      </c>
      <c r="J3" s="6">
        <f>SUM(J4:J99765)</f>
        <v>333.66653935420834</v>
      </c>
      <c r="K3" s="6">
        <f t="shared" ref="K3:K32" si="3">J3/D3</f>
        <v>1.1505742736352012</v>
      </c>
      <c r="L3" s="5"/>
      <c r="M3" s="9"/>
      <c r="N3" s="10"/>
      <c r="O3" s="5" t="str">
        <f ca="1">IFERROR(__xludf.DUMMYFUNCTION("IFERROR(VLOOKUP(B2,IMPORTRANGE(""https://docs.google.com/spreadsheets/d/1N8jvpEHDVkurDv7NrPxwI3eH6hQsvtb1QltGNCalRjU/edit#gid=865736387"",""Compiled Sheet!a1:g5000""),2,FALSE),"""")"),"1.5 - March
1.5 - April
1.5 - May
1.5 - June
1.5 - July
1.5 - Aug
1.5 - Sept
1.5 - Oct
0.5 - Nov
0.5 - Dec
1.5 - Jan
1.5 - Feb")</f>
        <v>1.5 - March
1.5 - April
1.5 - May
1.5 - June
1.5 - July
1.5 - Aug
1.5 - Sept
1.5 - Oct
0.5 - Nov
0.5 -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QTY-25")</f>
        <v>US QTY-25</v>
      </c>
      <c r="V3" s="13" t="str">
        <f ca="1">IFERROR(__xludf.DUMMYFUNCTION("CONCATENATE(""In Transit"", ""-"",IFERROR(VLOOKUP($B$2,IMPORTRANGE(""https://docs.google.com/spreadsheets/d/11afDUGgwIurytGWIAj1e7JPdtkZEoccxCski0CJdjqQ/edit#gid=1950799886"",""US Storage!a1:AD5000""),3,FALSE),""""))"),"In Transit-0")</f>
        <v>In Transit-0</v>
      </c>
      <c r="W3" s="5">
        <f>SUM(W4:W99765)</f>
        <v>28</v>
      </c>
      <c r="X3" s="7">
        <f>W3/D3</f>
        <v>9.6551724137931033E-2</v>
      </c>
      <c r="Y3" s="6"/>
      <c r="Z3" s="5"/>
      <c r="AA3" s="5"/>
      <c r="AB3" s="5"/>
      <c r="AC3" s="5"/>
      <c r="AD3" s="6">
        <f>SUM(AD4:AD99765)</f>
        <v>-10.002104036458334</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Info!B2:BZ7000""),37,FALSE)),"""")*-1"),-1.715242116)</f>
        <v>-1.715242116</v>
      </c>
      <c r="AG3" s="6">
        <f>SUM(AG4:AG99765)</f>
        <v>0</v>
      </c>
    </row>
    <row r="4" spans="1:33" ht="1.5" customHeight="1" x14ac:dyDescent="0.2">
      <c r="A4" s="14" t="s">
        <v>31</v>
      </c>
      <c r="B4" s="14" t="s">
        <v>131</v>
      </c>
      <c r="C4" s="15">
        <f t="shared" ref="C4:C32" si="4">IFERROR(F4/D4," - ")</f>
        <v>6.5900000000000007</v>
      </c>
      <c r="D4" s="16">
        <v>5</v>
      </c>
      <c r="E4" s="16">
        <v>0</v>
      </c>
      <c r="F4" s="17">
        <v>32.950000000000003</v>
      </c>
      <c r="G4" s="17">
        <v>-0.16</v>
      </c>
      <c r="H4" s="18">
        <f t="shared" si="1"/>
        <v>4.8558421851289833E-3</v>
      </c>
      <c r="I4" s="18">
        <f t="shared" si="2"/>
        <v>6.3320347809910166E-2</v>
      </c>
      <c r="J4" s="17">
        <f t="shared" ref="J4:J32" si="5">F4*0.85+G4+AF4*D4+D4*AE4+AG4+AD4</f>
        <v>2.0864054603365401</v>
      </c>
      <c r="K4" s="17">
        <f t="shared" si="3"/>
        <v>0.41728109206730801</v>
      </c>
      <c r="L4" s="16">
        <v>14</v>
      </c>
      <c r="M4" s="19">
        <f t="shared" ref="M4:M32" si="6">IFERROR(D4/L4,"-")</f>
        <v>0.35714285714285715</v>
      </c>
      <c r="N4" s="16">
        <v>0</v>
      </c>
      <c r="O4" s="20">
        <f t="shared" ref="O4:P4" si="7">D4/7</f>
        <v>0.7142857142857143</v>
      </c>
      <c r="P4" s="20">
        <f t="shared" si="7"/>
        <v>0</v>
      </c>
      <c r="Q4" s="16">
        <f t="shared" ref="Q4:Q32" si="8">ROUNDDOWN(N4/(O4+P4),0)</f>
        <v>0</v>
      </c>
      <c r="R4" s="16"/>
      <c r="S4" s="21" t="e">
        <v>#N/A</v>
      </c>
      <c r="T4" s="14">
        <v>1100</v>
      </c>
      <c r="U4" s="22">
        <v>50</v>
      </c>
      <c r="V4" s="23" t="s">
        <v>300</v>
      </c>
      <c r="W4" s="14">
        <v>0</v>
      </c>
      <c r="X4" s="24">
        <f t="shared" ref="X4:X32" si="9">IFERROR(W4/D4,0)</f>
        <v>0</v>
      </c>
      <c r="Y4" s="25">
        <f t="shared" ref="Y4:Y32" si="10">IFERROR(G4/(W4+Z4)*-1,0)</f>
        <v>0</v>
      </c>
      <c r="Z4" s="14">
        <v>0</v>
      </c>
      <c r="AA4" s="2" t="s">
        <v>34</v>
      </c>
      <c r="AB4" s="26">
        <f t="shared" ref="AB4:AB32" si="11">IF(OR(AA4="UsLargeStandardSize",AA4="UsSmallStandardSize"),-0.69,-0.48)</f>
        <v>-0.69</v>
      </c>
      <c r="AC4" s="27">
        <v>3.5394600694444438E-2</v>
      </c>
      <c r="AD4" s="25">
        <f t="shared" ref="AD4:AD32" si="12">IFERROR(AB4*AC4*D4*2,0)</f>
        <v>-0.24422274479166659</v>
      </c>
      <c r="AE4" s="25">
        <v>-3.48</v>
      </c>
      <c r="AF4" s="25">
        <v>-1.623374358974359</v>
      </c>
      <c r="AG4" s="25">
        <v>0</v>
      </c>
    </row>
    <row r="5" spans="1:33" ht="15.75" customHeight="1" x14ac:dyDescent="0.2">
      <c r="A5" s="28" t="s">
        <v>35</v>
      </c>
      <c r="B5" s="28"/>
      <c r="C5" s="15" t="str">
        <f t="shared" si="4"/>
        <v xml:space="preserve"> - </v>
      </c>
      <c r="D5" s="29">
        <v>0</v>
      </c>
      <c r="E5" s="29">
        <v>0</v>
      </c>
      <c r="F5" s="30">
        <v>0</v>
      </c>
      <c r="G5" s="30">
        <v>0</v>
      </c>
      <c r="H5" s="31" t="e">
        <f t="shared" si="1"/>
        <v>#DIV/0!</v>
      </c>
      <c r="I5" s="31" t="e">
        <f t="shared" si="2"/>
        <v>#DIV/0!</v>
      </c>
      <c r="J5" s="32">
        <f t="shared" si="5"/>
        <v>0</v>
      </c>
      <c r="K5" s="32" t="e">
        <f t="shared" si="3"/>
        <v>#DIV/0!</v>
      </c>
      <c r="L5" s="29">
        <v>0</v>
      </c>
      <c r="M5" s="33" t="str">
        <f t="shared" si="6"/>
        <v>-</v>
      </c>
      <c r="N5" s="29">
        <v>0</v>
      </c>
      <c r="O5" s="34">
        <f t="shared" ref="O5:P5" si="13">D5/7</f>
        <v>0</v>
      </c>
      <c r="P5" s="34">
        <f t="shared" si="13"/>
        <v>0</v>
      </c>
      <c r="Q5" s="29" t="e">
        <f t="shared" si="8"/>
        <v>#DIV/0!</v>
      </c>
      <c r="R5" s="29"/>
      <c r="S5" s="35" t="e">
        <v>#N/A</v>
      </c>
      <c r="T5" s="28">
        <v>1100</v>
      </c>
      <c r="U5" s="36">
        <v>50</v>
      </c>
      <c r="V5" s="37" t="s">
        <v>301</v>
      </c>
      <c r="W5" s="28">
        <v>0</v>
      </c>
      <c r="X5" s="38">
        <f t="shared" si="9"/>
        <v>0</v>
      </c>
      <c r="Y5" s="39">
        <f t="shared" si="10"/>
        <v>0</v>
      </c>
      <c r="Z5" s="28">
        <v>0</v>
      </c>
      <c r="AA5" s="28" t="e">
        <v>#N/A</v>
      </c>
      <c r="AB5" s="40" t="e">
        <f t="shared" si="11"/>
        <v>#N/A</v>
      </c>
      <c r="AC5" s="41" t="e">
        <v>#N/A</v>
      </c>
      <c r="AD5" s="39">
        <f t="shared" si="12"/>
        <v>0</v>
      </c>
      <c r="AE5" s="39">
        <v>0</v>
      </c>
      <c r="AF5" s="39">
        <v>-1.623374358974359</v>
      </c>
      <c r="AG5" s="39">
        <v>0</v>
      </c>
    </row>
    <row r="6" spans="1:33" ht="15.75" customHeight="1" x14ac:dyDescent="0.2">
      <c r="A6" s="28" t="s">
        <v>37</v>
      </c>
      <c r="B6" s="28"/>
      <c r="C6" s="15" t="str">
        <f t="shared" si="4"/>
        <v xml:space="preserve"> - </v>
      </c>
      <c r="D6" s="29">
        <v>0</v>
      </c>
      <c r="E6" s="29">
        <v>0</v>
      </c>
      <c r="F6" s="30">
        <v>0</v>
      </c>
      <c r="G6" s="30">
        <v>0</v>
      </c>
      <c r="H6" s="31" t="e">
        <f t="shared" si="1"/>
        <v>#DIV/0!</v>
      </c>
      <c r="I6" s="31" t="e">
        <f t="shared" si="2"/>
        <v>#DIV/0!</v>
      </c>
      <c r="J6" s="32">
        <f t="shared" si="5"/>
        <v>0</v>
      </c>
      <c r="K6" s="32" t="e">
        <f t="shared" si="3"/>
        <v>#DIV/0!</v>
      </c>
      <c r="L6" s="29">
        <v>0</v>
      </c>
      <c r="M6" s="33" t="str">
        <f t="shared" si="6"/>
        <v>-</v>
      </c>
      <c r="N6" s="29">
        <v>0</v>
      </c>
      <c r="O6" s="34">
        <f t="shared" ref="O6:P6" si="14">D6/7</f>
        <v>0</v>
      </c>
      <c r="P6" s="34">
        <f t="shared" si="14"/>
        <v>0</v>
      </c>
      <c r="Q6" s="29" t="e">
        <f t="shared" si="8"/>
        <v>#DIV/0!</v>
      </c>
      <c r="R6" s="29"/>
      <c r="S6" s="35" t="e">
        <v>#N/A</v>
      </c>
      <c r="T6" s="28">
        <v>1300</v>
      </c>
      <c r="U6" s="36">
        <v>50</v>
      </c>
      <c r="V6" s="37" t="s">
        <v>302</v>
      </c>
      <c r="W6" s="28">
        <v>0</v>
      </c>
      <c r="X6" s="38">
        <f t="shared" si="9"/>
        <v>0</v>
      </c>
      <c r="Y6" s="39">
        <f t="shared" si="10"/>
        <v>0</v>
      </c>
      <c r="Z6" s="28">
        <v>0</v>
      </c>
      <c r="AA6" s="28" t="e">
        <v>#N/A</v>
      </c>
      <c r="AB6" s="40" t="e">
        <f t="shared" si="11"/>
        <v>#N/A</v>
      </c>
      <c r="AC6" s="41" t="e">
        <v>#N/A</v>
      </c>
      <c r="AD6" s="39">
        <f t="shared" si="12"/>
        <v>0</v>
      </c>
      <c r="AE6" s="39">
        <v>0</v>
      </c>
      <c r="AF6" s="39">
        <v>-1.623374358974359</v>
      </c>
      <c r="AG6" s="39">
        <v>0</v>
      </c>
    </row>
    <row r="7" spans="1:33" ht="15.75" customHeight="1" x14ac:dyDescent="0.2">
      <c r="A7" s="28" t="s">
        <v>40</v>
      </c>
      <c r="B7" s="28"/>
      <c r="C7" s="15" t="str">
        <f t="shared" si="4"/>
        <v xml:space="preserve"> - </v>
      </c>
      <c r="D7" s="29">
        <v>0</v>
      </c>
      <c r="E7" s="29">
        <v>0</v>
      </c>
      <c r="F7" s="30">
        <v>0</v>
      </c>
      <c r="G7" s="30">
        <v>0</v>
      </c>
      <c r="H7" s="31" t="e">
        <f t="shared" si="1"/>
        <v>#DIV/0!</v>
      </c>
      <c r="I7" s="31" t="e">
        <f t="shared" si="2"/>
        <v>#DIV/0!</v>
      </c>
      <c r="J7" s="32">
        <f t="shared" si="5"/>
        <v>0</v>
      </c>
      <c r="K7" s="32" t="e">
        <f t="shared" si="3"/>
        <v>#DIV/0!</v>
      </c>
      <c r="L7" s="29">
        <v>0</v>
      </c>
      <c r="M7" s="33" t="str">
        <f t="shared" si="6"/>
        <v>-</v>
      </c>
      <c r="N7" s="29">
        <v>0</v>
      </c>
      <c r="O7" s="34">
        <f t="shared" ref="O7:P7" si="15">D7/7</f>
        <v>0</v>
      </c>
      <c r="P7" s="34">
        <f t="shared" si="15"/>
        <v>0</v>
      </c>
      <c r="Q7" s="29" t="e">
        <f t="shared" si="8"/>
        <v>#DIV/0!</v>
      </c>
      <c r="R7" s="29"/>
      <c r="S7" s="35" t="e">
        <v>#N/A</v>
      </c>
      <c r="T7" s="28">
        <v>1100</v>
      </c>
      <c r="U7" s="36">
        <v>50</v>
      </c>
      <c r="V7" s="37" t="s">
        <v>303</v>
      </c>
      <c r="W7" s="28">
        <v>0</v>
      </c>
      <c r="X7" s="38">
        <f t="shared" si="9"/>
        <v>0</v>
      </c>
      <c r="Y7" s="39">
        <f t="shared" si="10"/>
        <v>0</v>
      </c>
      <c r="Z7" s="28">
        <v>0</v>
      </c>
      <c r="AA7" s="28" t="e">
        <v>#N/A</v>
      </c>
      <c r="AB7" s="40" t="e">
        <f t="shared" si="11"/>
        <v>#N/A</v>
      </c>
      <c r="AC7" s="41" t="e">
        <v>#N/A</v>
      </c>
      <c r="AD7" s="39">
        <f t="shared" si="12"/>
        <v>0</v>
      </c>
      <c r="AE7" s="39">
        <v>0</v>
      </c>
      <c r="AF7" s="39">
        <v>-1.623374358974359</v>
      </c>
      <c r="AG7" s="39">
        <v>0</v>
      </c>
    </row>
    <row r="8" spans="1:33" ht="15.75" customHeight="1" x14ac:dyDescent="0.2">
      <c r="A8" s="28" t="s">
        <v>42</v>
      </c>
      <c r="B8" s="28" t="s">
        <v>304</v>
      </c>
      <c r="C8" s="15">
        <f t="shared" si="4"/>
        <v>6.59</v>
      </c>
      <c r="D8" s="29">
        <v>1</v>
      </c>
      <c r="E8" s="29">
        <v>0</v>
      </c>
      <c r="F8" s="30">
        <v>6.59</v>
      </c>
      <c r="G8" s="30">
        <v>0</v>
      </c>
      <c r="H8" s="31">
        <f t="shared" si="1"/>
        <v>0</v>
      </c>
      <c r="I8" s="31">
        <f t="shared" si="2"/>
        <v>6.8688232328022195E-2</v>
      </c>
      <c r="J8" s="32">
        <f t="shared" si="5"/>
        <v>0.45265545104166627</v>
      </c>
      <c r="K8" s="32">
        <f t="shared" si="3"/>
        <v>0.45265545104166627</v>
      </c>
      <c r="L8" s="29">
        <v>3</v>
      </c>
      <c r="M8" s="33">
        <f t="shared" si="6"/>
        <v>0.33333333333333331</v>
      </c>
      <c r="N8" s="29">
        <v>99</v>
      </c>
      <c r="O8" s="34">
        <f t="shared" ref="O8:P8" si="16">D8/7</f>
        <v>0.14285714285714285</v>
      </c>
      <c r="P8" s="34">
        <f t="shared" si="16"/>
        <v>0</v>
      </c>
      <c r="Q8" s="29">
        <f t="shared" si="8"/>
        <v>693</v>
      </c>
      <c r="R8" s="29"/>
      <c r="S8" s="35">
        <v>1.5491329479768701</v>
      </c>
      <c r="T8" s="28">
        <v>1050</v>
      </c>
      <c r="U8" s="36">
        <v>200</v>
      </c>
      <c r="V8" s="37" t="s">
        <v>305</v>
      </c>
      <c r="W8" s="28">
        <v>0</v>
      </c>
      <c r="X8" s="38">
        <f t="shared" si="9"/>
        <v>0</v>
      </c>
      <c r="Y8" s="39">
        <f t="shared" si="10"/>
        <v>0</v>
      </c>
      <c r="Z8" s="28">
        <v>0</v>
      </c>
      <c r="AA8" s="28" t="s">
        <v>34</v>
      </c>
      <c r="AB8" s="40">
        <f t="shared" si="11"/>
        <v>-0.69</v>
      </c>
      <c r="AC8" s="41">
        <v>3.5394600694444438E-2</v>
      </c>
      <c r="AD8" s="39">
        <f t="shared" si="12"/>
        <v>-4.8844548958333317E-2</v>
      </c>
      <c r="AE8" s="39">
        <v>-3.48</v>
      </c>
      <c r="AF8" s="39">
        <v>-1.62</v>
      </c>
      <c r="AG8" s="39">
        <v>0</v>
      </c>
    </row>
    <row r="9" spans="1:33" ht="15.75" customHeight="1" x14ac:dyDescent="0.2">
      <c r="A9" s="28" t="s">
        <v>44</v>
      </c>
      <c r="B9" s="28" t="s">
        <v>306</v>
      </c>
      <c r="C9" s="15">
        <f t="shared" si="4"/>
        <v>6.4144444444444453</v>
      </c>
      <c r="D9" s="29">
        <v>9</v>
      </c>
      <c r="E9" s="29">
        <v>0</v>
      </c>
      <c r="F9" s="30">
        <v>57.730000000000004</v>
      </c>
      <c r="G9" s="30">
        <v>-0.08</v>
      </c>
      <c r="H9" s="31">
        <f t="shared" si="1"/>
        <v>1.3857613026156243E-3</v>
      </c>
      <c r="I9" s="31">
        <f t="shared" si="2"/>
        <v>4.0957358221795324E-2</v>
      </c>
      <c r="J9" s="32">
        <f t="shared" si="5"/>
        <v>2.3644682901442442</v>
      </c>
      <c r="K9" s="32">
        <f t="shared" si="3"/>
        <v>0.262718698904916</v>
      </c>
      <c r="L9" s="29">
        <v>28</v>
      </c>
      <c r="M9" s="33">
        <f t="shared" si="6"/>
        <v>0.32142857142857145</v>
      </c>
      <c r="N9" s="29">
        <v>90</v>
      </c>
      <c r="O9" s="34">
        <f t="shared" ref="O9:P9" si="17">D9/7</f>
        <v>1.2857142857142858</v>
      </c>
      <c r="P9" s="34">
        <f t="shared" si="17"/>
        <v>0</v>
      </c>
      <c r="Q9" s="29">
        <f t="shared" si="8"/>
        <v>70</v>
      </c>
      <c r="R9" s="29"/>
      <c r="S9" s="35">
        <v>1.68831168831168</v>
      </c>
      <c r="T9" s="28">
        <v>1050</v>
      </c>
      <c r="U9" s="36">
        <v>200</v>
      </c>
      <c r="V9" s="37" t="s">
        <v>307</v>
      </c>
      <c r="W9" s="28">
        <v>0</v>
      </c>
      <c r="X9" s="38">
        <f t="shared" si="9"/>
        <v>0</v>
      </c>
      <c r="Y9" s="39">
        <f t="shared" si="10"/>
        <v>0</v>
      </c>
      <c r="Z9" s="28">
        <v>0</v>
      </c>
      <c r="AA9" s="28" t="s">
        <v>34</v>
      </c>
      <c r="AB9" s="40">
        <f t="shared" si="11"/>
        <v>-0.69</v>
      </c>
      <c r="AC9" s="41">
        <v>3.5394600694444438E-2</v>
      </c>
      <c r="AD9" s="39">
        <f t="shared" si="12"/>
        <v>-0.43960094062499988</v>
      </c>
      <c r="AE9" s="39">
        <v>-3.48</v>
      </c>
      <c r="AF9" s="39">
        <v>-1.65182564102564</v>
      </c>
      <c r="AG9" s="39">
        <v>0</v>
      </c>
    </row>
    <row r="10" spans="1:33" ht="15.75" customHeight="1" x14ac:dyDescent="0.2">
      <c r="A10" s="28" t="s">
        <v>46</v>
      </c>
      <c r="B10" s="28" t="s">
        <v>47</v>
      </c>
      <c r="C10" s="15">
        <f t="shared" si="4"/>
        <v>7.59</v>
      </c>
      <c r="D10" s="29">
        <v>4</v>
      </c>
      <c r="E10" s="29">
        <v>0</v>
      </c>
      <c r="F10" s="30">
        <v>30.36</v>
      </c>
      <c r="G10" s="30">
        <v>-0.08</v>
      </c>
      <c r="H10" s="31">
        <f t="shared" si="1"/>
        <v>2.635046113306983E-3</v>
      </c>
      <c r="I10" s="31">
        <f t="shared" si="2"/>
        <v>0.1647997114645621</v>
      </c>
      <c r="J10" s="32">
        <f t="shared" si="5"/>
        <v>5.0033192400641049</v>
      </c>
      <c r="K10" s="32">
        <f t="shared" si="3"/>
        <v>1.2508298100160262</v>
      </c>
      <c r="L10" s="29">
        <v>15</v>
      </c>
      <c r="M10" s="33">
        <f t="shared" si="6"/>
        <v>0.26666666666666666</v>
      </c>
      <c r="N10" s="29">
        <v>55</v>
      </c>
      <c r="O10" s="34">
        <f t="shared" ref="O10:P10" si="18">D10/7</f>
        <v>0.5714285714285714</v>
      </c>
      <c r="P10" s="34">
        <f t="shared" si="18"/>
        <v>0</v>
      </c>
      <c r="Q10" s="29">
        <f t="shared" si="8"/>
        <v>96</v>
      </c>
      <c r="R10" s="29"/>
      <c r="S10" s="35">
        <v>2.1565217391304299</v>
      </c>
      <c r="T10" s="28">
        <v>1050</v>
      </c>
      <c r="U10" s="36">
        <v>200</v>
      </c>
      <c r="V10" s="37" t="s">
        <v>308</v>
      </c>
      <c r="W10" s="28">
        <v>0</v>
      </c>
      <c r="X10" s="38">
        <f t="shared" si="9"/>
        <v>0</v>
      </c>
      <c r="Y10" s="39">
        <f t="shared" si="10"/>
        <v>0</v>
      </c>
      <c r="Z10" s="28">
        <v>0</v>
      </c>
      <c r="AA10" s="28" t="s">
        <v>34</v>
      </c>
      <c r="AB10" s="40">
        <f t="shared" si="11"/>
        <v>-0.69</v>
      </c>
      <c r="AC10" s="41">
        <v>3.5394600694444438E-2</v>
      </c>
      <c r="AD10" s="39">
        <f t="shared" si="12"/>
        <v>-0.19537819583333327</v>
      </c>
      <c r="AE10" s="39">
        <v>-3.48</v>
      </c>
      <c r="AF10" s="39">
        <v>-1.65182564102564</v>
      </c>
      <c r="AG10" s="39">
        <v>0</v>
      </c>
    </row>
    <row r="11" spans="1:33" ht="15.75" customHeight="1" x14ac:dyDescent="0.2">
      <c r="A11" s="28" t="s">
        <v>48</v>
      </c>
      <c r="B11" s="28" t="s">
        <v>47</v>
      </c>
      <c r="C11" s="15">
        <f t="shared" si="4"/>
        <v>7.5900000000000007</v>
      </c>
      <c r="D11" s="29">
        <v>5</v>
      </c>
      <c r="E11" s="29">
        <v>0</v>
      </c>
      <c r="F11" s="30">
        <v>37.950000000000003</v>
      </c>
      <c r="G11" s="30">
        <v>0</v>
      </c>
      <c r="H11" s="31">
        <f t="shared" si="1"/>
        <v>0</v>
      </c>
      <c r="I11" s="31">
        <f t="shared" si="2"/>
        <v>0.16743475757786919</v>
      </c>
      <c r="J11" s="32">
        <f t="shared" si="5"/>
        <v>6.3541490500801361</v>
      </c>
      <c r="K11" s="32">
        <f t="shared" si="3"/>
        <v>1.2708298100160271</v>
      </c>
      <c r="L11" s="29">
        <v>19</v>
      </c>
      <c r="M11" s="33">
        <f t="shared" si="6"/>
        <v>0.26315789473684209</v>
      </c>
      <c r="N11" s="29">
        <v>49</v>
      </c>
      <c r="O11" s="34">
        <f t="shared" ref="O11:P11" si="19">D11/7</f>
        <v>0.7142857142857143</v>
      </c>
      <c r="P11" s="34">
        <f t="shared" si="19"/>
        <v>0</v>
      </c>
      <c r="Q11" s="29">
        <f t="shared" si="8"/>
        <v>68</v>
      </c>
      <c r="R11" s="29"/>
      <c r="S11" s="35">
        <v>1.5802469135802399</v>
      </c>
      <c r="T11" s="28">
        <v>1050</v>
      </c>
      <c r="U11" s="36">
        <v>200</v>
      </c>
      <c r="V11" s="37" t="s">
        <v>309</v>
      </c>
      <c r="W11" s="28">
        <v>0</v>
      </c>
      <c r="X11" s="38">
        <f t="shared" si="9"/>
        <v>0</v>
      </c>
      <c r="Y11" s="39">
        <f t="shared" si="10"/>
        <v>0</v>
      </c>
      <c r="Z11" s="28">
        <v>0</v>
      </c>
      <c r="AA11" s="28" t="s">
        <v>34</v>
      </c>
      <c r="AB11" s="40">
        <f t="shared" si="11"/>
        <v>-0.69</v>
      </c>
      <c r="AC11" s="41">
        <v>3.5394600694444438E-2</v>
      </c>
      <c r="AD11" s="39">
        <f t="shared" si="12"/>
        <v>-0.24422274479166659</v>
      </c>
      <c r="AE11" s="39">
        <v>-3.48</v>
      </c>
      <c r="AF11" s="39">
        <v>-1.65182564102564</v>
      </c>
      <c r="AG11" s="39">
        <v>0</v>
      </c>
    </row>
    <row r="12" spans="1:33" ht="15.75" customHeight="1" x14ac:dyDescent="0.2">
      <c r="A12" s="28" t="s">
        <v>49</v>
      </c>
      <c r="B12" s="28" t="s">
        <v>310</v>
      </c>
      <c r="C12" s="15" t="str">
        <f t="shared" si="4"/>
        <v xml:space="preserve"> - </v>
      </c>
      <c r="D12" s="29">
        <v>0</v>
      </c>
      <c r="E12" s="29">
        <v>0</v>
      </c>
      <c r="F12" s="30">
        <v>0</v>
      </c>
      <c r="G12" s="30">
        <v>-0.13</v>
      </c>
      <c r="H12" s="31" t="e">
        <f t="shared" si="1"/>
        <v>#DIV/0!</v>
      </c>
      <c r="I12" s="31" t="e">
        <f t="shared" si="2"/>
        <v>#DIV/0!</v>
      </c>
      <c r="J12" s="32">
        <f t="shared" si="5"/>
        <v>-0.13</v>
      </c>
      <c r="K12" s="32" t="e">
        <f t="shared" si="3"/>
        <v>#DIV/0!</v>
      </c>
      <c r="L12" s="29">
        <v>0</v>
      </c>
      <c r="M12" s="33" t="str">
        <f t="shared" si="6"/>
        <v>-</v>
      </c>
      <c r="N12" s="29">
        <v>70</v>
      </c>
      <c r="O12" s="34">
        <f t="shared" ref="O12:P12" si="20">D12/7</f>
        <v>0</v>
      </c>
      <c r="P12" s="34">
        <f t="shared" si="20"/>
        <v>0</v>
      </c>
      <c r="Q12" s="29" t="e">
        <f t="shared" si="8"/>
        <v>#DIV/0!</v>
      </c>
      <c r="R12" s="29"/>
      <c r="S12" s="35">
        <v>1.0989010989010899</v>
      </c>
      <c r="T12" s="28">
        <v>850</v>
      </c>
      <c r="U12" s="36">
        <v>200</v>
      </c>
      <c r="V12" s="37" t="s">
        <v>311</v>
      </c>
      <c r="W12" s="28">
        <v>0</v>
      </c>
      <c r="X12" s="38">
        <f t="shared" si="9"/>
        <v>0</v>
      </c>
      <c r="Y12" s="39">
        <f t="shared" si="10"/>
        <v>0</v>
      </c>
      <c r="Z12" s="28">
        <v>0</v>
      </c>
      <c r="AA12" s="28" t="s">
        <v>34</v>
      </c>
      <c r="AB12" s="40">
        <f t="shared" si="11"/>
        <v>-0.69</v>
      </c>
      <c r="AC12" s="41">
        <v>3.5394600694444438E-2</v>
      </c>
      <c r="AD12" s="39">
        <f t="shared" si="12"/>
        <v>0</v>
      </c>
      <c r="AE12" s="39">
        <v>-3.48</v>
      </c>
      <c r="AF12" s="39">
        <v>-1.65182564102564</v>
      </c>
      <c r="AG12" s="39">
        <v>0</v>
      </c>
    </row>
    <row r="13" spans="1:33" ht="15.75" customHeight="1" x14ac:dyDescent="0.2">
      <c r="A13" s="28" t="s">
        <v>50</v>
      </c>
      <c r="B13" s="28" t="s">
        <v>312</v>
      </c>
      <c r="C13" s="15">
        <f t="shared" si="4"/>
        <v>6.52</v>
      </c>
      <c r="D13" s="29">
        <v>1</v>
      </c>
      <c r="E13" s="29">
        <v>3</v>
      </c>
      <c r="F13" s="32">
        <v>6.52</v>
      </c>
      <c r="G13" s="30">
        <v>-0.06</v>
      </c>
      <c r="H13" s="31">
        <f t="shared" si="1"/>
        <v>9.202453987730062E-3</v>
      </c>
      <c r="I13" s="31">
        <f t="shared" si="2"/>
        <v>4.3919547705777086E-2</v>
      </c>
      <c r="J13" s="32">
        <f t="shared" si="5"/>
        <v>0.2863554510416666</v>
      </c>
      <c r="K13" s="32">
        <f t="shared" si="3"/>
        <v>0.2863554510416666</v>
      </c>
      <c r="L13" s="29">
        <v>0</v>
      </c>
      <c r="M13" s="33" t="str">
        <f t="shared" si="6"/>
        <v>-</v>
      </c>
      <c r="N13" s="29">
        <v>292</v>
      </c>
      <c r="O13" s="34">
        <f t="shared" ref="O13:P13" si="21">D13/7</f>
        <v>0.14285714285714285</v>
      </c>
      <c r="P13" s="34">
        <f t="shared" si="21"/>
        <v>0.42857142857142855</v>
      </c>
      <c r="Q13" s="29">
        <f t="shared" si="8"/>
        <v>511</v>
      </c>
      <c r="R13" s="29"/>
      <c r="S13" s="35">
        <v>0.27906976744186002</v>
      </c>
      <c r="T13" s="28">
        <v>650</v>
      </c>
      <c r="U13" s="36" t="s">
        <v>33</v>
      </c>
      <c r="V13" s="37" t="s">
        <v>33</v>
      </c>
      <c r="W13" s="28">
        <v>0</v>
      </c>
      <c r="X13" s="38">
        <f t="shared" si="9"/>
        <v>0</v>
      </c>
      <c r="Y13" s="39">
        <f t="shared" si="10"/>
        <v>0</v>
      </c>
      <c r="Z13" s="28">
        <v>0</v>
      </c>
      <c r="AA13" s="28" t="s">
        <v>34</v>
      </c>
      <c r="AB13" s="40">
        <f t="shared" si="11"/>
        <v>-0.69</v>
      </c>
      <c r="AC13" s="41">
        <v>3.5394600694444438E-2</v>
      </c>
      <c r="AD13" s="39">
        <f t="shared" si="12"/>
        <v>-4.8844548958333317E-2</v>
      </c>
      <c r="AE13" s="39">
        <v>-3.48</v>
      </c>
      <c r="AF13" s="39">
        <v>-1.6668000000000001</v>
      </c>
      <c r="AG13" s="39">
        <v>0</v>
      </c>
    </row>
    <row r="14" spans="1:33" ht="15.75" customHeight="1" x14ac:dyDescent="0.2">
      <c r="A14" s="28" t="s">
        <v>51</v>
      </c>
      <c r="B14" s="28"/>
      <c r="C14" s="15">
        <f t="shared" si="4"/>
        <v>6.741428571428572</v>
      </c>
      <c r="D14" s="29">
        <v>7</v>
      </c>
      <c r="E14" s="29">
        <v>0</v>
      </c>
      <c r="F14" s="32">
        <v>47.190000000000005</v>
      </c>
      <c r="G14" s="30">
        <v>0</v>
      </c>
      <c r="H14" s="31">
        <f t="shared" si="1"/>
        <v>0</v>
      </c>
      <c r="I14" s="31">
        <f t="shared" si="2"/>
        <v>8.1626389330366741E-2</v>
      </c>
      <c r="J14" s="32">
        <f t="shared" si="5"/>
        <v>3.851949312500007</v>
      </c>
      <c r="K14" s="32">
        <f t="shared" si="3"/>
        <v>0.55027847321428669</v>
      </c>
      <c r="L14" s="29">
        <v>18</v>
      </c>
      <c r="M14" s="33">
        <f t="shared" si="6"/>
        <v>0.3888888888888889</v>
      </c>
      <c r="N14" s="29">
        <v>261</v>
      </c>
      <c r="O14" s="34">
        <f t="shared" ref="O14:P14" si="22">D14/7</f>
        <v>1</v>
      </c>
      <c r="P14" s="34">
        <f t="shared" si="22"/>
        <v>0</v>
      </c>
      <c r="Q14" s="29">
        <f t="shared" si="8"/>
        <v>261</v>
      </c>
      <c r="R14" s="29"/>
      <c r="S14" s="35">
        <v>0.36666666666666597</v>
      </c>
      <c r="T14" s="28">
        <v>650</v>
      </c>
      <c r="U14" s="36" t="s">
        <v>33</v>
      </c>
      <c r="V14" s="37" t="s">
        <v>33</v>
      </c>
      <c r="W14" s="28">
        <v>0</v>
      </c>
      <c r="X14" s="38">
        <f t="shared" si="9"/>
        <v>0</v>
      </c>
      <c r="Y14" s="39">
        <f t="shared" si="10"/>
        <v>0</v>
      </c>
      <c r="Z14" s="28">
        <v>0</v>
      </c>
      <c r="AA14" s="28" t="s">
        <v>34</v>
      </c>
      <c r="AB14" s="40">
        <f t="shared" si="11"/>
        <v>-0.69</v>
      </c>
      <c r="AC14" s="41">
        <v>2.4011458333333333E-2</v>
      </c>
      <c r="AD14" s="39">
        <f t="shared" si="12"/>
        <v>-0.23195068749999995</v>
      </c>
      <c r="AE14" s="39">
        <v>-3.48</v>
      </c>
      <c r="AF14" s="39">
        <v>-1.6668000000000001</v>
      </c>
      <c r="AG14" s="39">
        <v>0</v>
      </c>
    </row>
    <row r="15" spans="1:33" ht="15.75" customHeight="1" x14ac:dyDescent="0.2">
      <c r="A15" s="28" t="s">
        <v>53</v>
      </c>
      <c r="B15" s="28" t="s">
        <v>313</v>
      </c>
      <c r="C15" s="15">
        <f t="shared" si="4"/>
        <v>6.9899999999999993</v>
      </c>
      <c r="D15" s="29">
        <v>3</v>
      </c>
      <c r="E15" s="29">
        <v>0</v>
      </c>
      <c r="F15" s="32">
        <v>20.97</v>
      </c>
      <c r="G15" s="30">
        <v>-0.06</v>
      </c>
      <c r="H15" s="31">
        <f t="shared" si="1"/>
        <v>2.8612303290414878E-3</v>
      </c>
      <c r="I15" s="31">
        <f t="shared" si="2"/>
        <v>0.10608929721030042</v>
      </c>
      <c r="J15" s="32">
        <f t="shared" si="5"/>
        <v>2.2246925624999996</v>
      </c>
      <c r="K15" s="32">
        <f t="shared" si="3"/>
        <v>0.74156418749999986</v>
      </c>
      <c r="L15" s="29">
        <v>13</v>
      </c>
      <c r="M15" s="33">
        <f t="shared" si="6"/>
        <v>0.23076923076923078</v>
      </c>
      <c r="N15" s="29">
        <v>258</v>
      </c>
      <c r="O15" s="34">
        <f t="shared" ref="O15:P15" si="23">D15/7</f>
        <v>0.42857142857142855</v>
      </c>
      <c r="P15" s="34">
        <f t="shared" si="23"/>
        <v>0</v>
      </c>
      <c r="Q15" s="29">
        <f t="shared" si="8"/>
        <v>602</v>
      </c>
      <c r="R15" s="29"/>
      <c r="S15" s="35">
        <v>0.40909090909090901</v>
      </c>
      <c r="T15" s="28">
        <v>650</v>
      </c>
      <c r="U15" s="36" t="s">
        <v>33</v>
      </c>
      <c r="V15" s="37" t="s">
        <v>33</v>
      </c>
      <c r="W15" s="28">
        <v>1</v>
      </c>
      <c r="X15" s="38">
        <f t="shared" si="9"/>
        <v>0.33333333333333331</v>
      </c>
      <c r="Y15" s="39">
        <f t="shared" si="10"/>
        <v>0.06</v>
      </c>
      <c r="Z15" s="28">
        <v>0</v>
      </c>
      <c r="AA15" s="28" t="s">
        <v>34</v>
      </c>
      <c r="AB15" s="40">
        <f t="shared" si="11"/>
        <v>-0.69</v>
      </c>
      <c r="AC15" s="41">
        <v>2.4011458333333333E-2</v>
      </c>
      <c r="AD15" s="39">
        <f t="shared" si="12"/>
        <v>-9.9407437499999973E-2</v>
      </c>
      <c r="AE15" s="39">
        <v>-3.48</v>
      </c>
      <c r="AF15" s="39">
        <v>-1.6668000000000001</v>
      </c>
      <c r="AG15" s="39">
        <v>0</v>
      </c>
    </row>
    <row r="16" spans="1:33" ht="15.75" customHeight="1" x14ac:dyDescent="0.2">
      <c r="A16" s="28" t="s">
        <v>54</v>
      </c>
      <c r="B16" s="28" t="s">
        <v>314</v>
      </c>
      <c r="C16" s="15">
        <f t="shared" si="4"/>
        <v>6.9871428571428558</v>
      </c>
      <c r="D16" s="29">
        <v>35</v>
      </c>
      <c r="E16" s="29">
        <v>0</v>
      </c>
      <c r="F16" s="32">
        <v>244.54999999999995</v>
      </c>
      <c r="G16" s="30">
        <v>-2.69</v>
      </c>
      <c r="H16" s="31">
        <f t="shared" si="1"/>
        <v>1.0999795542833778E-2</v>
      </c>
      <c r="I16" s="31">
        <f t="shared" si="2"/>
        <v>9.7647706246166283E-2</v>
      </c>
      <c r="J16" s="32">
        <f t="shared" si="5"/>
        <v>23.87974656249996</v>
      </c>
      <c r="K16" s="32">
        <f t="shared" si="3"/>
        <v>0.68227847321428459</v>
      </c>
      <c r="L16" s="29">
        <v>24</v>
      </c>
      <c r="M16" s="33">
        <f t="shared" si="6"/>
        <v>1.4583333333333333</v>
      </c>
      <c r="N16" s="29">
        <v>224</v>
      </c>
      <c r="O16" s="34">
        <f t="shared" ref="O16:P16" si="24">D16/7</f>
        <v>5</v>
      </c>
      <c r="P16" s="34">
        <f t="shared" si="24"/>
        <v>0</v>
      </c>
      <c r="Q16" s="29">
        <f t="shared" si="8"/>
        <v>44</v>
      </c>
      <c r="R16" s="29"/>
      <c r="S16" s="35">
        <v>0.79495268138801201</v>
      </c>
      <c r="T16" s="28">
        <v>650</v>
      </c>
      <c r="U16" s="36" t="s">
        <v>33</v>
      </c>
      <c r="V16" s="37" t="s">
        <v>33</v>
      </c>
      <c r="W16" s="28">
        <v>0</v>
      </c>
      <c r="X16" s="38">
        <f t="shared" si="9"/>
        <v>0</v>
      </c>
      <c r="Y16" s="39">
        <f t="shared" si="10"/>
        <v>0</v>
      </c>
      <c r="Z16" s="28">
        <v>0</v>
      </c>
      <c r="AA16" s="28" t="s">
        <v>34</v>
      </c>
      <c r="AB16" s="40">
        <f t="shared" si="11"/>
        <v>-0.69</v>
      </c>
      <c r="AC16" s="41">
        <v>2.4011458333333333E-2</v>
      </c>
      <c r="AD16" s="39">
        <f t="shared" si="12"/>
        <v>-1.1597534374999998</v>
      </c>
      <c r="AE16" s="39">
        <v>-3.48</v>
      </c>
      <c r="AF16" s="39">
        <v>-1.6668000000000001</v>
      </c>
      <c r="AG16" s="39">
        <v>0</v>
      </c>
    </row>
    <row r="17" spans="1:33" ht="15.75" customHeight="1" x14ac:dyDescent="0.2">
      <c r="A17" s="28" t="s">
        <v>55</v>
      </c>
      <c r="B17" s="28" t="s">
        <v>47</v>
      </c>
      <c r="C17" s="15">
        <f t="shared" si="4"/>
        <v>7.9850000000000012</v>
      </c>
      <c r="D17" s="29">
        <v>10</v>
      </c>
      <c r="E17" s="29">
        <v>0</v>
      </c>
      <c r="F17" s="32">
        <v>79.850000000000009</v>
      </c>
      <c r="G17" s="30">
        <v>-0.80999999999999994</v>
      </c>
      <c r="H17" s="31">
        <f t="shared" si="1"/>
        <v>1.0144020037570443E-2</v>
      </c>
      <c r="I17" s="31">
        <f t="shared" si="2"/>
        <v>0.19114767532874141</v>
      </c>
      <c r="J17" s="32">
        <f t="shared" si="5"/>
        <v>15.263141875000004</v>
      </c>
      <c r="K17" s="32">
        <f t="shared" si="3"/>
        <v>1.5263141875000004</v>
      </c>
      <c r="L17" s="29">
        <v>12</v>
      </c>
      <c r="M17" s="33">
        <f t="shared" si="6"/>
        <v>0.83333333333333337</v>
      </c>
      <c r="N17" s="29">
        <v>216</v>
      </c>
      <c r="O17" s="34">
        <f t="shared" ref="O17:P17" si="25">D17/7</f>
        <v>1.4285714285714286</v>
      </c>
      <c r="P17" s="34">
        <f t="shared" si="25"/>
        <v>0</v>
      </c>
      <c r="Q17" s="29">
        <f t="shared" si="8"/>
        <v>151</v>
      </c>
      <c r="R17" s="29"/>
      <c r="S17" s="35">
        <v>0.50251256281406997</v>
      </c>
      <c r="T17" s="28">
        <v>650</v>
      </c>
      <c r="U17" s="36" t="s">
        <v>33</v>
      </c>
      <c r="V17" s="37" t="s">
        <v>33</v>
      </c>
      <c r="W17" s="28">
        <v>1</v>
      </c>
      <c r="X17" s="38">
        <f t="shared" si="9"/>
        <v>0.1</v>
      </c>
      <c r="Y17" s="39">
        <f t="shared" si="10"/>
        <v>0.80999999999999994</v>
      </c>
      <c r="Z17" s="28">
        <v>0</v>
      </c>
      <c r="AA17" s="28" t="s">
        <v>34</v>
      </c>
      <c r="AB17" s="40">
        <f t="shared" si="11"/>
        <v>-0.69</v>
      </c>
      <c r="AC17" s="41">
        <v>2.4011458333333333E-2</v>
      </c>
      <c r="AD17" s="39">
        <f t="shared" si="12"/>
        <v>-0.33135812499999995</v>
      </c>
      <c r="AE17" s="39">
        <v>-3.48</v>
      </c>
      <c r="AF17" s="39">
        <v>-1.6668000000000001</v>
      </c>
      <c r="AG17" s="39">
        <v>0</v>
      </c>
    </row>
    <row r="18" spans="1:33" ht="15.75" customHeight="1" x14ac:dyDescent="0.2">
      <c r="A18" s="28" t="s">
        <v>56</v>
      </c>
      <c r="B18" s="28" t="s">
        <v>315</v>
      </c>
      <c r="C18" s="15">
        <f t="shared" si="4"/>
        <v>7.99</v>
      </c>
      <c r="D18" s="29">
        <v>1</v>
      </c>
      <c r="E18" s="29">
        <v>0</v>
      </c>
      <c r="F18" s="32">
        <v>7.99</v>
      </c>
      <c r="G18" s="30">
        <v>-1.6</v>
      </c>
      <c r="H18" s="31">
        <f t="shared" si="1"/>
        <v>0.20025031289111389</v>
      </c>
      <c r="I18" s="31">
        <f t="shared" si="2"/>
        <v>1.4473326032539801E-3</v>
      </c>
      <c r="J18" s="32">
        <f t="shared" si="5"/>
        <v>1.1564187499999302E-2</v>
      </c>
      <c r="K18" s="32">
        <f t="shared" si="3"/>
        <v>1.1564187499999302E-2</v>
      </c>
      <c r="L18" s="29">
        <v>10</v>
      </c>
      <c r="M18" s="33">
        <f t="shared" si="6"/>
        <v>0.1</v>
      </c>
      <c r="N18" s="29">
        <v>213</v>
      </c>
      <c r="O18" s="34">
        <f t="shared" ref="O18:P18" si="26">D18/7</f>
        <v>0.14285714285714285</v>
      </c>
      <c r="P18" s="34">
        <f t="shared" si="26"/>
        <v>0</v>
      </c>
      <c r="Q18" s="29">
        <f t="shared" si="8"/>
        <v>1491</v>
      </c>
      <c r="R18" s="29"/>
      <c r="S18" s="35">
        <v>0.51764705882352902</v>
      </c>
      <c r="T18" s="28">
        <v>650</v>
      </c>
      <c r="U18" s="36">
        <v>0</v>
      </c>
      <c r="V18" s="37" t="s">
        <v>33</v>
      </c>
      <c r="W18" s="28">
        <v>0</v>
      </c>
      <c r="X18" s="38">
        <f t="shared" si="9"/>
        <v>0</v>
      </c>
      <c r="Y18" s="39">
        <f t="shared" si="10"/>
        <v>0</v>
      </c>
      <c r="Z18" s="28">
        <v>0</v>
      </c>
      <c r="AA18" s="28" t="s">
        <v>34</v>
      </c>
      <c r="AB18" s="40">
        <f t="shared" si="11"/>
        <v>-0.69</v>
      </c>
      <c r="AC18" s="41">
        <v>2.4011458333333333E-2</v>
      </c>
      <c r="AD18" s="39">
        <f t="shared" si="12"/>
        <v>-3.3135812499999993E-2</v>
      </c>
      <c r="AE18" s="39">
        <v>-3.48</v>
      </c>
      <c r="AF18" s="39">
        <v>-1.6668000000000001</v>
      </c>
      <c r="AG18" s="39">
        <v>0</v>
      </c>
    </row>
    <row r="19" spans="1:33" ht="15.75" customHeight="1" x14ac:dyDescent="0.2">
      <c r="A19" s="28" t="s">
        <v>57</v>
      </c>
      <c r="B19" s="28" t="s">
        <v>316</v>
      </c>
      <c r="C19" s="15">
        <f t="shared" si="4"/>
        <v>8.0058333333333316</v>
      </c>
      <c r="D19" s="29">
        <v>12</v>
      </c>
      <c r="E19" s="29">
        <v>0</v>
      </c>
      <c r="F19" s="32">
        <v>96.069999999999979</v>
      </c>
      <c r="G19" s="30">
        <v>-35.89</v>
      </c>
      <c r="H19" s="31">
        <f t="shared" si="1"/>
        <v>0.37358176329759557</v>
      </c>
      <c r="I19" s="31">
        <f t="shared" si="2"/>
        <v>-0.18028239564900619</v>
      </c>
      <c r="J19" s="32">
        <f t="shared" si="5"/>
        <v>-17.319729750000022</v>
      </c>
      <c r="K19" s="32">
        <f t="shared" si="3"/>
        <v>-1.4433108125000018</v>
      </c>
      <c r="L19" s="29">
        <v>22</v>
      </c>
      <c r="M19" s="33">
        <f t="shared" si="6"/>
        <v>0.54545454545454541</v>
      </c>
      <c r="N19" s="29">
        <v>202</v>
      </c>
      <c r="O19" s="34">
        <f t="shared" ref="O19:P19" si="27">D19/7</f>
        <v>1.7142857142857142</v>
      </c>
      <c r="P19" s="34">
        <f t="shared" si="27"/>
        <v>0</v>
      </c>
      <c r="Q19" s="29">
        <f t="shared" si="8"/>
        <v>117</v>
      </c>
      <c r="R19" s="29"/>
      <c r="S19" s="35">
        <v>0.6</v>
      </c>
      <c r="T19" s="28">
        <v>650</v>
      </c>
      <c r="U19" s="36" t="s">
        <v>33</v>
      </c>
      <c r="V19" s="37" t="s">
        <v>33</v>
      </c>
      <c r="W19" s="28">
        <v>3</v>
      </c>
      <c r="X19" s="38">
        <f t="shared" si="9"/>
        <v>0.25</v>
      </c>
      <c r="Y19" s="39">
        <f t="shared" si="10"/>
        <v>8.9725000000000001</v>
      </c>
      <c r="Z19" s="28">
        <v>1</v>
      </c>
      <c r="AA19" s="28" t="s">
        <v>34</v>
      </c>
      <c r="AB19" s="40">
        <f t="shared" si="11"/>
        <v>-0.69</v>
      </c>
      <c r="AC19" s="41">
        <v>2.4011458333333333E-2</v>
      </c>
      <c r="AD19" s="39">
        <f t="shared" si="12"/>
        <v>-0.39762974999999989</v>
      </c>
      <c r="AE19" s="39">
        <v>-3.48</v>
      </c>
      <c r="AF19" s="39">
        <v>-1.7443000000000002</v>
      </c>
      <c r="AG19" s="39">
        <v>0</v>
      </c>
    </row>
    <row r="20" spans="1:33" ht="15.75" customHeight="1" x14ac:dyDescent="0.2">
      <c r="A20" s="28" t="s">
        <v>58</v>
      </c>
      <c r="B20" s="28" t="s">
        <v>317</v>
      </c>
      <c r="C20" s="15">
        <f t="shared" si="4"/>
        <v>8.0860317460317468</v>
      </c>
      <c r="D20" s="29">
        <v>63</v>
      </c>
      <c r="E20" s="29">
        <v>0</v>
      </c>
      <c r="F20" s="32">
        <v>509.42</v>
      </c>
      <c r="G20" s="30">
        <v>-30.94</v>
      </c>
      <c r="H20" s="31">
        <f t="shared" si="1"/>
        <v>6.0735738683208355E-2</v>
      </c>
      <c r="I20" s="31">
        <f t="shared" si="2"/>
        <v>0.13907687922048606</v>
      </c>
      <c r="J20" s="32">
        <f t="shared" si="5"/>
        <v>70.848543812500012</v>
      </c>
      <c r="K20" s="32">
        <f t="shared" si="3"/>
        <v>1.1245800605158731</v>
      </c>
      <c r="L20" s="29">
        <v>33</v>
      </c>
      <c r="M20" s="33">
        <f t="shared" si="6"/>
        <v>1.9090909090909092</v>
      </c>
      <c r="N20" s="29">
        <v>121</v>
      </c>
      <c r="O20" s="34">
        <f t="shared" ref="O20:P20" si="28">D20/7</f>
        <v>9</v>
      </c>
      <c r="P20" s="34">
        <f t="shared" si="28"/>
        <v>0</v>
      </c>
      <c r="Q20" s="29">
        <f t="shared" si="8"/>
        <v>13</v>
      </c>
      <c r="R20" s="29"/>
      <c r="S20" s="35">
        <v>1.2543859649122799</v>
      </c>
      <c r="T20" s="28">
        <v>650</v>
      </c>
      <c r="U20" s="36" t="s">
        <v>33</v>
      </c>
      <c r="V20" s="37" t="s">
        <v>33</v>
      </c>
      <c r="W20" s="28">
        <v>3</v>
      </c>
      <c r="X20" s="38">
        <f t="shared" si="9"/>
        <v>4.7619047619047616E-2</v>
      </c>
      <c r="Y20" s="39">
        <f t="shared" si="10"/>
        <v>6.1880000000000006</v>
      </c>
      <c r="Z20" s="28">
        <v>2</v>
      </c>
      <c r="AA20" s="28" t="s">
        <v>34</v>
      </c>
      <c r="AB20" s="40">
        <f t="shared" si="11"/>
        <v>-0.69</v>
      </c>
      <c r="AC20" s="41">
        <v>2.4011458333333333E-2</v>
      </c>
      <c r="AD20" s="39">
        <f t="shared" si="12"/>
        <v>-2.0875561874999997</v>
      </c>
      <c r="AE20" s="39">
        <v>-3.48</v>
      </c>
      <c r="AF20" s="39">
        <v>-1.7443000000000002</v>
      </c>
      <c r="AG20" s="39">
        <v>0</v>
      </c>
    </row>
    <row r="21" spans="1:33" ht="15.75" customHeight="1" x14ac:dyDescent="0.2">
      <c r="A21" s="28" t="s">
        <v>59</v>
      </c>
      <c r="B21" s="28" t="s">
        <v>318</v>
      </c>
      <c r="C21" s="15">
        <f t="shared" si="4"/>
        <v>8.1203076923076924</v>
      </c>
      <c r="D21" s="29">
        <v>65</v>
      </c>
      <c r="E21" s="29">
        <v>0</v>
      </c>
      <c r="F21" s="32">
        <v>527.82000000000005</v>
      </c>
      <c r="G21" s="30">
        <v>-1.42</v>
      </c>
      <c r="H21" s="31">
        <f t="shared" si="1"/>
        <v>2.690311090902201E-3</v>
      </c>
      <c r="I21" s="31">
        <f t="shared" si="2"/>
        <v>0.19986675796199468</v>
      </c>
      <c r="J21" s="32">
        <f t="shared" si="5"/>
        <v>105.49367218750004</v>
      </c>
      <c r="K21" s="32">
        <f t="shared" si="3"/>
        <v>1.6229795721153852</v>
      </c>
      <c r="L21" s="29">
        <v>14</v>
      </c>
      <c r="M21" s="33">
        <f t="shared" si="6"/>
        <v>4.6428571428571432</v>
      </c>
      <c r="N21" s="29">
        <v>53</v>
      </c>
      <c r="O21" s="34">
        <f t="shared" ref="O21:P21" si="29">D21/7</f>
        <v>9.2857142857142865</v>
      </c>
      <c r="P21" s="34">
        <f t="shared" si="29"/>
        <v>0</v>
      </c>
      <c r="Q21" s="29">
        <f t="shared" si="8"/>
        <v>5</v>
      </c>
      <c r="R21" s="29"/>
      <c r="S21" s="35">
        <v>1.04694167852062</v>
      </c>
      <c r="T21" s="28">
        <v>650</v>
      </c>
      <c r="U21" s="36" t="s">
        <v>33</v>
      </c>
      <c r="V21" s="37" t="s">
        <v>33</v>
      </c>
      <c r="W21" s="28">
        <v>0</v>
      </c>
      <c r="X21" s="38">
        <f t="shared" si="9"/>
        <v>0</v>
      </c>
      <c r="Y21" s="39">
        <f t="shared" si="10"/>
        <v>1.42</v>
      </c>
      <c r="Z21" s="28">
        <v>1</v>
      </c>
      <c r="AA21" s="28" t="s">
        <v>34</v>
      </c>
      <c r="AB21" s="40">
        <f t="shared" si="11"/>
        <v>-0.69</v>
      </c>
      <c r="AC21" s="41">
        <v>2.4011458333333333E-2</v>
      </c>
      <c r="AD21" s="39">
        <f t="shared" si="12"/>
        <v>-2.1538278124999994</v>
      </c>
      <c r="AE21" s="39">
        <v>-3.48</v>
      </c>
      <c r="AF21" s="39">
        <v>-1.7443000000000002</v>
      </c>
      <c r="AG21" s="39">
        <v>0</v>
      </c>
    </row>
    <row r="22" spans="1:33" ht="15.75" customHeight="1" x14ac:dyDescent="0.2">
      <c r="A22" s="28" t="s">
        <v>60</v>
      </c>
      <c r="B22" s="28" t="s">
        <v>319</v>
      </c>
      <c r="C22" s="15">
        <f t="shared" si="4"/>
        <v>10.066666666666668</v>
      </c>
      <c r="D22" s="29">
        <v>3</v>
      </c>
      <c r="E22" s="29">
        <v>0</v>
      </c>
      <c r="F22" s="30">
        <v>30.200000000000003</v>
      </c>
      <c r="G22" s="30">
        <v>-0.05</v>
      </c>
      <c r="H22" s="31">
        <f t="shared" si="1"/>
        <v>1.6556291390728477E-3</v>
      </c>
      <c r="I22" s="31">
        <f t="shared" si="2"/>
        <v>0.32608253518211922</v>
      </c>
      <c r="J22" s="32">
        <f t="shared" si="5"/>
        <v>9.8476925625000007</v>
      </c>
      <c r="K22" s="32">
        <f t="shared" si="3"/>
        <v>3.2825641875000002</v>
      </c>
      <c r="L22" s="29">
        <v>17</v>
      </c>
      <c r="M22" s="33">
        <f t="shared" si="6"/>
        <v>0.17647058823529413</v>
      </c>
      <c r="N22" s="29">
        <v>52</v>
      </c>
      <c r="O22" s="34">
        <f t="shared" ref="O22:P22" si="30">D22/7</f>
        <v>0.42857142857142855</v>
      </c>
      <c r="P22" s="34">
        <f t="shared" si="30"/>
        <v>0</v>
      </c>
      <c r="Q22" s="29">
        <f t="shared" si="8"/>
        <v>121</v>
      </c>
      <c r="R22" s="29"/>
      <c r="S22" s="35">
        <v>1.2488954344624399</v>
      </c>
      <c r="T22" s="28">
        <v>650</v>
      </c>
      <c r="U22" s="36" t="s">
        <v>33</v>
      </c>
      <c r="V22" s="37" t="s">
        <v>33</v>
      </c>
      <c r="W22" s="28">
        <v>0</v>
      </c>
      <c r="X22" s="38">
        <f t="shared" si="9"/>
        <v>0</v>
      </c>
      <c r="Y22" s="39">
        <f t="shared" si="10"/>
        <v>0</v>
      </c>
      <c r="Z22" s="28">
        <v>0</v>
      </c>
      <c r="AA22" s="28" t="s">
        <v>34</v>
      </c>
      <c r="AB22" s="40">
        <f t="shared" si="11"/>
        <v>-0.69</v>
      </c>
      <c r="AC22" s="41">
        <v>2.4011458333333333E-2</v>
      </c>
      <c r="AD22" s="39">
        <f t="shared" si="12"/>
        <v>-9.9407437499999973E-2</v>
      </c>
      <c r="AE22" s="39">
        <v>-3.48</v>
      </c>
      <c r="AF22" s="39">
        <v>-1.7443000000000002</v>
      </c>
      <c r="AG22" s="39">
        <v>0</v>
      </c>
    </row>
    <row r="23" spans="1:33" ht="15.75" customHeight="1" x14ac:dyDescent="0.2">
      <c r="A23" s="28" t="s">
        <v>62</v>
      </c>
      <c r="B23" s="28" t="s">
        <v>320</v>
      </c>
      <c r="C23" s="15">
        <f t="shared" si="4"/>
        <v>9.99</v>
      </c>
      <c r="D23" s="29">
        <v>3</v>
      </c>
      <c r="E23" s="29">
        <v>0</v>
      </c>
      <c r="F23" s="32">
        <v>29.97</v>
      </c>
      <c r="G23" s="30">
        <v>0</v>
      </c>
      <c r="H23" s="31">
        <f t="shared" si="1"/>
        <v>0</v>
      </c>
      <c r="I23" s="31">
        <f t="shared" si="2"/>
        <v>0.3237301488988989</v>
      </c>
      <c r="J23" s="32">
        <f t="shared" si="5"/>
        <v>9.7021925624999987</v>
      </c>
      <c r="K23" s="32">
        <f t="shared" si="3"/>
        <v>3.2340641874999996</v>
      </c>
      <c r="L23" s="29">
        <v>15</v>
      </c>
      <c r="M23" s="33">
        <f t="shared" si="6"/>
        <v>0.2</v>
      </c>
      <c r="N23" s="29">
        <v>49</v>
      </c>
      <c r="O23" s="34">
        <f t="shared" ref="O23:P23" si="31">D23/7</f>
        <v>0.42857142857142855</v>
      </c>
      <c r="P23" s="34">
        <f t="shared" si="31"/>
        <v>0</v>
      </c>
      <c r="Q23" s="29">
        <f t="shared" si="8"/>
        <v>114</v>
      </c>
      <c r="R23" s="29"/>
      <c r="S23" s="35">
        <v>1.3526570048309099</v>
      </c>
      <c r="T23" s="28">
        <v>650</v>
      </c>
      <c r="U23" s="36" t="s">
        <v>33</v>
      </c>
      <c r="V23" s="37" t="s">
        <v>33</v>
      </c>
      <c r="W23" s="28">
        <v>0</v>
      </c>
      <c r="X23" s="38">
        <f t="shared" si="9"/>
        <v>0</v>
      </c>
      <c r="Y23" s="39">
        <f t="shared" si="10"/>
        <v>0</v>
      </c>
      <c r="Z23" s="28">
        <v>0</v>
      </c>
      <c r="AA23" s="28" t="s">
        <v>34</v>
      </c>
      <c r="AB23" s="40">
        <f t="shared" si="11"/>
        <v>-0.69</v>
      </c>
      <c r="AC23" s="41">
        <v>2.4011458333333333E-2</v>
      </c>
      <c r="AD23" s="39">
        <f t="shared" si="12"/>
        <v>-9.9407437499999973E-2</v>
      </c>
      <c r="AE23" s="39">
        <v>-3.48</v>
      </c>
      <c r="AF23" s="39">
        <v>-1.7443000000000002</v>
      </c>
      <c r="AG23" s="39">
        <v>0</v>
      </c>
    </row>
    <row r="24" spans="1:33" ht="15.75" customHeight="1" x14ac:dyDescent="0.2">
      <c r="A24" s="28" t="s">
        <v>64</v>
      </c>
      <c r="B24" s="28" t="s">
        <v>321</v>
      </c>
      <c r="C24" s="15">
        <f t="shared" si="4"/>
        <v>9.99</v>
      </c>
      <c r="D24" s="29">
        <v>6</v>
      </c>
      <c r="E24" s="29">
        <v>1</v>
      </c>
      <c r="F24" s="32">
        <v>59.940000000000005</v>
      </c>
      <c r="G24" s="32">
        <v>-23.84</v>
      </c>
      <c r="H24" s="31">
        <f t="shared" si="1"/>
        <v>0.39773106439773104</v>
      </c>
      <c r="I24" s="31">
        <f t="shared" si="2"/>
        <v>-7.4000915498832087E-2</v>
      </c>
      <c r="J24" s="32">
        <f t="shared" si="5"/>
        <v>-4.4356148749999953</v>
      </c>
      <c r="K24" s="32">
        <f t="shared" si="3"/>
        <v>-0.73926914583333259</v>
      </c>
      <c r="L24" s="29">
        <v>31</v>
      </c>
      <c r="M24" s="33">
        <f t="shared" si="6"/>
        <v>0.19354838709677419</v>
      </c>
      <c r="N24" s="29">
        <v>43</v>
      </c>
      <c r="O24" s="34">
        <f t="shared" ref="O24:P24" si="32">D24/7</f>
        <v>0.8571428571428571</v>
      </c>
      <c r="P24" s="34">
        <f t="shared" si="32"/>
        <v>0.14285714285714285</v>
      </c>
      <c r="Q24" s="29">
        <f t="shared" si="8"/>
        <v>43</v>
      </c>
      <c r="R24" s="29"/>
      <c r="S24" s="35">
        <v>1.4410774410774401</v>
      </c>
      <c r="T24" s="28">
        <v>650</v>
      </c>
      <c r="U24" s="36" t="s">
        <v>33</v>
      </c>
      <c r="V24" s="37" t="s">
        <v>33</v>
      </c>
      <c r="W24" s="28">
        <v>3</v>
      </c>
      <c r="X24" s="38">
        <f t="shared" si="9"/>
        <v>0.5</v>
      </c>
      <c r="Y24" s="39">
        <f t="shared" si="10"/>
        <v>5.96</v>
      </c>
      <c r="Z24" s="28">
        <v>1</v>
      </c>
      <c r="AA24" s="28" t="s">
        <v>34</v>
      </c>
      <c r="AB24" s="40">
        <f t="shared" si="11"/>
        <v>-0.69</v>
      </c>
      <c r="AC24" s="41">
        <v>2.4011458333333333E-2</v>
      </c>
      <c r="AD24" s="39">
        <f t="shared" si="12"/>
        <v>-0.19881487499999995</v>
      </c>
      <c r="AE24" s="39">
        <v>-3.48</v>
      </c>
      <c r="AF24" s="39">
        <v>-1.7443000000000002</v>
      </c>
      <c r="AG24" s="39">
        <v>0</v>
      </c>
    </row>
    <row r="25" spans="1:33" ht="15.75" customHeight="1" x14ac:dyDescent="0.2">
      <c r="A25" s="28" t="s">
        <v>65</v>
      </c>
      <c r="B25" s="14" t="s">
        <v>47</v>
      </c>
      <c r="C25" s="15">
        <f t="shared" si="4"/>
        <v>9.99</v>
      </c>
      <c r="D25" s="29">
        <v>12</v>
      </c>
      <c r="E25" s="29">
        <v>0</v>
      </c>
      <c r="F25" s="32">
        <v>119.88</v>
      </c>
      <c r="G25" s="32">
        <v>-14.11</v>
      </c>
      <c r="H25" s="31">
        <f t="shared" si="1"/>
        <v>0.11770103436770103</v>
      </c>
      <c r="I25" s="31">
        <f t="shared" si="2"/>
        <v>0.20645954496162833</v>
      </c>
      <c r="J25" s="32">
        <f t="shared" si="5"/>
        <v>24.750370250000003</v>
      </c>
      <c r="K25" s="32">
        <f t="shared" si="3"/>
        <v>2.0625308541666669</v>
      </c>
      <c r="L25" s="29">
        <v>29</v>
      </c>
      <c r="M25" s="33">
        <f t="shared" si="6"/>
        <v>0.41379310344827586</v>
      </c>
      <c r="N25" s="29">
        <v>123</v>
      </c>
      <c r="O25" s="34">
        <f t="shared" ref="O25:P25" si="33">D25/7</f>
        <v>1.7142857142857142</v>
      </c>
      <c r="P25" s="34">
        <f t="shared" si="33"/>
        <v>0</v>
      </c>
      <c r="Q25" s="29">
        <f t="shared" si="8"/>
        <v>71</v>
      </c>
      <c r="R25" s="29"/>
      <c r="S25" s="35">
        <v>1.581560283687943</v>
      </c>
      <c r="T25" s="28">
        <v>650</v>
      </c>
      <c r="U25" s="36" t="s">
        <v>33</v>
      </c>
      <c r="V25" s="37" t="s">
        <v>33</v>
      </c>
      <c r="W25" s="14">
        <v>8</v>
      </c>
      <c r="X25" s="38">
        <f t="shared" si="9"/>
        <v>0.66666666666666663</v>
      </c>
      <c r="Y25" s="39">
        <f t="shared" si="10"/>
        <v>1.5677777777777777</v>
      </c>
      <c r="Z25" s="14">
        <v>1</v>
      </c>
      <c r="AA25" s="28" t="s">
        <v>34</v>
      </c>
      <c r="AB25" s="40">
        <f t="shared" si="11"/>
        <v>-0.69</v>
      </c>
      <c r="AC25" s="41">
        <v>2.4011458333333333E-2</v>
      </c>
      <c r="AD25" s="39">
        <f t="shared" si="12"/>
        <v>-0.39762974999999989</v>
      </c>
      <c r="AE25" s="39">
        <v>-3.48</v>
      </c>
      <c r="AF25" s="39">
        <v>-1.74</v>
      </c>
      <c r="AG25" s="39">
        <v>0</v>
      </c>
    </row>
    <row r="26" spans="1:33" ht="15.75" customHeight="1" x14ac:dyDescent="0.2">
      <c r="A26" s="14" t="s">
        <v>67</v>
      </c>
      <c r="B26" s="14" t="s">
        <v>316</v>
      </c>
      <c r="C26" s="15">
        <f t="shared" si="4"/>
        <v>9.997272727272728</v>
      </c>
      <c r="D26" s="16">
        <v>11</v>
      </c>
      <c r="E26" s="16">
        <v>0</v>
      </c>
      <c r="F26" s="17">
        <v>109.97</v>
      </c>
      <c r="G26" s="17">
        <v>-12.75</v>
      </c>
      <c r="H26" s="31">
        <f t="shared" si="1"/>
        <v>0.1159407111030281</v>
      </c>
      <c r="I26" s="31">
        <f t="shared" si="2"/>
        <v>0.19158375977539324</v>
      </c>
      <c r="J26" s="32">
        <f t="shared" si="5"/>
        <v>21.068466062499994</v>
      </c>
      <c r="K26" s="32">
        <f t="shared" si="3"/>
        <v>1.9153150965909085</v>
      </c>
      <c r="L26" s="16">
        <v>22</v>
      </c>
      <c r="M26" s="33">
        <f t="shared" si="6"/>
        <v>0.5</v>
      </c>
      <c r="N26" s="16">
        <v>120</v>
      </c>
      <c r="O26" s="34">
        <f t="shared" ref="O26:P26" si="34">D26/7</f>
        <v>1.5714285714285714</v>
      </c>
      <c r="P26" s="34">
        <f t="shared" si="34"/>
        <v>0</v>
      </c>
      <c r="Q26" s="29">
        <f t="shared" si="8"/>
        <v>76</v>
      </c>
      <c r="R26" s="29"/>
      <c r="S26" s="21">
        <v>1.2867132867132871</v>
      </c>
      <c r="T26" s="28">
        <v>650</v>
      </c>
      <c r="U26" s="36" t="s">
        <v>33</v>
      </c>
      <c r="V26" s="37" t="s">
        <v>33</v>
      </c>
      <c r="W26" s="14">
        <v>7</v>
      </c>
      <c r="X26" s="38">
        <f t="shared" si="9"/>
        <v>0.63636363636363635</v>
      </c>
      <c r="Y26" s="39">
        <f t="shared" si="10"/>
        <v>1.8214285714285714</v>
      </c>
      <c r="Z26" s="14">
        <v>0</v>
      </c>
      <c r="AA26" s="28" t="s">
        <v>34</v>
      </c>
      <c r="AB26" s="40">
        <f t="shared" si="11"/>
        <v>-0.69</v>
      </c>
      <c r="AC26" s="41">
        <v>2.4011458333333333E-2</v>
      </c>
      <c r="AD26" s="39">
        <f t="shared" si="12"/>
        <v>-0.36449393749999992</v>
      </c>
      <c r="AE26" s="25">
        <v>-3.64</v>
      </c>
      <c r="AF26" s="25">
        <v>-1.75014</v>
      </c>
      <c r="AG26" s="25">
        <v>0</v>
      </c>
    </row>
    <row r="27" spans="1:33" ht="15.75" customHeight="1" x14ac:dyDescent="0.2">
      <c r="A27" s="14" t="s">
        <v>69</v>
      </c>
      <c r="B27" s="14" t="s">
        <v>322</v>
      </c>
      <c r="C27" s="15">
        <f t="shared" si="4"/>
        <v>10.0175</v>
      </c>
      <c r="D27" s="16">
        <v>8</v>
      </c>
      <c r="E27" s="16">
        <v>1</v>
      </c>
      <c r="F27" s="17">
        <v>80.14</v>
      </c>
      <c r="G27" s="17">
        <v>-15.96</v>
      </c>
      <c r="H27" s="31">
        <f t="shared" si="1"/>
        <v>0.19915148490142251</v>
      </c>
      <c r="I27" s="31">
        <f t="shared" si="2"/>
        <v>0.1094683491390067</v>
      </c>
      <c r="J27" s="32">
        <f t="shared" si="5"/>
        <v>8.772793499999997</v>
      </c>
      <c r="K27" s="32">
        <f t="shared" si="3"/>
        <v>1.0965991874999996</v>
      </c>
      <c r="L27" s="16">
        <v>21</v>
      </c>
      <c r="M27" s="33">
        <f t="shared" si="6"/>
        <v>0.38095238095238093</v>
      </c>
      <c r="N27" s="16">
        <v>85</v>
      </c>
      <c r="O27" s="34">
        <f t="shared" ref="O27:P27" si="35">D27/7</f>
        <v>1.1428571428571428</v>
      </c>
      <c r="P27" s="34">
        <f t="shared" si="35"/>
        <v>0.14285714285714285</v>
      </c>
      <c r="Q27" s="29">
        <f t="shared" si="8"/>
        <v>66</v>
      </c>
      <c r="R27" s="29"/>
      <c r="S27" s="21">
        <v>1.376854599406528</v>
      </c>
      <c r="T27" s="28">
        <v>650</v>
      </c>
      <c r="U27" s="36" t="s">
        <v>33</v>
      </c>
      <c r="V27" s="37" t="s">
        <v>33</v>
      </c>
      <c r="W27" s="14">
        <v>1</v>
      </c>
      <c r="X27" s="38">
        <f t="shared" si="9"/>
        <v>0.125</v>
      </c>
      <c r="Y27" s="39">
        <f t="shared" si="10"/>
        <v>2.66</v>
      </c>
      <c r="Z27" s="14">
        <v>5</v>
      </c>
      <c r="AA27" s="28" t="s">
        <v>34</v>
      </c>
      <c r="AB27" s="40">
        <f t="shared" si="11"/>
        <v>-0.69</v>
      </c>
      <c r="AC27" s="41">
        <v>2.4011458333333333E-2</v>
      </c>
      <c r="AD27" s="39">
        <f t="shared" si="12"/>
        <v>-0.26508649999999995</v>
      </c>
      <c r="AE27" s="25">
        <v>-3.64</v>
      </c>
      <c r="AF27" s="25">
        <v>-1.75014</v>
      </c>
      <c r="AG27" s="25">
        <v>0</v>
      </c>
    </row>
    <row r="28" spans="1:33" ht="15.75" customHeight="1" x14ac:dyDescent="0.2">
      <c r="A28" s="14" t="s">
        <v>71</v>
      </c>
      <c r="B28" s="14" t="s">
        <v>322</v>
      </c>
      <c r="C28" s="15">
        <f t="shared" si="4"/>
        <v>10.04857142857143</v>
      </c>
      <c r="D28" s="16">
        <v>7</v>
      </c>
      <c r="E28" s="16">
        <v>0</v>
      </c>
      <c r="F28" s="17">
        <v>70.34</v>
      </c>
      <c r="G28" s="17">
        <v>-12.45</v>
      </c>
      <c r="H28" s="31">
        <f t="shared" si="1"/>
        <v>0.17699744100085299</v>
      </c>
      <c r="I28" s="31">
        <f t="shared" si="2"/>
        <v>0.13329640762723913</v>
      </c>
      <c r="J28" s="32">
        <f t="shared" si="5"/>
        <v>9.3760693125000003</v>
      </c>
      <c r="K28" s="32">
        <f t="shared" si="3"/>
        <v>1.3394384732142857</v>
      </c>
      <c r="L28" s="16">
        <v>30</v>
      </c>
      <c r="M28" s="33">
        <f t="shared" si="6"/>
        <v>0.23333333333333334</v>
      </c>
      <c r="N28" s="16">
        <v>84</v>
      </c>
      <c r="O28" s="34">
        <f t="shared" ref="O28:P28" si="36">D28/7</f>
        <v>1</v>
      </c>
      <c r="P28" s="34">
        <f t="shared" si="36"/>
        <v>0</v>
      </c>
      <c r="Q28" s="29">
        <f t="shared" si="8"/>
        <v>84</v>
      </c>
      <c r="R28" s="29"/>
      <c r="S28" s="21">
        <v>1.5201288244766511</v>
      </c>
      <c r="T28" s="28">
        <v>650</v>
      </c>
      <c r="U28" s="36" t="s">
        <v>33</v>
      </c>
      <c r="V28" s="37" t="s">
        <v>33</v>
      </c>
      <c r="W28" s="14">
        <v>1</v>
      </c>
      <c r="X28" s="38">
        <f t="shared" si="9"/>
        <v>0.14285714285714285</v>
      </c>
      <c r="Y28" s="39">
        <f t="shared" si="10"/>
        <v>2.0749999999999997</v>
      </c>
      <c r="Z28" s="14">
        <v>5</v>
      </c>
      <c r="AA28" s="28" t="s">
        <v>34</v>
      </c>
      <c r="AB28" s="40">
        <f t="shared" si="11"/>
        <v>-0.69</v>
      </c>
      <c r="AC28" s="41">
        <v>2.4011458333333333E-2</v>
      </c>
      <c r="AD28" s="39">
        <f t="shared" si="12"/>
        <v>-0.23195068749999995</v>
      </c>
      <c r="AE28" s="25">
        <v>-3.64</v>
      </c>
      <c r="AF28" s="25">
        <v>-1.75014</v>
      </c>
      <c r="AG28" s="25">
        <v>0</v>
      </c>
    </row>
    <row r="29" spans="1:33" ht="15.75" customHeight="1" x14ac:dyDescent="0.2">
      <c r="A29" s="28" t="s">
        <v>72</v>
      </c>
      <c r="B29" s="28" t="s">
        <v>323</v>
      </c>
      <c r="C29" s="15">
        <f t="shared" si="4"/>
        <v>10.157499999999999</v>
      </c>
      <c r="D29" s="29">
        <v>8</v>
      </c>
      <c r="E29" s="29">
        <v>0</v>
      </c>
      <c r="F29" s="32">
        <v>81.259999999999991</v>
      </c>
      <c r="G29" s="32">
        <v>-15.61</v>
      </c>
      <c r="H29" s="31">
        <f t="shared" si="1"/>
        <v>0.19209943391582576</v>
      </c>
      <c r="I29" s="31">
        <f t="shared" si="2"/>
        <v>0.123982199113955</v>
      </c>
      <c r="J29" s="32">
        <f t="shared" si="5"/>
        <v>10.074793499999982</v>
      </c>
      <c r="K29" s="32">
        <f t="shared" si="3"/>
        <v>1.2593491874999978</v>
      </c>
      <c r="L29" s="29">
        <v>23</v>
      </c>
      <c r="M29" s="33">
        <f t="shared" si="6"/>
        <v>0.34782608695652173</v>
      </c>
      <c r="N29" s="16">
        <v>101</v>
      </c>
      <c r="O29" s="34">
        <f t="shared" ref="O29:P29" si="37">D29/7</f>
        <v>1.1428571428571428</v>
      </c>
      <c r="P29" s="34">
        <f t="shared" si="37"/>
        <v>0</v>
      </c>
      <c r="Q29" s="29">
        <f t="shared" si="8"/>
        <v>88</v>
      </c>
      <c r="R29" s="29"/>
      <c r="S29" s="21">
        <v>1.70281124497992</v>
      </c>
      <c r="T29" s="28">
        <v>650</v>
      </c>
      <c r="U29" s="36" t="s">
        <v>33</v>
      </c>
      <c r="V29" s="37" t="s">
        <v>33</v>
      </c>
      <c r="W29" s="14">
        <v>0</v>
      </c>
      <c r="X29" s="38">
        <f t="shared" si="9"/>
        <v>0</v>
      </c>
      <c r="Y29" s="39">
        <f t="shared" si="10"/>
        <v>15.61</v>
      </c>
      <c r="Z29" s="14">
        <v>1</v>
      </c>
      <c r="AA29" s="28" t="s">
        <v>34</v>
      </c>
      <c r="AB29" s="40">
        <f t="shared" si="11"/>
        <v>-0.69</v>
      </c>
      <c r="AC29" s="41">
        <v>2.4011458333333333E-2</v>
      </c>
      <c r="AD29" s="39">
        <f t="shared" si="12"/>
        <v>-0.26508649999999995</v>
      </c>
      <c r="AE29" s="39">
        <v>-3.64</v>
      </c>
      <c r="AF29" s="25">
        <v>-1.75014</v>
      </c>
      <c r="AG29" s="39">
        <v>0</v>
      </c>
    </row>
    <row r="30" spans="1:33" ht="15.75" customHeight="1" x14ac:dyDescent="0.2">
      <c r="A30" s="14" t="s">
        <v>74</v>
      </c>
      <c r="B30" s="14" t="s">
        <v>317</v>
      </c>
      <c r="C30" s="15">
        <f t="shared" si="4"/>
        <v>8.6428571428571423</v>
      </c>
      <c r="D30" s="16">
        <v>7</v>
      </c>
      <c r="E30" s="16">
        <v>0</v>
      </c>
      <c r="F30" s="17">
        <v>60.499999999999993</v>
      </c>
      <c r="G30" s="17">
        <v>-2.12</v>
      </c>
      <c r="H30" s="31">
        <f t="shared" si="1"/>
        <v>3.5041322314049592E-2</v>
      </c>
      <c r="I30" s="31">
        <f t="shared" si="2"/>
        <v>0.19150999174380157</v>
      </c>
      <c r="J30" s="32">
        <f t="shared" si="5"/>
        <v>11.586354500499993</v>
      </c>
      <c r="K30" s="32">
        <f t="shared" si="3"/>
        <v>1.6551935000714277</v>
      </c>
      <c r="L30" s="16">
        <v>17</v>
      </c>
      <c r="M30" s="33">
        <f t="shared" si="6"/>
        <v>0.41176470588235292</v>
      </c>
      <c r="N30" s="16">
        <v>94</v>
      </c>
      <c r="O30" s="34">
        <f t="shared" ref="O30:P30" si="38">D30/7</f>
        <v>1</v>
      </c>
      <c r="P30" s="34">
        <f t="shared" si="38"/>
        <v>0</v>
      </c>
      <c r="Q30" s="29">
        <f t="shared" si="8"/>
        <v>94</v>
      </c>
      <c r="R30" s="29"/>
      <c r="S30" s="21">
        <v>1.4945848375451261</v>
      </c>
      <c r="T30" s="28">
        <v>650</v>
      </c>
      <c r="U30" s="36" t="s">
        <v>33</v>
      </c>
      <c r="V30" s="37" t="s">
        <v>33</v>
      </c>
      <c r="W30" s="14">
        <v>0</v>
      </c>
      <c r="X30" s="38">
        <f t="shared" si="9"/>
        <v>0</v>
      </c>
      <c r="Y30" s="39">
        <f t="shared" si="10"/>
        <v>0</v>
      </c>
      <c r="Z30" s="14">
        <v>0</v>
      </c>
      <c r="AA30" s="28" t="s">
        <v>34</v>
      </c>
      <c r="AB30" s="40">
        <f t="shared" si="11"/>
        <v>-0.69</v>
      </c>
      <c r="AC30" s="41">
        <v>2.4011458333333333E-2</v>
      </c>
      <c r="AD30" s="39">
        <f t="shared" si="12"/>
        <v>-0.23195068749999995</v>
      </c>
      <c r="AE30" s="25">
        <v>-3.64</v>
      </c>
      <c r="AF30" s="25">
        <v>-1.715242116</v>
      </c>
      <c r="AG30" s="25">
        <v>0</v>
      </c>
    </row>
    <row r="31" spans="1:33" ht="15.75" customHeight="1" x14ac:dyDescent="0.2">
      <c r="A31" s="14" t="s">
        <v>75</v>
      </c>
      <c r="B31" s="14"/>
      <c r="C31" s="15">
        <f t="shared" si="4"/>
        <v>9.99</v>
      </c>
      <c r="D31" s="16">
        <v>2</v>
      </c>
      <c r="E31" s="16">
        <v>0</v>
      </c>
      <c r="F31" s="17">
        <v>19.98</v>
      </c>
      <c r="G31" s="42">
        <v>0</v>
      </c>
      <c r="H31" s="31">
        <f t="shared" si="1"/>
        <v>0</v>
      </c>
      <c r="I31" s="31">
        <f t="shared" si="2"/>
        <v>0.31062282997997992</v>
      </c>
      <c r="J31" s="32">
        <f t="shared" si="5"/>
        <v>6.2062441429999993</v>
      </c>
      <c r="K31" s="32">
        <f t="shared" si="3"/>
        <v>3.1031220714999996</v>
      </c>
      <c r="L31" s="16">
        <v>7</v>
      </c>
      <c r="M31" s="33">
        <f t="shared" si="6"/>
        <v>0.2857142857142857</v>
      </c>
      <c r="N31" s="16">
        <v>91</v>
      </c>
      <c r="O31" s="34">
        <f t="shared" ref="O31:P32" si="39">D31/7</f>
        <v>0.2857142857142857</v>
      </c>
      <c r="P31" s="34">
        <f t="shared" si="39"/>
        <v>0</v>
      </c>
      <c r="Q31" s="29">
        <f t="shared" si="8"/>
        <v>318</v>
      </c>
      <c r="R31" s="29"/>
      <c r="S31" s="21">
        <v>1.6559999999999999</v>
      </c>
      <c r="T31" s="14">
        <v>150</v>
      </c>
      <c r="U31" s="22">
        <v>500</v>
      </c>
      <c r="V31" s="1" t="s">
        <v>961</v>
      </c>
      <c r="W31" s="14">
        <v>0</v>
      </c>
      <c r="X31" s="38">
        <f t="shared" si="9"/>
        <v>0</v>
      </c>
      <c r="Y31" s="39">
        <f t="shared" si="10"/>
        <v>0</v>
      </c>
      <c r="Z31" s="14">
        <v>0</v>
      </c>
      <c r="AA31" s="14" t="s">
        <v>34</v>
      </c>
      <c r="AB31" s="40">
        <f t="shared" si="11"/>
        <v>-0.69</v>
      </c>
      <c r="AC31" s="27">
        <v>2.4011458333333333E-2</v>
      </c>
      <c r="AD31" s="39">
        <f t="shared" si="12"/>
        <v>-6.6271624999999987E-2</v>
      </c>
      <c r="AE31" s="43">
        <v>-3.64</v>
      </c>
      <c r="AF31" s="43">
        <v>-1.7152421160000002</v>
      </c>
      <c r="AG31" s="25">
        <v>0</v>
      </c>
    </row>
    <row r="32" spans="1:33" s="51" customFormat="1" ht="15.75" customHeight="1" x14ac:dyDescent="0.2">
      <c r="A32" s="51" t="s">
        <v>934</v>
      </c>
      <c r="C32" s="15">
        <f t="shared" si="4"/>
        <v>9.99</v>
      </c>
      <c r="D32" s="52">
        <v>2</v>
      </c>
      <c r="E32" s="52">
        <v>0</v>
      </c>
      <c r="F32" s="53">
        <v>19.98</v>
      </c>
      <c r="G32" s="53">
        <v>-0.16</v>
      </c>
      <c r="H32" s="31">
        <f t="shared" si="1"/>
        <v>8.0080080080080079E-3</v>
      </c>
      <c r="I32" s="31">
        <f t="shared" si="2"/>
        <v>0.30261482197197204</v>
      </c>
      <c r="J32" s="32">
        <f t="shared" si="5"/>
        <v>6.0462441430000009</v>
      </c>
      <c r="K32" s="32">
        <f t="shared" si="3"/>
        <v>3.0231220715000005</v>
      </c>
      <c r="L32" s="52">
        <v>15</v>
      </c>
      <c r="M32" s="33">
        <f t="shared" si="6"/>
        <v>0.13333333333333333</v>
      </c>
      <c r="N32" s="52">
        <v>84</v>
      </c>
      <c r="O32" s="34">
        <f t="shared" si="39"/>
        <v>0.2857142857142857</v>
      </c>
      <c r="P32" s="34">
        <f t="shared" si="39"/>
        <v>0</v>
      </c>
      <c r="Q32" s="29">
        <f t="shared" si="8"/>
        <v>294</v>
      </c>
      <c r="R32" s="29" t="str">
        <f ca="1">IFERROR(VLOOKUP($B$2,IMPORTRANGE("https://docs.google.com/spreadsheets/d/1KiWZV1ko8G7lnRucBRBd29jj3Be6ltMfljMDqzOkQmI/edit#gid=1381463014","Lookup!A:F"),6,FALSE),"")</f>
        <v/>
      </c>
      <c r="S32" s="54">
        <v>1.8283062645011601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2.4011458333333333E-2</v>
      </c>
      <c r="AD32" s="39">
        <f t="shared" si="12"/>
        <v>-6.6271624999999987E-2</v>
      </c>
      <c r="AE32" s="58">
        <v>-3.64</v>
      </c>
      <c r="AF32" s="58">
        <v>-1.715242116</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88.6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Info!B1:BJ5000""),3,FALSE),"""")"),"14 AWG Replacement Power Cord with Open End - 10 Ft Black Extension Cable, 14/3 SJT, NEMA 5-15P")</f>
        <v>14 AWG Replacement Power Cord with Open End - 10 Ft Black Extension Cable, 14/3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Info!B1:BJ5000""),2,FALSE),"""")"),"B082FN85KC")</f>
        <v>B082FN85KC</v>
      </c>
      <c r="B2" s="3" t="s">
        <v>324</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69" customHeight="1" x14ac:dyDescent="0.2">
      <c r="A3" s="76" t="s">
        <v>30</v>
      </c>
      <c r="B3" s="77"/>
      <c r="C3" s="47">
        <f>((AE32+AF32)/0.85)*-1</f>
        <v>9.0614916670588244</v>
      </c>
      <c r="D3" s="5">
        <f>SUM(D4:D99765)</f>
        <v>450</v>
      </c>
      <c r="E3" s="5"/>
      <c r="F3" s="6">
        <f t="shared" ref="F3:G3" si="0">SUM(F4:F99765)</f>
        <v>6285.99</v>
      </c>
      <c r="G3" s="6">
        <f t="shared" si="0"/>
        <v>-1.2700000000000002</v>
      </c>
      <c r="H3" s="7">
        <f t="shared" ref="H3:H32" si="1">G3/F3*-1</f>
        <v>2.0203659248582963E-4</v>
      </c>
      <c r="I3" s="8">
        <f t="shared" ref="I3:I32" si="2">J3/F3</f>
        <v>0.30138568245621683</v>
      </c>
      <c r="J3" s="6">
        <f>SUM(J4:J99765)</f>
        <v>1894.5073860629543</v>
      </c>
      <c r="K3" s="6">
        <f t="shared" ref="K3:K32" si="3">J3/D3</f>
        <v>4.2100164134732321</v>
      </c>
      <c r="L3" s="5"/>
      <c r="M3" s="9"/>
      <c r="N3" s="10"/>
      <c r="O3" s="5" t="str">
        <f ca="1">IFERROR(__xludf.DUMMYFUNCTION("IFERROR(VLOOKUP(B2,IMPORTRANGE(""https://docs.google.com/spreadsheets/d/1N8jvpEHDVkurDv7NrPxwI3eH6hQsvtb1QltGNCalRjU/edit#gid=865736387"",""Compiled Sheet!a1:g5000""),2,FALSE),"""")"),"2.5 - March
3.5 - April
3.5 - May
3.5 - June
3.5 - July
3.5 - Aug
2.5 - Sept
2.5 - Oct
2.5 - Nov
2.5 - Dec
3.5 - Jan
3.5 - Feb")</f>
        <v>2.5 - March
3.5 - April
3.5 - May
3.5 - June
3.5 - July
3.5 - Aug
2.5 - Sept
2.5 - Oct
2.5 - Nov
2.5 - Dec
3.5 - Jan
3.5 -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QTY-200")</f>
        <v>US QTY-200</v>
      </c>
      <c r="V3" s="13" t="str">
        <f ca="1">IFERROR(__xludf.DUMMYFUNCTION("CONCATENATE(""In Transit"", ""-"",IFERROR(VLOOKUP($B$2,IMPORTRANGE(""https://docs.google.com/spreadsheets/d/11afDUGgwIurytGWIAj1e7JPdtkZEoccxCski0CJdjqQ/edit#gid=1950799886"",""US Storage!a1:AD5000""),3,FALSE),""""))"),"In Transit-0")</f>
        <v>In Transit-0</v>
      </c>
      <c r="W3" s="5">
        <f>SUM(W4:W99765)</f>
        <v>3</v>
      </c>
      <c r="X3" s="7">
        <f>W3/D3</f>
        <v>6.6666666666666671E-3</v>
      </c>
      <c r="Y3" s="6"/>
      <c r="Z3" s="5"/>
      <c r="AA3" s="5"/>
      <c r="AB3" s="5"/>
      <c r="AC3" s="5"/>
      <c r="AD3" s="6">
        <f>SUM(AD4:AD99765)</f>
        <v>-36.824506649070997</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Info!B2:BZ7000""),37,FALSE)),"""")*-1"),-2.752267917)</f>
        <v>-2.7522679170000002</v>
      </c>
      <c r="AG3" s="6">
        <f>SUM(AG4:AG99765)</f>
        <v>0</v>
      </c>
    </row>
    <row r="4" spans="1:33" ht="19.5" customHeight="1" x14ac:dyDescent="0.2">
      <c r="A4" s="14" t="s">
        <v>31</v>
      </c>
      <c r="B4" s="14" t="s">
        <v>194</v>
      </c>
      <c r="C4" s="15">
        <f t="shared" ref="C4:C32" si="4">IFERROR(F4/D4," - ")</f>
        <v>12.148125</v>
      </c>
      <c r="D4" s="16">
        <v>16</v>
      </c>
      <c r="E4" s="16">
        <v>2</v>
      </c>
      <c r="F4" s="17">
        <v>194.37</v>
      </c>
      <c r="G4" s="17">
        <v>-0.08</v>
      </c>
      <c r="H4" s="18">
        <f t="shared" si="1"/>
        <v>4.1158615012604828E-4</v>
      </c>
      <c r="I4" s="18">
        <f t="shared" si="2"/>
        <v>0.23864422803301821</v>
      </c>
      <c r="J4" s="17">
        <f t="shared" ref="J4:J32" si="5">F4*0.85+G4+AF4*D4+D4*AE4+AG4+AD4</f>
        <v>46.385278602777753</v>
      </c>
      <c r="K4" s="17">
        <f t="shared" si="3"/>
        <v>2.8990799126736095</v>
      </c>
      <c r="L4" s="16">
        <v>31</v>
      </c>
      <c r="M4" s="19">
        <f t="shared" ref="M4:M32" si="6">IFERROR(D4/L4,"-")</f>
        <v>0.5161290322580645</v>
      </c>
      <c r="N4" s="16">
        <v>190</v>
      </c>
      <c r="O4" s="20">
        <f t="shared" ref="O4:P4" si="7">D4/7</f>
        <v>2.2857142857142856</v>
      </c>
      <c r="P4" s="20">
        <f t="shared" si="7"/>
        <v>0.2857142857142857</v>
      </c>
      <c r="Q4" s="16">
        <f t="shared" ref="Q4:Q32" si="8">ROUNDDOWN(N4/(O4+P4),0)</f>
        <v>73</v>
      </c>
      <c r="R4" s="16"/>
      <c r="S4" s="21">
        <v>0.762658227848101</v>
      </c>
      <c r="T4" s="14">
        <v>500</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5.929444733796297E-2</v>
      </c>
      <c r="AD4" s="25">
        <f t="shared" ref="AD4:AD32" si="12">IFERROR(AB4*AC4*D4*2,0)</f>
        <v>-1.3092213972222222</v>
      </c>
      <c r="AE4" s="25">
        <v>-4.9000000000000004</v>
      </c>
      <c r="AF4" s="25">
        <v>-2.44</v>
      </c>
      <c r="AG4" s="25">
        <v>0</v>
      </c>
    </row>
    <row r="5" spans="1:33" ht="15.75" customHeight="1" x14ac:dyDescent="0.2">
      <c r="A5" s="28" t="s">
        <v>35</v>
      </c>
      <c r="B5" s="28" t="s">
        <v>325</v>
      </c>
      <c r="C5" s="15">
        <f t="shared" si="4"/>
        <v>11.67357142857143</v>
      </c>
      <c r="D5" s="29">
        <v>28</v>
      </c>
      <c r="E5" s="29">
        <v>0</v>
      </c>
      <c r="F5" s="30">
        <v>326.86</v>
      </c>
      <c r="G5" s="30">
        <v>0</v>
      </c>
      <c r="H5" s="31">
        <f t="shared" si="1"/>
        <v>0</v>
      </c>
      <c r="I5" s="31">
        <f t="shared" si="2"/>
        <v>0.21421161262517632</v>
      </c>
      <c r="J5" s="32">
        <f t="shared" si="5"/>
        <v>70.017207702665132</v>
      </c>
      <c r="K5" s="32">
        <f t="shared" si="3"/>
        <v>2.5006145608094692</v>
      </c>
      <c r="L5" s="29">
        <v>47</v>
      </c>
      <c r="M5" s="33">
        <f t="shared" si="6"/>
        <v>0.5957446808510638</v>
      </c>
      <c r="N5" s="29">
        <v>167</v>
      </c>
      <c r="O5" s="34">
        <f t="shared" ref="O5:P5" si="13">D5/7</f>
        <v>4</v>
      </c>
      <c r="P5" s="34">
        <f t="shared" si="13"/>
        <v>0</v>
      </c>
      <c r="Q5" s="29">
        <f t="shared" si="8"/>
        <v>41</v>
      </c>
      <c r="R5" s="29"/>
      <c r="S5" s="35">
        <v>0.81834215167548496</v>
      </c>
      <c r="T5" s="28">
        <v>500</v>
      </c>
      <c r="U5" s="36" t="s">
        <v>33</v>
      </c>
      <c r="V5" s="37" t="s">
        <v>33</v>
      </c>
      <c r="W5" s="28">
        <v>0</v>
      </c>
      <c r="X5" s="38">
        <f t="shared" si="9"/>
        <v>0</v>
      </c>
      <c r="Y5" s="39">
        <f t="shared" si="10"/>
        <v>0</v>
      </c>
      <c r="Z5" s="28">
        <v>0</v>
      </c>
      <c r="AA5" s="28" t="s">
        <v>34</v>
      </c>
      <c r="AB5" s="40">
        <f t="shared" si="11"/>
        <v>-0.69</v>
      </c>
      <c r="AC5" s="41">
        <v>5.9363154692931637E-2</v>
      </c>
      <c r="AD5" s="39">
        <f t="shared" si="12"/>
        <v>-2.2937922973348783</v>
      </c>
      <c r="AE5" s="39">
        <v>-4.9000000000000004</v>
      </c>
      <c r="AF5" s="39">
        <v>-2.44</v>
      </c>
      <c r="AG5" s="39">
        <v>0</v>
      </c>
    </row>
    <row r="6" spans="1:33" ht="15.75" customHeight="1" x14ac:dyDescent="0.2">
      <c r="A6" s="28" t="s">
        <v>37</v>
      </c>
      <c r="B6" s="28" t="s">
        <v>326</v>
      </c>
      <c r="C6" s="15">
        <f t="shared" si="4"/>
        <v>11.684166666666664</v>
      </c>
      <c r="D6" s="29">
        <v>24</v>
      </c>
      <c r="E6" s="29">
        <v>1</v>
      </c>
      <c r="F6" s="30">
        <v>280.41999999999996</v>
      </c>
      <c r="G6" s="30">
        <v>-0.06</v>
      </c>
      <c r="H6" s="31">
        <f t="shared" si="1"/>
        <v>2.1396476713501179E-4</v>
      </c>
      <c r="I6" s="31">
        <f t="shared" si="2"/>
        <v>0.21458229763984962</v>
      </c>
      <c r="J6" s="32">
        <f t="shared" si="5"/>
        <v>60.173167904166625</v>
      </c>
      <c r="K6" s="32">
        <f t="shared" si="3"/>
        <v>2.5072153293402759</v>
      </c>
      <c r="L6" s="29">
        <v>46</v>
      </c>
      <c r="M6" s="33">
        <f t="shared" si="6"/>
        <v>0.52173913043478259</v>
      </c>
      <c r="N6" s="29">
        <v>141</v>
      </c>
      <c r="O6" s="34">
        <f t="shared" ref="O6:P6" si="14">D6/7</f>
        <v>3.4285714285714284</v>
      </c>
      <c r="P6" s="34">
        <f t="shared" si="14"/>
        <v>0.14285714285714285</v>
      </c>
      <c r="Q6" s="29">
        <f t="shared" si="8"/>
        <v>39</v>
      </c>
      <c r="R6" s="29"/>
      <c r="S6" s="35">
        <v>0.90359168241965904</v>
      </c>
      <c r="T6" s="28">
        <v>700</v>
      </c>
      <c r="U6" s="36">
        <v>200</v>
      </c>
      <c r="V6" s="37" t="s">
        <v>327</v>
      </c>
      <c r="W6" s="28">
        <v>0</v>
      </c>
      <c r="X6" s="38">
        <f t="shared" si="9"/>
        <v>0</v>
      </c>
      <c r="Y6" s="39">
        <f t="shared" si="10"/>
        <v>0</v>
      </c>
      <c r="Z6" s="28">
        <v>0</v>
      </c>
      <c r="AA6" s="28" t="s">
        <v>34</v>
      </c>
      <c r="AB6" s="40">
        <f t="shared" si="11"/>
        <v>-0.69</v>
      </c>
      <c r="AC6" s="41">
        <v>5.929444733796297E-2</v>
      </c>
      <c r="AD6" s="39">
        <f t="shared" si="12"/>
        <v>-1.9638320958333333</v>
      </c>
      <c r="AE6" s="39">
        <v>-4.9000000000000004</v>
      </c>
      <c r="AF6" s="39">
        <v>-2.44</v>
      </c>
      <c r="AG6" s="39">
        <v>0</v>
      </c>
    </row>
    <row r="7" spans="1:33" ht="15.75" customHeight="1" x14ac:dyDescent="0.2">
      <c r="A7" s="28" t="s">
        <v>40</v>
      </c>
      <c r="B7" s="28" t="s">
        <v>328</v>
      </c>
      <c r="C7" s="15">
        <f t="shared" si="4"/>
        <v>12.700000000000003</v>
      </c>
      <c r="D7" s="29">
        <v>33</v>
      </c>
      <c r="E7" s="29">
        <v>2</v>
      </c>
      <c r="F7" s="30">
        <v>419.10000000000008</v>
      </c>
      <c r="G7" s="30">
        <v>-0.08</v>
      </c>
      <c r="H7" s="31">
        <f t="shared" si="1"/>
        <v>1.9088523025530897E-4</v>
      </c>
      <c r="I7" s="31">
        <f t="shared" si="2"/>
        <v>0.26541334017711576</v>
      </c>
      <c r="J7" s="32">
        <f t="shared" si="5"/>
        <v>111.23473086822925</v>
      </c>
      <c r="K7" s="32">
        <f t="shared" si="3"/>
        <v>3.3707494202493713</v>
      </c>
      <c r="L7" s="29">
        <v>60</v>
      </c>
      <c r="M7" s="33">
        <f t="shared" si="6"/>
        <v>0.55000000000000004</v>
      </c>
      <c r="N7" s="29">
        <v>104</v>
      </c>
      <c r="O7" s="34">
        <f t="shared" ref="O7:P7" si="15">D7/7</f>
        <v>4.7142857142857144</v>
      </c>
      <c r="P7" s="34">
        <f t="shared" si="15"/>
        <v>0.2857142857142857</v>
      </c>
      <c r="Q7" s="29">
        <f t="shared" si="8"/>
        <v>20</v>
      </c>
      <c r="R7" s="29"/>
      <c r="S7" s="35">
        <v>1.0443548387096699</v>
      </c>
      <c r="T7" s="28">
        <v>500</v>
      </c>
      <c r="U7" s="36">
        <v>200</v>
      </c>
      <c r="V7" s="37" t="s">
        <v>329</v>
      </c>
      <c r="W7" s="28">
        <v>2</v>
      </c>
      <c r="X7" s="38">
        <f t="shared" si="9"/>
        <v>6.0606060606060608E-2</v>
      </c>
      <c r="Y7" s="39">
        <f t="shared" si="10"/>
        <v>0.04</v>
      </c>
      <c r="Z7" s="28">
        <v>0</v>
      </c>
      <c r="AA7" s="28" t="s">
        <v>34</v>
      </c>
      <c r="AB7" s="40">
        <f t="shared" si="11"/>
        <v>-0.69</v>
      </c>
      <c r="AC7" s="41">
        <v>5.929444733796297E-2</v>
      </c>
      <c r="AD7" s="39">
        <f t="shared" si="12"/>
        <v>-2.7002691317708334</v>
      </c>
      <c r="AE7" s="39">
        <v>-4.9000000000000004</v>
      </c>
      <c r="AF7" s="39">
        <v>-2.44</v>
      </c>
      <c r="AG7" s="39">
        <v>0</v>
      </c>
    </row>
    <row r="8" spans="1:33" ht="15.75" customHeight="1" x14ac:dyDescent="0.2">
      <c r="A8" s="28" t="s">
        <v>42</v>
      </c>
      <c r="B8" s="28" t="s">
        <v>194</v>
      </c>
      <c r="C8" s="15">
        <f t="shared" si="4"/>
        <v>14.341363636363637</v>
      </c>
      <c r="D8" s="29">
        <v>22</v>
      </c>
      <c r="E8" s="29">
        <v>1</v>
      </c>
      <c r="F8" s="30">
        <v>315.51</v>
      </c>
      <c r="G8" s="30">
        <v>-0.08</v>
      </c>
      <c r="H8" s="31">
        <f t="shared" si="1"/>
        <v>2.5355773192608795E-4</v>
      </c>
      <c r="I8" s="31">
        <f t="shared" si="2"/>
        <v>0.33223454273658337</v>
      </c>
      <c r="J8" s="32">
        <f t="shared" si="5"/>
        <v>104.82332057881942</v>
      </c>
      <c r="K8" s="32">
        <f t="shared" si="3"/>
        <v>4.7646963899463373</v>
      </c>
      <c r="L8" s="29">
        <v>52</v>
      </c>
      <c r="M8" s="33">
        <f t="shared" si="6"/>
        <v>0.42307692307692307</v>
      </c>
      <c r="N8" s="29">
        <v>79</v>
      </c>
      <c r="O8" s="34">
        <f t="shared" ref="O8:P8" si="16">D8/7</f>
        <v>3.1428571428571428</v>
      </c>
      <c r="P8" s="34">
        <f t="shared" si="16"/>
        <v>0.14285714285714285</v>
      </c>
      <c r="Q8" s="29">
        <f t="shared" si="8"/>
        <v>24</v>
      </c>
      <c r="R8" s="29"/>
      <c r="S8" s="35">
        <v>1.16284153005464</v>
      </c>
      <c r="T8" s="28">
        <v>500</v>
      </c>
      <c r="U8" s="36">
        <v>200</v>
      </c>
      <c r="V8" s="37" t="s">
        <v>330</v>
      </c>
      <c r="W8" s="28">
        <v>0</v>
      </c>
      <c r="X8" s="38">
        <f t="shared" si="9"/>
        <v>0</v>
      </c>
      <c r="Y8" s="39">
        <f t="shared" si="10"/>
        <v>0</v>
      </c>
      <c r="Z8" s="28">
        <v>0</v>
      </c>
      <c r="AA8" s="28" t="s">
        <v>34</v>
      </c>
      <c r="AB8" s="40">
        <f t="shared" si="11"/>
        <v>-0.69</v>
      </c>
      <c r="AC8" s="41">
        <v>5.929444733796297E-2</v>
      </c>
      <c r="AD8" s="39">
        <f t="shared" si="12"/>
        <v>-1.8001794211805555</v>
      </c>
      <c r="AE8" s="39">
        <v>-4.9000000000000004</v>
      </c>
      <c r="AF8" s="39">
        <v>-2.44</v>
      </c>
      <c r="AG8" s="39">
        <v>0</v>
      </c>
    </row>
    <row r="9" spans="1:33" ht="15.75" customHeight="1" x14ac:dyDescent="0.2">
      <c r="A9" s="28" t="s">
        <v>44</v>
      </c>
      <c r="B9" s="28" t="s">
        <v>331</v>
      </c>
      <c r="C9" s="15">
        <f t="shared" si="4"/>
        <v>15.530909090909091</v>
      </c>
      <c r="D9" s="29">
        <v>11</v>
      </c>
      <c r="E9" s="29">
        <v>1</v>
      </c>
      <c r="F9" s="30">
        <v>170.84</v>
      </c>
      <c r="G9" s="30">
        <v>-0.06</v>
      </c>
      <c r="H9" s="31">
        <f t="shared" si="1"/>
        <v>3.5120580660266915E-4</v>
      </c>
      <c r="I9" s="31">
        <f t="shared" si="2"/>
        <v>0.37177423489469508</v>
      </c>
      <c r="J9" s="32">
        <f t="shared" si="5"/>
        <v>63.513910289409708</v>
      </c>
      <c r="K9" s="32">
        <f t="shared" si="3"/>
        <v>5.7739918444917917</v>
      </c>
      <c r="L9" s="29">
        <v>43</v>
      </c>
      <c r="M9" s="33">
        <f t="shared" si="6"/>
        <v>0.2558139534883721</v>
      </c>
      <c r="N9" s="29">
        <v>69</v>
      </c>
      <c r="O9" s="34">
        <f t="shared" ref="O9:P9" si="17">D9/7</f>
        <v>1.5714285714285714</v>
      </c>
      <c r="P9" s="34">
        <f t="shared" si="17"/>
        <v>0.14285714285714285</v>
      </c>
      <c r="Q9" s="29">
        <f t="shared" si="8"/>
        <v>40</v>
      </c>
      <c r="R9" s="29"/>
      <c r="S9" s="35">
        <v>1.27116564417177</v>
      </c>
      <c r="T9" s="28">
        <v>500</v>
      </c>
      <c r="U9" s="36">
        <v>25</v>
      </c>
      <c r="V9" s="37" t="s">
        <v>332</v>
      </c>
      <c r="W9" s="28">
        <v>0</v>
      </c>
      <c r="X9" s="38">
        <f t="shared" si="9"/>
        <v>0</v>
      </c>
      <c r="Y9" s="39">
        <f t="shared" si="10"/>
        <v>0</v>
      </c>
      <c r="Z9" s="28">
        <v>0</v>
      </c>
      <c r="AA9" s="28" t="s">
        <v>34</v>
      </c>
      <c r="AB9" s="40">
        <f t="shared" si="11"/>
        <v>-0.69</v>
      </c>
      <c r="AC9" s="41">
        <v>5.929444733796297E-2</v>
      </c>
      <c r="AD9" s="39">
        <f t="shared" si="12"/>
        <v>-0.90008971059027776</v>
      </c>
      <c r="AE9" s="39">
        <v>-4.9000000000000004</v>
      </c>
      <c r="AF9" s="39">
        <v>-2.44</v>
      </c>
      <c r="AG9" s="39">
        <v>0</v>
      </c>
    </row>
    <row r="10" spans="1:33" ht="15.75" customHeight="1" x14ac:dyDescent="0.2">
      <c r="A10" s="28" t="s">
        <v>46</v>
      </c>
      <c r="B10" s="28" t="s">
        <v>47</v>
      </c>
      <c r="C10" s="15">
        <f t="shared" si="4"/>
        <v>15.035555555555554</v>
      </c>
      <c r="D10" s="29">
        <v>9</v>
      </c>
      <c r="E10" s="29">
        <v>2</v>
      </c>
      <c r="F10" s="30">
        <v>135.32</v>
      </c>
      <c r="G10" s="30">
        <v>0</v>
      </c>
      <c r="H10" s="31">
        <f t="shared" si="1"/>
        <v>0</v>
      </c>
      <c r="I10" s="31">
        <f t="shared" si="2"/>
        <v>0.3458984506996593</v>
      </c>
      <c r="J10" s="32">
        <f t="shared" si="5"/>
        <v>46.806978348677895</v>
      </c>
      <c r="K10" s="32">
        <f t="shared" si="3"/>
        <v>5.2007753720753218</v>
      </c>
      <c r="L10" s="29">
        <v>43</v>
      </c>
      <c r="M10" s="33">
        <f t="shared" si="6"/>
        <v>0.20930232558139536</v>
      </c>
      <c r="N10" s="29">
        <v>57</v>
      </c>
      <c r="O10" s="34">
        <f t="shared" ref="O10:P10" si="18">D10/7</f>
        <v>1.2857142857142858</v>
      </c>
      <c r="P10" s="34">
        <f t="shared" si="18"/>
        <v>0.2857142857142857</v>
      </c>
      <c r="Q10" s="29">
        <f t="shared" si="8"/>
        <v>36</v>
      </c>
      <c r="R10" s="29"/>
      <c r="S10" s="35">
        <v>1.3405114401076701</v>
      </c>
      <c r="T10" s="28">
        <v>500</v>
      </c>
      <c r="U10" s="36">
        <v>25</v>
      </c>
      <c r="V10" s="37" t="s">
        <v>333</v>
      </c>
      <c r="W10" s="28">
        <v>0</v>
      </c>
      <c r="X10" s="38">
        <f t="shared" si="9"/>
        <v>0</v>
      </c>
      <c r="Y10" s="39">
        <f t="shared" si="10"/>
        <v>0</v>
      </c>
      <c r="Z10" s="28">
        <v>0</v>
      </c>
      <c r="AA10" s="28" t="s">
        <v>34</v>
      </c>
      <c r="AB10" s="40">
        <f t="shared" si="11"/>
        <v>-0.69</v>
      </c>
      <c r="AC10" s="41">
        <v>5.929444733796297E-2</v>
      </c>
      <c r="AD10" s="39">
        <f t="shared" si="12"/>
        <v>-0.73643703593749998</v>
      </c>
      <c r="AE10" s="39">
        <v>-4.9000000000000004</v>
      </c>
      <c r="AF10" s="39">
        <v>-2.5976205128205101</v>
      </c>
      <c r="AG10" s="39">
        <v>0</v>
      </c>
    </row>
    <row r="11" spans="1:33" ht="15.75" customHeight="1" x14ac:dyDescent="0.2">
      <c r="A11" s="28" t="s">
        <v>48</v>
      </c>
      <c r="B11" s="28" t="s">
        <v>334</v>
      </c>
      <c r="C11" s="15">
        <f t="shared" si="4"/>
        <v>15.115</v>
      </c>
      <c r="D11" s="29">
        <v>2</v>
      </c>
      <c r="E11" s="29">
        <v>0</v>
      </c>
      <c r="F11" s="30">
        <v>30.23</v>
      </c>
      <c r="G11" s="30">
        <v>-0.14000000000000001</v>
      </c>
      <c r="H11" s="31">
        <f t="shared" si="1"/>
        <v>4.6311610982467753E-3</v>
      </c>
      <c r="I11" s="31">
        <f t="shared" si="2"/>
        <v>0.34391684749276213</v>
      </c>
      <c r="J11" s="32">
        <f t="shared" si="5"/>
        <v>10.3966062997062</v>
      </c>
      <c r="K11" s="32">
        <f t="shared" si="3"/>
        <v>5.1983031498530998</v>
      </c>
      <c r="L11" s="29">
        <v>19</v>
      </c>
      <c r="M11" s="33">
        <f t="shared" si="6"/>
        <v>0.10526315789473684</v>
      </c>
      <c r="N11" s="29">
        <v>55</v>
      </c>
      <c r="O11" s="34">
        <f t="shared" ref="O11:P11" si="19">D11/7</f>
        <v>0.2857142857142857</v>
      </c>
      <c r="P11" s="34">
        <f t="shared" si="19"/>
        <v>0</v>
      </c>
      <c r="Q11" s="29">
        <f t="shared" si="8"/>
        <v>192</v>
      </c>
      <c r="R11" s="29"/>
      <c r="S11" s="35">
        <v>1.3933236574746</v>
      </c>
      <c r="T11" s="28">
        <v>718</v>
      </c>
      <c r="U11" s="36">
        <v>25</v>
      </c>
      <c r="V11" s="37" t="s">
        <v>335</v>
      </c>
      <c r="W11" s="28">
        <v>0</v>
      </c>
      <c r="X11" s="38">
        <f t="shared" si="9"/>
        <v>0</v>
      </c>
      <c r="Y11" s="39">
        <f t="shared" si="10"/>
        <v>0</v>
      </c>
      <c r="Z11" s="28">
        <v>0</v>
      </c>
      <c r="AA11" s="28" t="s">
        <v>34</v>
      </c>
      <c r="AB11" s="40">
        <f t="shared" si="11"/>
        <v>-0.69</v>
      </c>
      <c r="AC11" s="41">
        <v>5.929444733796297E-2</v>
      </c>
      <c r="AD11" s="39">
        <f t="shared" si="12"/>
        <v>-0.16365267465277777</v>
      </c>
      <c r="AE11" s="39">
        <v>-4.9000000000000004</v>
      </c>
      <c r="AF11" s="39">
        <v>-2.5976205128205101</v>
      </c>
      <c r="AG11" s="39">
        <v>0</v>
      </c>
    </row>
    <row r="12" spans="1:33" ht="15.75" customHeight="1" x14ac:dyDescent="0.2">
      <c r="A12" s="28" t="s">
        <v>49</v>
      </c>
      <c r="B12" s="28" t="s">
        <v>47</v>
      </c>
      <c r="C12" s="15">
        <f t="shared" si="4"/>
        <v>15.021176470588237</v>
      </c>
      <c r="D12" s="29">
        <v>17</v>
      </c>
      <c r="E12" s="29">
        <v>1</v>
      </c>
      <c r="F12" s="30">
        <v>255.36000000000004</v>
      </c>
      <c r="G12" s="30">
        <v>-0.08</v>
      </c>
      <c r="H12" s="31">
        <f t="shared" si="1"/>
        <v>3.1328320802005005E-4</v>
      </c>
      <c r="I12" s="31">
        <f t="shared" si="2"/>
        <v>0.34510261414278948</v>
      </c>
      <c r="J12" s="32">
        <f t="shared" si="5"/>
        <v>88.125403547502742</v>
      </c>
      <c r="K12" s="32">
        <f t="shared" si="3"/>
        <v>5.1838472675001617</v>
      </c>
      <c r="L12" s="29">
        <v>28</v>
      </c>
      <c r="M12" s="33">
        <f t="shared" si="6"/>
        <v>0.6071428571428571</v>
      </c>
      <c r="N12" s="29">
        <v>41</v>
      </c>
      <c r="O12" s="34">
        <f t="shared" ref="O12:P12" si="20">D12/7</f>
        <v>2.4285714285714284</v>
      </c>
      <c r="P12" s="34">
        <f t="shared" si="20"/>
        <v>0.14285714285714285</v>
      </c>
      <c r="Q12" s="29">
        <f t="shared" si="8"/>
        <v>15</v>
      </c>
      <c r="R12" s="29"/>
      <c r="S12" s="35">
        <v>1.5576923076922999</v>
      </c>
      <c r="T12" s="28">
        <v>675</v>
      </c>
      <c r="U12" s="36">
        <v>200</v>
      </c>
      <c r="V12" s="37" t="s">
        <v>336</v>
      </c>
      <c r="W12" s="28">
        <v>1</v>
      </c>
      <c r="X12" s="38">
        <f t="shared" si="9"/>
        <v>5.8823529411764705E-2</v>
      </c>
      <c r="Y12" s="39">
        <f t="shared" si="10"/>
        <v>0.08</v>
      </c>
      <c r="Z12" s="28">
        <v>0</v>
      </c>
      <c r="AA12" s="28" t="s">
        <v>34</v>
      </c>
      <c r="AB12" s="40">
        <f t="shared" si="11"/>
        <v>-0.69</v>
      </c>
      <c r="AC12" s="41">
        <v>5.929444733796297E-2</v>
      </c>
      <c r="AD12" s="39">
        <f t="shared" si="12"/>
        <v>-1.3910477345486112</v>
      </c>
      <c r="AE12" s="39">
        <v>-4.9000000000000004</v>
      </c>
      <c r="AF12" s="39">
        <v>-2.5976205128205101</v>
      </c>
      <c r="AG12" s="39">
        <v>0</v>
      </c>
    </row>
    <row r="13" spans="1:33" ht="15.75" customHeight="1" x14ac:dyDescent="0.2">
      <c r="A13" s="28" t="s">
        <v>50</v>
      </c>
      <c r="B13" s="28" t="s">
        <v>337</v>
      </c>
      <c r="C13" s="15">
        <f t="shared" si="4"/>
        <v>15.285384615384617</v>
      </c>
      <c r="D13" s="29">
        <v>13</v>
      </c>
      <c r="E13" s="29">
        <v>1</v>
      </c>
      <c r="F13" s="32">
        <v>198.71</v>
      </c>
      <c r="G13" s="30">
        <v>0</v>
      </c>
      <c r="H13" s="31">
        <f t="shared" si="1"/>
        <v>0</v>
      </c>
      <c r="I13" s="31">
        <f t="shared" si="2"/>
        <v>0.35262119478011644</v>
      </c>
      <c r="J13" s="32">
        <f t="shared" si="5"/>
        <v>70.069357614756939</v>
      </c>
      <c r="K13" s="32">
        <f t="shared" si="3"/>
        <v>5.3899505857505341</v>
      </c>
      <c r="L13" s="29">
        <v>15</v>
      </c>
      <c r="M13" s="33">
        <f t="shared" si="6"/>
        <v>0.8666666666666667</v>
      </c>
      <c r="N13" s="29">
        <v>52</v>
      </c>
      <c r="O13" s="34">
        <f t="shared" ref="O13:P13" si="21">D13/7</f>
        <v>1.8571428571428572</v>
      </c>
      <c r="P13" s="34">
        <f t="shared" si="21"/>
        <v>0.14285714285714285</v>
      </c>
      <c r="Q13" s="29">
        <f t="shared" si="8"/>
        <v>26</v>
      </c>
      <c r="R13" s="29"/>
      <c r="S13" s="35">
        <v>1.54487179487179</v>
      </c>
      <c r="T13" s="28">
        <v>475</v>
      </c>
      <c r="U13" s="36">
        <v>75</v>
      </c>
      <c r="V13" s="37" t="s">
        <v>338</v>
      </c>
      <c r="W13" s="28">
        <v>0</v>
      </c>
      <c r="X13" s="38">
        <f t="shared" si="9"/>
        <v>0</v>
      </c>
      <c r="Y13" s="39">
        <f t="shared" si="10"/>
        <v>0</v>
      </c>
      <c r="Z13" s="28">
        <v>0</v>
      </c>
      <c r="AA13" s="28" t="s">
        <v>34</v>
      </c>
      <c r="AB13" s="40">
        <f t="shared" si="11"/>
        <v>-0.69</v>
      </c>
      <c r="AC13" s="41">
        <v>5.929444733796297E-2</v>
      </c>
      <c r="AD13" s="39">
        <f t="shared" si="12"/>
        <v>-1.0637423852430556</v>
      </c>
      <c r="AE13" s="39">
        <v>-4.9000000000000004</v>
      </c>
      <c r="AF13" s="39">
        <v>-2.6208</v>
      </c>
      <c r="AG13" s="39">
        <v>0</v>
      </c>
    </row>
    <row r="14" spans="1:33" ht="15.75" customHeight="1" x14ac:dyDescent="0.2">
      <c r="A14" s="28" t="s">
        <v>51</v>
      </c>
      <c r="B14" s="28"/>
      <c r="C14" s="15">
        <f t="shared" si="4"/>
        <v>15.7475</v>
      </c>
      <c r="D14" s="29">
        <v>4</v>
      </c>
      <c r="E14" s="29">
        <v>1</v>
      </c>
      <c r="F14" s="32">
        <v>62.99</v>
      </c>
      <c r="G14" s="30">
        <v>-0.18</v>
      </c>
      <c r="H14" s="31">
        <f t="shared" si="1"/>
        <v>2.857596443879981E-3</v>
      </c>
      <c r="I14" s="31">
        <f t="shared" si="2"/>
        <v>0.36435933720740499</v>
      </c>
      <c r="J14" s="32">
        <f t="shared" si="5"/>
        <v>22.95099465069444</v>
      </c>
      <c r="K14" s="32">
        <f t="shared" si="3"/>
        <v>5.7377486626736101</v>
      </c>
      <c r="L14" s="29">
        <v>21</v>
      </c>
      <c r="M14" s="33">
        <f t="shared" si="6"/>
        <v>0.19047619047619047</v>
      </c>
      <c r="N14" s="29">
        <v>48</v>
      </c>
      <c r="O14" s="34">
        <f t="shared" ref="O14:P14" si="22">D14/7</f>
        <v>0.5714285714285714</v>
      </c>
      <c r="P14" s="34">
        <f t="shared" si="22"/>
        <v>0.14285714285714285</v>
      </c>
      <c r="Q14" s="29">
        <f t="shared" si="8"/>
        <v>67</v>
      </c>
      <c r="R14" s="29"/>
      <c r="S14" s="35">
        <v>1.7341513292433499</v>
      </c>
      <c r="T14" s="28">
        <v>475</v>
      </c>
      <c r="U14" s="36">
        <v>75</v>
      </c>
      <c r="V14" s="37" t="s">
        <v>338</v>
      </c>
      <c r="W14" s="28">
        <v>0</v>
      </c>
      <c r="X14" s="38">
        <f t="shared" si="9"/>
        <v>0</v>
      </c>
      <c r="Y14" s="39">
        <f t="shared" si="10"/>
        <v>0</v>
      </c>
      <c r="Z14" s="28">
        <v>0</v>
      </c>
      <c r="AA14" s="28" t="s">
        <v>34</v>
      </c>
      <c r="AB14" s="40">
        <f t="shared" si="11"/>
        <v>-0.69</v>
      </c>
      <c r="AC14" s="41">
        <v>5.929444733796297E-2</v>
      </c>
      <c r="AD14" s="39">
        <f t="shared" si="12"/>
        <v>-0.32730534930555555</v>
      </c>
      <c r="AE14" s="39">
        <v>-4.9000000000000004</v>
      </c>
      <c r="AF14" s="39">
        <v>-2.6208</v>
      </c>
      <c r="AG14" s="39">
        <v>0</v>
      </c>
    </row>
    <row r="15" spans="1:33" ht="15.75" customHeight="1" x14ac:dyDescent="0.2">
      <c r="A15" s="28" t="s">
        <v>53</v>
      </c>
      <c r="B15" s="28" t="s">
        <v>47</v>
      </c>
      <c r="C15" s="15">
        <f t="shared" si="4"/>
        <v>14.990000000000002</v>
      </c>
      <c r="D15" s="29">
        <v>11</v>
      </c>
      <c r="E15" s="29">
        <v>0</v>
      </c>
      <c r="F15" s="32">
        <v>164.89000000000001</v>
      </c>
      <c r="G15" s="30">
        <v>0</v>
      </c>
      <c r="H15" s="31">
        <f t="shared" si="1"/>
        <v>0</v>
      </c>
      <c r="I15" s="31">
        <f t="shared" si="2"/>
        <v>0.33815034440784603</v>
      </c>
      <c r="J15" s="32">
        <f t="shared" si="5"/>
        <v>55.75761028940974</v>
      </c>
      <c r="K15" s="32">
        <f t="shared" si="3"/>
        <v>5.0688736626736128</v>
      </c>
      <c r="L15" s="29">
        <v>15</v>
      </c>
      <c r="M15" s="33">
        <f t="shared" si="6"/>
        <v>0.73333333333333328</v>
      </c>
      <c r="N15" s="29">
        <v>38</v>
      </c>
      <c r="O15" s="34">
        <f t="shared" ref="O15:P15" si="23">D15/7</f>
        <v>1.5714285714285714</v>
      </c>
      <c r="P15" s="34">
        <f t="shared" si="23"/>
        <v>0</v>
      </c>
      <c r="Q15" s="29">
        <f t="shared" si="8"/>
        <v>24</v>
      </c>
      <c r="R15" s="29"/>
      <c r="S15" s="35">
        <v>1.93227990970654</v>
      </c>
      <c r="T15" s="28">
        <v>475</v>
      </c>
      <c r="U15" s="36">
        <v>75</v>
      </c>
      <c r="V15" s="37" t="s">
        <v>339</v>
      </c>
      <c r="W15" s="28">
        <v>0</v>
      </c>
      <c r="X15" s="38">
        <f t="shared" si="9"/>
        <v>0</v>
      </c>
      <c r="Y15" s="39">
        <f t="shared" si="10"/>
        <v>0</v>
      </c>
      <c r="Z15" s="28">
        <v>0</v>
      </c>
      <c r="AA15" s="28" t="s">
        <v>34</v>
      </c>
      <c r="AB15" s="40">
        <f t="shared" si="11"/>
        <v>-0.69</v>
      </c>
      <c r="AC15" s="41">
        <v>5.929444733796297E-2</v>
      </c>
      <c r="AD15" s="39">
        <f t="shared" si="12"/>
        <v>-0.90008971059027776</v>
      </c>
      <c r="AE15" s="39">
        <v>-4.9000000000000004</v>
      </c>
      <c r="AF15" s="39">
        <v>-2.6907999999999999</v>
      </c>
      <c r="AG15" s="39">
        <v>0</v>
      </c>
    </row>
    <row r="16" spans="1:33" ht="15.75" customHeight="1" x14ac:dyDescent="0.2">
      <c r="A16" s="28" t="s">
        <v>54</v>
      </c>
      <c r="B16" s="28" t="s">
        <v>47</v>
      </c>
      <c r="C16" s="15">
        <f t="shared" si="4"/>
        <v>15.002999999999997</v>
      </c>
      <c r="D16" s="29">
        <v>10</v>
      </c>
      <c r="E16" s="29">
        <v>0</v>
      </c>
      <c r="F16" s="32">
        <v>150.02999999999997</v>
      </c>
      <c r="G16" s="30">
        <v>0</v>
      </c>
      <c r="H16" s="31">
        <f t="shared" si="1"/>
        <v>0</v>
      </c>
      <c r="I16" s="31">
        <f t="shared" si="2"/>
        <v>0.338593858739826</v>
      </c>
      <c r="J16" s="32">
        <f t="shared" si="5"/>
        <v>50.799236626736089</v>
      </c>
      <c r="K16" s="32">
        <f t="shared" si="3"/>
        <v>5.0799236626736093</v>
      </c>
      <c r="L16" s="29">
        <v>26</v>
      </c>
      <c r="M16" s="33">
        <f t="shared" si="6"/>
        <v>0.38461538461538464</v>
      </c>
      <c r="N16" s="29">
        <v>103</v>
      </c>
      <c r="O16" s="34">
        <f t="shared" ref="O16:P16" si="24">D16/7</f>
        <v>1.4285714285714286</v>
      </c>
      <c r="P16" s="34">
        <f t="shared" si="24"/>
        <v>0</v>
      </c>
      <c r="Q16" s="29">
        <f t="shared" si="8"/>
        <v>72</v>
      </c>
      <c r="R16" s="29"/>
      <c r="S16" s="35">
        <v>1.862660944206</v>
      </c>
      <c r="T16" s="28">
        <v>475</v>
      </c>
      <c r="U16" s="36">
        <v>75</v>
      </c>
      <c r="V16" s="37" t="s">
        <v>339</v>
      </c>
      <c r="W16" s="28">
        <v>0</v>
      </c>
      <c r="X16" s="38">
        <f t="shared" si="9"/>
        <v>0</v>
      </c>
      <c r="Y16" s="39">
        <f t="shared" si="10"/>
        <v>0</v>
      </c>
      <c r="Z16" s="28">
        <v>0</v>
      </c>
      <c r="AA16" s="28" t="s">
        <v>34</v>
      </c>
      <c r="AB16" s="40">
        <f t="shared" si="11"/>
        <v>-0.69</v>
      </c>
      <c r="AC16" s="41">
        <v>5.929444733796297E-2</v>
      </c>
      <c r="AD16" s="39">
        <f t="shared" si="12"/>
        <v>-0.81826337326388887</v>
      </c>
      <c r="AE16" s="39">
        <v>-4.9000000000000004</v>
      </c>
      <c r="AF16" s="39">
        <v>-2.6907999999999999</v>
      </c>
      <c r="AG16" s="39">
        <v>0</v>
      </c>
    </row>
    <row r="17" spans="1:33" ht="15.75" customHeight="1" x14ac:dyDescent="0.2">
      <c r="A17" s="28" t="s">
        <v>55</v>
      </c>
      <c r="B17" s="28" t="s">
        <v>47</v>
      </c>
      <c r="C17" s="15">
        <f t="shared" si="4"/>
        <v>15.017333333333337</v>
      </c>
      <c r="D17" s="29">
        <v>15</v>
      </c>
      <c r="E17" s="29">
        <v>0</v>
      </c>
      <c r="F17" s="32">
        <v>225.26000000000005</v>
      </c>
      <c r="G17" s="30">
        <v>-0.08</v>
      </c>
      <c r="H17" s="31">
        <f t="shared" si="1"/>
        <v>3.5514516558643336E-4</v>
      </c>
      <c r="I17" s="31">
        <f t="shared" si="2"/>
        <v>0.33872682651204911</v>
      </c>
      <c r="J17" s="32">
        <f t="shared" si="5"/>
        <v>76.301604940104198</v>
      </c>
      <c r="K17" s="32">
        <f t="shared" si="3"/>
        <v>5.0867736626736129</v>
      </c>
      <c r="L17" s="29">
        <v>36</v>
      </c>
      <c r="M17" s="33">
        <f t="shared" si="6"/>
        <v>0.41666666666666669</v>
      </c>
      <c r="N17" s="29">
        <v>87</v>
      </c>
      <c r="O17" s="34">
        <f t="shared" ref="O17:P17" si="25">D17/7</f>
        <v>2.1428571428571428</v>
      </c>
      <c r="P17" s="34">
        <f t="shared" si="25"/>
        <v>0</v>
      </c>
      <c r="Q17" s="29">
        <f t="shared" si="8"/>
        <v>40</v>
      </c>
      <c r="R17" s="29"/>
      <c r="S17" s="35">
        <v>1.94847775175644</v>
      </c>
      <c r="T17" s="28">
        <v>275</v>
      </c>
      <c r="U17" s="36">
        <v>75</v>
      </c>
      <c r="V17" s="37" t="s">
        <v>340</v>
      </c>
      <c r="W17" s="28">
        <v>0</v>
      </c>
      <c r="X17" s="38">
        <f t="shared" si="9"/>
        <v>0</v>
      </c>
      <c r="Y17" s="39">
        <f t="shared" si="10"/>
        <v>0</v>
      </c>
      <c r="Z17" s="28">
        <v>0</v>
      </c>
      <c r="AA17" s="28" t="s">
        <v>34</v>
      </c>
      <c r="AB17" s="40">
        <f t="shared" si="11"/>
        <v>-0.69</v>
      </c>
      <c r="AC17" s="41">
        <v>5.929444733796297E-2</v>
      </c>
      <c r="AD17" s="39">
        <f t="shared" si="12"/>
        <v>-1.2273950598958332</v>
      </c>
      <c r="AE17" s="39">
        <v>-4.9000000000000004</v>
      </c>
      <c r="AF17" s="39">
        <v>-2.6907999999999999</v>
      </c>
      <c r="AG17" s="39">
        <v>0</v>
      </c>
    </row>
    <row r="18" spans="1:33" ht="15.75" customHeight="1" x14ac:dyDescent="0.2">
      <c r="A18" s="28" t="s">
        <v>56</v>
      </c>
      <c r="B18" s="28" t="s">
        <v>341</v>
      </c>
      <c r="C18" s="15">
        <f t="shared" si="4"/>
        <v>14.989999999999998</v>
      </c>
      <c r="D18" s="29">
        <v>8</v>
      </c>
      <c r="E18" s="29">
        <v>1</v>
      </c>
      <c r="F18" s="32">
        <v>119.91999999999999</v>
      </c>
      <c r="G18" s="30">
        <v>0</v>
      </c>
      <c r="H18" s="31">
        <f t="shared" si="1"/>
        <v>0</v>
      </c>
      <c r="I18" s="31">
        <f t="shared" si="2"/>
        <v>0.33815034440784597</v>
      </c>
      <c r="J18" s="32">
        <f t="shared" si="5"/>
        <v>40.550989301388881</v>
      </c>
      <c r="K18" s="32">
        <f t="shared" si="3"/>
        <v>5.0688736626736102</v>
      </c>
      <c r="L18" s="29">
        <v>22</v>
      </c>
      <c r="M18" s="33">
        <f t="shared" si="6"/>
        <v>0.36363636363636365</v>
      </c>
      <c r="N18" s="29">
        <v>279</v>
      </c>
      <c r="O18" s="34">
        <f t="shared" ref="O18:P18" si="26">D18/7</f>
        <v>1.1428571428571428</v>
      </c>
      <c r="P18" s="34">
        <f t="shared" si="26"/>
        <v>0.14285714285714285</v>
      </c>
      <c r="Q18" s="29">
        <f t="shared" si="8"/>
        <v>217</v>
      </c>
      <c r="R18" s="29"/>
      <c r="S18" s="35">
        <v>1.3615520282186899</v>
      </c>
      <c r="T18" s="28">
        <v>200</v>
      </c>
      <c r="U18" s="36">
        <v>0</v>
      </c>
      <c r="V18" s="37" t="s">
        <v>33</v>
      </c>
      <c r="W18" s="28">
        <v>0</v>
      </c>
      <c r="X18" s="38">
        <f t="shared" si="9"/>
        <v>0</v>
      </c>
      <c r="Y18" s="39">
        <f t="shared" si="10"/>
        <v>0</v>
      </c>
      <c r="Z18" s="28">
        <v>0</v>
      </c>
      <c r="AA18" s="28" t="s">
        <v>34</v>
      </c>
      <c r="AB18" s="40">
        <f t="shared" si="11"/>
        <v>-0.69</v>
      </c>
      <c r="AC18" s="41">
        <v>5.929444733796297E-2</v>
      </c>
      <c r="AD18" s="39">
        <f t="shared" si="12"/>
        <v>-0.6546106986111111</v>
      </c>
      <c r="AE18" s="39">
        <v>-4.9000000000000004</v>
      </c>
      <c r="AF18" s="39">
        <v>-2.6907999999999999</v>
      </c>
      <c r="AG18" s="39">
        <v>0</v>
      </c>
    </row>
    <row r="19" spans="1:33" ht="15.75" customHeight="1" x14ac:dyDescent="0.2">
      <c r="A19" s="28" t="s">
        <v>57</v>
      </c>
      <c r="B19" s="28" t="s">
        <v>47</v>
      </c>
      <c r="C19" s="15">
        <f t="shared" si="4"/>
        <v>14.990000000000002</v>
      </c>
      <c r="D19" s="29">
        <v>18</v>
      </c>
      <c r="E19" s="29">
        <v>1</v>
      </c>
      <c r="F19" s="32">
        <v>269.82000000000005</v>
      </c>
      <c r="G19" s="30">
        <v>-7.0000000000000007E-2</v>
      </c>
      <c r="H19" s="31">
        <f t="shared" si="1"/>
        <v>2.5943221406863834E-4</v>
      </c>
      <c r="I19" s="31">
        <f t="shared" si="2"/>
        <v>0.3295186640283338</v>
      </c>
      <c r="J19" s="32">
        <f t="shared" si="5"/>
        <v>88.910725928125046</v>
      </c>
      <c r="K19" s="32">
        <f t="shared" si="3"/>
        <v>4.9394847737847245</v>
      </c>
      <c r="L19" s="29">
        <v>34</v>
      </c>
      <c r="M19" s="33">
        <f t="shared" si="6"/>
        <v>0.52941176470588236</v>
      </c>
      <c r="N19" s="29">
        <v>262</v>
      </c>
      <c r="O19" s="34">
        <f t="shared" ref="O19:P19" si="27">D19/7</f>
        <v>2.5714285714285716</v>
      </c>
      <c r="P19" s="34">
        <f t="shared" si="27"/>
        <v>0.14285714285714285</v>
      </c>
      <c r="Q19" s="29">
        <f t="shared" si="8"/>
        <v>96</v>
      </c>
      <c r="R19" s="29"/>
      <c r="S19" s="35">
        <v>1.3409090909090899</v>
      </c>
      <c r="T19" s="28">
        <v>200</v>
      </c>
      <c r="U19" s="36" t="s">
        <v>33</v>
      </c>
      <c r="V19" s="37" t="s">
        <v>33</v>
      </c>
      <c r="W19" s="28">
        <v>0</v>
      </c>
      <c r="X19" s="38">
        <f t="shared" si="9"/>
        <v>0</v>
      </c>
      <c r="Y19" s="39">
        <f t="shared" si="10"/>
        <v>0</v>
      </c>
      <c r="Z19" s="28">
        <v>0</v>
      </c>
      <c r="AA19" s="28" t="s">
        <v>34</v>
      </c>
      <c r="AB19" s="40">
        <f t="shared" si="11"/>
        <v>-0.69</v>
      </c>
      <c r="AC19" s="41">
        <v>5.929444733796297E-2</v>
      </c>
      <c r="AD19" s="39">
        <f t="shared" si="12"/>
        <v>-1.472874071875</v>
      </c>
      <c r="AE19" s="39">
        <v>-4.9000000000000004</v>
      </c>
      <c r="AF19" s="39">
        <v>-2.8163</v>
      </c>
      <c r="AG19" s="39">
        <v>0</v>
      </c>
    </row>
    <row r="20" spans="1:33" ht="15.75" customHeight="1" x14ac:dyDescent="0.2">
      <c r="A20" s="28" t="s">
        <v>58</v>
      </c>
      <c r="B20" s="28" t="s">
        <v>342</v>
      </c>
      <c r="C20" s="15">
        <f t="shared" si="4"/>
        <v>15.032380952380953</v>
      </c>
      <c r="D20" s="29">
        <v>21</v>
      </c>
      <c r="E20" s="29">
        <v>0</v>
      </c>
      <c r="F20" s="32">
        <v>315.68</v>
      </c>
      <c r="G20" s="30">
        <v>0</v>
      </c>
      <c r="H20" s="31">
        <f t="shared" si="1"/>
        <v>0</v>
      </c>
      <c r="I20" s="31">
        <f t="shared" si="2"/>
        <v>0.33124476341911363</v>
      </c>
      <c r="J20" s="32">
        <f t="shared" si="5"/>
        <v>104.56734691614579</v>
      </c>
      <c r="K20" s="32">
        <f t="shared" si="3"/>
        <v>4.9793974721974186</v>
      </c>
      <c r="L20" s="29">
        <v>36</v>
      </c>
      <c r="M20" s="33">
        <f t="shared" si="6"/>
        <v>0.58333333333333337</v>
      </c>
      <c r="N20" s="29">
        <v>240</v>
      </c>
      <c r="O20" s="34">
        <f t="shared" ref="O20:P20" si="28">D20/7</f>
        <v>3</v>
      </c>
      <c r="P20" s="34">
        <f t="shared" si="28"/>
        <v>0</v>
      </c>
      <c r="Q20" s="29">
        <f t="shared" si="8"/>
        <v>80</v>
      </c>
      <c r="R20" s="29"/>
      <c r="S20" s="35">
        <v>1.4112903225806399</v>
      </c>
      <c r="T20" s="28">
        <v>200</v>
      </c>
      <c r="U20" s="36" t="s">
        <v>33</v>
      </c>
      <c r="V20" s="37" t="s">
        <v>33</v>
      </c>
      <c r="W20" s="28">
        <v>0</v>
      </c>
      <c r="X20" s="38">
        <f t="shared" si="9"/>
        <v>0</v>
      </c>
      <c r="Y20" s="39">
        <f t="shared" si="10"/>
        <v>0</v>
      </c>
      <c r="Z20" s="28">
        <v>0</v>
      </c>
      <c r="AA20" s="28" t="s">
        <v>34</v>
      </c>
      <c r="AB20" s="40">
        <f t="shared" si="11"/>
        <v>-0.69</v>
      </c>
      <c r="AC20" s="41">
        <v>5.929444733796297E-2</v>
      </c>
      <c r="AD20" s="39">
        <f t="shared" si="12"/>
        <v>-1.7183530838541667</v>
      </c>
      <c r="AE20" s="39">
        <v>-4.9000000000000004</v>
      </c>
      <c r="AF20" s="39">
        <v>-2.8163</v>
      </c>
      <c r="AG20" s="39">
        <v>0</v>
      </c>
    </row>
    <row r="21" spans="1:33" ht="15.75" customHeight="1" x14ac:dyDescent="0.2">
      <c r="A21" s="28" t="s">
        <v>59</v>
      </c>
      <c r="B21" s="28" t="s">
        <v>47</v>
      </c>
      <c r="C21" s="15">
        <f t="shared" si="4"/>
        <v>14.477500000000001</v>
      </c>
      <c r="D21" s="29">
        <v>20</v>
      </c>
      <c r="E21" s="29">
        <v>0</v>
      </c>
      <c r="F21" s="32">
        <v>289.55</v>
      </c>
      <c r="G21" s="30">
        <v>-0.02</v>
      </c>
      <c r="H21" s="31">
        <f t="shared" si="1"/>
        <v>6.9072699015714037E-5</v>
      </c>
      <c r="I21" s="31">
        <f t="shared" si="2"/>
        <v>0.3112932939163261</v>
      </c>
      <c r="J21" s="32">
        <f t="shared" si="5"/>
        <v>90.134973253472225</v>
      </c>
      <c r="K21" s="32">
        <f t="shared" si="3"/>
        <v>4.5067486626736111</v>
      </c>
      <c r="L21" s="29">
        <v>8</v>
      </c>
      <c r="M21" s="33">
        <f t="shared" si="6"/>
        <v>2.5</v>
      </c>
      <c r="N21" s="29">
        <v>225</v>
      </c>
      <c r="O21" s="34">
        <f t="shared" ref="O21:P21" si="29">D21/7</f>
        <v>2.8571428571428572</v>
      </c>
      <c r="P21" s="34">
        <f t="shared" si="29"/>
        <v>0</v>
      </c>
      <c r="Q21" s="29">
        <f t="shared" si="8"/>
        <v>78</v>
      </c>
      <c r="R21" s="29"/>
      <c r="S21" s="35">
        <v>1.3790149892933601</v>
      </c>
      <c r="T21" s="28">
        <v>200</v>
      </c>
      <c r="U21" s="36" t="s">
        <v>33</v>
      </c>
      <c r="V21" s="37" t="s">
        <v>33</v>
      </c>
      <c r="W21" s="28">
        <v>0</v>
      </c>
      <c r="X21" s="38">
        <f t="shared" si="9"/>
        <v>0</v>
      </c>
      <c r="Y21" s="39">
        <f t="shared" si="10"/>
        <v>0</v>
      </c>
      <c r="Z21" s="28">
        <v>0</v>
      </c>
      <c r="AA21" s="28" t="s">
        <v>34</v>
      </c>
      <c r="AB21" s="40">
        <f t="shared" si="11"/>
        <v>-0.69</v>
      </c>
      <c r="AC21" s="41">
        <v>5.929444733796297E-2</v>
      </c>
      <c r="AD21" s="39">
        <f t="shared" si="12"/>
        <v>-1.6365267465277777</v>
      </c>
      <c r="AE21" s="39">
        <v>-4.9000000000000004</v>
      </c>
      <c r="AF21" s="39">
        <v>-2.8163</v>
      </c>
      <c r="AG21" s="39">
        <v>0</v>
      </c>
    </row>
    <row r="22" spans="1:33" ht="15.75" customHeight="1" x14ac:dyDescent="0.2">
      <c r="A22" s="28" t="s">
        <v>60</v>
      </c>
      <c r="B22" s="28" t="s">
        <v>47</v>
      </c>
      <c r="C22" s="15">
        <f t="shared" si="4"/>
        <v>14.173809523809522</v>
      </c>
      <c r="D22" s="29">
        <v>21</v>
      </c>
      <c r="E22" s="29">
        <v>0</v>
      </c>
      <c r="F22" s="30">
        <v>297.64999999999998</v>
      </c>
      <c r="G22" s="30">
        <v>-0.08</v>
      </c>
      <c r="H22" s="31">
        <f t="shared" si="1"/>
        <v>2.6877204770703848E-4</v>
      </c>
      <c r="I22" s="31">
        <f t="shared" si="2"/>
        <v>0.29955265216242494</v>
      </c>
      <c r="J22" s="32">
        <f t="shared" si="5"/>
        <v>89.161846916145777</v>
      </c>
      <c r="K22" s="32">
        <f t="shared" si="3"/>
        <v>4.2458022341021797</v>
      </c>
      <c r="L22" s="29">
        <v>27</v>
      </c>
      <c r="M22" s="33">
        <f t="shared" si="6"/>
        <v>0.77777777777777779</v>
      </c>
      <c r="N22" s="29">
        <v>200</v>
      </c>
      <c r="O22" s="34">
        <f t="shared" ref="O22:P22" si="30">D22/7</f>
        <v>3</v>
      </c>
      <c r="P22" s="34">
        <f t="shared" si="30"/>
        <v>0</v>
      </c>
      <c r="Q22" s="29">
        <f t="shared" si="8"/>
        <v>66</v>
      </c>
      <c r="R22" s="29"/>
      <c r="S22" s="35">
        <v>1.1578947368421</v>
      </c>
      <c r="T22" s="28">
        <v>300</v>
      </c>
      <c r="U22" s="36" t="s">
        <v>33</v>
      </c>
      <c r="V22" s="37" t="s">
        <v>33</v>
      </c>
      <c r="W22" s="28">
        <v>0</v>
      </c>
      <c r="X22" s="38">
        <f t="shared" si="9"/>
        <v>0</v>
      </c>
      <c r="Y22" s="39">
        <f t="shared" si="10"/>
        <v>0</v>
      </c>
      <c r="Z22" s="28">
        <v>0</v>
      </c>
      <c r="AA22" s="28" t="s">
        <v>34</v>
      </c>
      <c r="AB22" s="40">
        <f t="shared" si="11"/>
        <v>-0.69</v>
      </c>
      <c r="AC22" s="41">
        <v>5.929444733796297E-2</v>
      </c>
      <c r="AD22" s="39">
        <f t="shared" si="12"/>
        <v>-1.7183530838541667</v>
      </c>
      <c r="AE22" s="39">
        <v>-4.9000000000000004</v>
      </c>
      <c r="AF22" s="39">
        <v>-2.8163</v>
      </c>
      <c r="AG22" s="39">
        <v>0</v>
      </c>
    </row>
    <row r="23" spans="1:33" ht="15.75" customHeight="1" x14ac:dyDescent="0.2">
      <c r="A23" s="28" t="s">
        <v>62</v>
      </c>
      <c r="B23" s="28" t="s">
        <v>343</v>
      </c>
      <c r="C23" s="15">
        <f t="shared" si="4"/>
        <v>13.989999999999998</v>
      </c>
      <c r="D23" s="29">
        <v>9</v>
      </c>
      <c r="E23" s="29">
        <v>0</v>
      </c>
      <c r="F23" s="32">
        <v>125.90999999999998</v>
      </c>
      <c r="G23" s="30">
        <v>0</v>
      </c>
      <c r="H23" s="31">
        <f t="shared" si="1"/>
        <v>0</v>
      </c>
      <c r="I23" s="31">
        <f t="shared" si="2"/>
        <v>0.29259282792520441</v>
      </c>
      <c r="J23" s="32">
        <f t="shared" si="5"/>
        <v>36.840362964062486</v>
      </c>
      <c r="K23" s="32">
        <f t="shared" si="3"/>
        <v>4.0933736626736099</v>
      </c>
      <c r="L23" s="29">
        <v>27</v>
      </c>
      <c r="M23" s="33">
        <f t="shared" si="6"/>
        <v>0.33333333333333331</v>
      </c>
      <c r="N23" s="29">
        <v>190</v>
      </c>
      <c r="O23" s="34">
        <f t="shared" ref="O23:P23" si="31">D23/7</f>
        <v>1.2857142857142858</v>
      </c>
      <c r="P23" s="34">
        <f t="shared" si="31"/>
        <v>0</v>
      </c>
      <c r="Q23" s="29">
        <f t="shared" si="8"/>
        <v>147</v>
      </c>
      <c r="R23" s="29"/>
      <c r="S23" s="35">
        <v>1.1965811965811901</v>
      </c>
      <c r="T23" s="28">
        <v>300</v>
      </c>
      <c r="U23" s="36" t="s">
        <v>33</v>
      </c>
      <c r="V23" s="37" t="s">
        <v>33</v>
      </c>
      <c r="W23" s="28">
        <v>0</v>
      </c>
      <c r="X23" s="38">
        <f t="shared" si="9"/>
        <v>0</v>
      </c>
      <c r="Y23" s="39">
        <f t="shared" si="10"/>
        <v>0</v>
      </c>
      <c r="Z23" s="28">
        <v>0</v>
      </c>
      <c r="AA23" s="28" t="s">
        <v>34</v>
      </c>
      <c r="AB23" s="40">
        <f t="shared" si="11"/>
        <v>-0.69</v>
      </c>
      <c r="AC23" s="41">
        <v>5.929444733796297E-2</v>
      </c>
      <c r="AD23" s="39">
        <f t="shared" si="12"/>
        <v>-0.73643703593749998</v>
      </c>
      <c r="AE23" s="39">
        <v>-4.9000000000000004</v>
      </c>
      <c r="AF23" s="39">
        <v>-2.8163</v>
      </c>
      <c r="AG23" s="39">
        <v>0</v>
      </c>
    </row>
    <row r="24" spans="1:33" ht="15.75" customHeight="1" x14ac:dyDescent="0.2">
      <c r="A24" s="28" t="s">
        <v>64</v>
      </c>
      <c r="B24" s="28" t="s">
        <v>344</v>
      </c>
      <c r="C24" s="15">
        <f t="shared" si="4"/>
        <v>14.015263157894738</v>
      </c>
      <c r="D24" s="29">
        <v>19</v>
      </c>
      <c r="E24" s="29">
        <v>0</v>
      </c>
      <c r="F24" s="32">
        <v>266.29000000000002</v>
      </c>
      <c r="G24" s="32">
        <v>0</v>
      </c>
      <c r="H24" s="31">
        <f t="shared" si="1"/>
        <v>0</v>
      </c>
      <c r="I24" s="31">
        <f t="shared" si="2"/>
        <v>0.29359758004731162</v>
      </c>
      <c r="J24" s="32">
        <f t="shared" si="5"/>
        <v>78.182099590798614</v>
      </c>
      <c r="K24" s="32">
        <f t="shared" si="3"/>
        <v>4.1148473468841376</v>
      </c>
      <c r="L24" s="29">
        <v>35</v>
      </c>
      <c r="M24" s="33">
        <f t="shared" si="6"/>
        <v>0.54285714285714282</v>
      </c>
      <c r="N24" s="29">
        <v>172</v>
      </c>
      <c r="O24" s="34">
        <f t="shared" ref="O24:P24" si="32">D24/7</f>
        <v>2.7142857142857144</v>
      </c>
      <c r="P24" s="34">
        <f t="shared" si="32"/>
        <v>0</v>
      </c>
      <c r="Q24" s="29">
        <f t="shared" si="8"/>
        <v>63</v>
      </c>
      <c r="R24" s="29"/>
      <c r="S24" s="35">
        <v>1.3258426966292101</v>
      </c>
      <c r="T24" s="28">
        <v>300</v>
      </c>
      <c r="U24" s="36" t="s">
        <v>33</v>
      </c>
      <c r="V24" s="37" t="s">
        <v>33</v>
      </c>
      <c r="W24" s="28">
        <v>0</v>
      </c>
      <c r="X24" s="38">
        <f t="shared" si="9"/>
        <v>0</v>
      </c>
      <c r="Y24" s="39">
        <f t="shared" si="10"/>
        <v>0</v>
      </c>
      <c r="Z24" s="28">
        <v>0</v>
      </c>
      <c r="AA24" s="28" t="s">
        <v>34</v>
      </c>
      <c r="AB24" s="40">
        <f t="shared" si="11"/>
        <v>-0.69</v>
      </c>
      <c r="AC24" s="41">
        <v>5.929444733796297E-2</v>
      </c>
      <c r="AD24" s="39">
        <f t="shared" si="12"/>
        <v>-1.5547004092013887</v>
      </c>
      <c r="AE24" s="39">
        <v>-4.9000000000000004</v>
      </c>
      <c r="AF24" s="39">
        <v>-2.8163</v>
      </c>
      <c r="AG24" s="39">
        <v>0</v>
      </c>
    </row>
    <row r="25" spans="1:33" ht="15.75" customHeight="1" x14ac:dyDescent="0.2">
      <c r="A25" s="28" t="s">
        <v>65</v>
      </c>
      <c r="B25" s="28" t="s">
        <v>344</v>
      </c>
      <c r="C25" s="15">
        <f t="shared" si="4"/>
        <v>14.026428571428571</v>
      </c>
      <c r="D25" s="29">
        <v>14</v>
      </c>
      <c r="E25" s="29">
        <v>0</v>
      </c>
      <c r="F25" s="32">
        <v>196.37</v>
      </c>
      <c r="G25" s="32">
        <v>0</v>
      </c>
      <c r="H25" s="31">
        <f t="shared" si="1"/>
        <v>0</v>
      </c>
      <c r="I25" s="31">
        <f t="shared" si="2"/>
        <v>0.29377670355670704</v>
      </c>
      <c r="J25" s="32">
        <f t="shared" si="5"/>
        <v>57.688931277430562</v>
      </c>
      <c r="K25" s="32">
        <f t="shared" si="3"/>
        <v>4.1206379483878974</v>
      </c>
      <c r="L25" s="29">
        <v>35</v>
      </c>
      <c r="M25" s="33">
        <f t="shared" si="6"/>
        <v>0.4</v>
      </c>
      <c r="N25" s="29">
        <v>158</v>
      </c>
      <c r="O25" s="34">
        <f t="shared" ref="O25:P25" si="33">D25/7</f>
        <v>2</v>
      </c>
      <c r="P25" s="34">
        <f t="shared" si="33"/>
        <v>0</v>
      </c>
      <c r="Q25" s="29">
        <f t="shared" si="8"/>
        <v>79</v>
      </c>
      <c r="R25" s="29"/>
      <c r="S25" s="35">
        <v>1.378026070763501</v>
      </c>
      <c r="T25" s="28">
        <v>400</v>
      </c>
      <c r="U25" s="36" t="s">
        <v>33</v>
      </c>
      <c r="V25" s="37" t="s">
        <v>33</v>
      </c>
      <c r="W25" s="14">
        <v>0</v>
      </c>
      <c r="X25" s="38">
        <f t="shared" si="9"/>
        <v>0</v>
      </c>
      <c r="Y25" s="39">
        <f t="shared" si="10"/>
        <v>0</v>
      </c>
      <c r="Z25" s="14">
        <v>0</v>
      </c>
      <c r="AA25" s="28" t="s">
        <v>34</v>
      </c>
      <c r="AB25" s="40">
        <f t="shared" si="11"/>
        <v>-0.69</v>
      </c>
      <c r="AC25" s="41">
        <v>5.929444733796297E-2</v>
      </c>
      <c r="AD25" s="39">
        <f t="shared" si="12"/>
        <v>-1.1455687225694444</v>
      </c>
      <c r="AE25" s="39">
        <v>-4.9000000000000004</v>
      </c>
      <c r="AF25" s="39">
        <v>-2.82</v>
      </c>
      <c r="AG25" s="39">
        <v>0</v>
      </c>
    </row>
    <row r="26" spans="1:33" ht="15.75" customHeight="1" x14ac:dyDescent="0.2">
      <c r="A26" s="14" t="s">
        <v>67</v>
      </c>
      <c r="B26" s="28" t="s">
        <v>344</v>
      </c>
      <c r="C26" s="15">
        <f t="shared" si="4"/>
        <v>14.0396</v>
      </c>
      <c r="D26" s="16">
        <v>25</v>
      </c>
      <c r="E26" s="16">
        <v>0</v>
      </c>
      <c r="F26" s="17">
        <v>350.99</v>
      </c>
      <c r="G26" s="17">
        <v>-0.08</v>
      </c>
      <c r="H26" s="31">
        <f t="shared" si="1"/>
        <v>2.2792672155901877E-4</v>
      </c>
      <c r="I26" s="31">
        <f t="shared" si="2"/>
        <v>0.29012889702510125</v>
      </c>
      <c r="J26" s="32">
        <f t="shared" si="5"/>
        <v>101.8323415668403</v>
      </c>
      <c r="K26" s="32">
        <f t="shared" si="3"/>
        <v>4.0732936626736116</v>
      </c>
      <c r="L26" s="16">
        <v>29</v>
      </c>
      <c r="M26" s="33">
        <f t="shared" si="6"/>
        <v>0.86206896551724133</v>
      </c>
      <c r="N26" s="16">
        <v>138</v>
      </c>
      <c r="O26" s="34">
        <f t="shared" ref="O26:P26" si="34">D26/7</f>
        <v>3.5714285714285716</v>
      </c>
      <c r="P26" s="34">
        <f t="shared" si="34"/>
        <v>0</v>
      </c>
      <c r="Q26" s="29">
        <f t="shared" si="8"/>
        <v>38</v>
      </c>
      <c r="R26" s="29"/>
      <c r="S26" s="21">
        <v>1.496062992125984</v>
      </c>
      <c r="T26" s="28">
        <v>400</v>
      </c>
      <c r="U26" s="36" t="s">
        <v>33</v>
      </c>
      <c r="V26" s="37" t="s">
        <v>33</v>
      </c>
      <c r="W26" s="14">
        <v>0</v>
      </c>
      <c r="X26" s="38">
        <f t="shared" si="9"/>
        <v>0</v>
      </c>
      <c r="Y26" s="39">
        <f t="shared" si="10"/>
        <v>0</v>
      </c>
      <c r="Z26" s="14">
        <v>0</v>
      </c>
      <c r="AA26" s="28" t="s">
        <v>34</v>
      </c>
      <c r="AB26" s="40">
        <f t="shared" si="11"/>
        <v>-0.69</v>
      </c>
      <c r="AC26" s="41">
        <v>5.929444733796297E-2</v>
      </c>
      <c r="AD26" s="39">
        <f t="shared" si="12"/>
        <v>-2.0456584331597223</v>
      </c>
      <c r="AE26" s="25">
        <v>-4.95</v>
      </c>
      <c r="AF26" s="25">
        <v>-2.8253400000000002</v>
      </c>
      <c r="AG26" s="25">
        <v>0</v>
      </c>
    </row>
    <row r="27" spans="1:33" ht="15.75" customHeight="1" x14ac:dyDescent="0.2">
      <c r="A27" s="14" t="s">
        <v>69</v>
      </c>
      <c r="B27" s="14" t="s">
        <v>47</v>
      </c>
      <c r="C27" s="15">
        <f t="shared" si="4"/>
        <v>14.183125</v>
      </c>
      <c r="D27" s="16">
        <v>16</v>
      </c>
      <c r="E27" s="16">
        <v>0</v>
      </c>
      <c r="F27" s="17">
        <v>226.93</v>
      </c>
      <c r="G27" s="17">
        <v>-0.02</v>
      </c>
      <c r="H27" s="31">
        <f t="shared" si="1"/>
        <v>8.8132904419865161E-5</v>
      </c>
      <c r="I27" s="31">
        <f t="shared" si="2"/>
        <v>0.29593195524072519</v>
      </c>
      <c r="J27" s="32">
        <f t="shared" si="5"/>
        <v>67.155838602777763</v>
      </c>
      <c r="K27" s="32">
        <f t="shared" si="3"/>
        <v>4.1972399126736102</v>
      </c>
      <c r="L27" s="16">
        <v>38</v>
      </c>
      <c r="M27" s="33">
        <f t="shared" si="6"/>
        <v>0.42105263157894735</v>
      </c>
      <c r="N27" s="16">
        <v>121</v>
      </c>
      <c r="O27" s="34">
        <f t="shared" ref="O27:P27" si="35">D27/7</f>
        <v>2.2857142857142856</v>
      </c>
      <c r="P27" s="34">
        <f t="shared" si="35"/>
        <v>0</v>
      </c>
      <c r="Q27" s="29">
        <f t="shared" si="8"/>
        <v>52</v>
      </c>
      <c r="R27" s="29"/>
      <c r="S27" s="21">
        <v>1.2797527047913451</v>
      </c>
      <c r="T27" s="28">
        <v>400</v>
      </c>
      <c r="U27" s="36" t="s">
        <v>33</v>
      </c>
      <c r="V27" s="37" t="s">
        <v>33</v>
      </c>
      <c r="W27" s="14">
        <v>0</v>
      </c>
      <c r="X27" s="38">
        <f t="shared" si="9"/>
        <v>0</v>
      </c>
      <c r="Y27" s="39">
        <f t="shared" si="10"/>
        <v>0</v>
      </c>
      <c r="Z27" s="14">
        <v>0</v>
      </c>
      <c r="AA27" s="28" t="s">
        <v>34</v>
      </c>
      <c r="AB27" s="40">
        <f t="shared" si="11"/>
        <v>-0.69</v>
      </c>
      <c r="AC27" s="41">
        <v>5.929444733796297E-2</v>
      </c>
      <c r="AD27" s="39">
        <f t="shared" si="12"/>
        <v>-1.3092213972222222</v>
      </c>
      <c r="AE27" s="25">
        <v>-4.95</v>
      </c>
      <c r="AF27" s="25">
        <v>-2.8253400000000002</v>
      </c>
      <c r="AG27" s="25">
        <v>0</v>
      </c>
    </row>
    <row r="28" spans="1:33" ht="15.75" customHeight="1" x14ac:dyDescent="0.2">
      <c r="A28" s="14" t="s">
        <v>71</v>
      </c>
      <c r="B28" s="14" t="s">
        <v>47</v>
      </c>
      <c r="C28" s="15">
        <f t="shared" si="4"/>
        <v>13.996</v>
      </c>
      <c r="D28" s="16">
        <v>15</v>
      </c>
      <c r="E28" s="16">
        <v>0</v>
      </c>
      <c r="F28" s="17">
        <v>209.94</v>
      </c>
      <c r="G28" s="17">
        <v>-0.08</v>
      </c>
      <c r="H28" s="31">
        <f t="shared" si="1"/>
        <v>3.8106125559683718E-4</v>
      </c>
      <c r="I28" s="31">
        <f t="shared" si="2"/>
        <v>0.28823237563162873</v>
      </c>
      <c r="J28" s="32">
        <f t="shared" si="5"/>
        <v>60.511504940104139</v>
      </c>
      <c r="K28" s="32">
        <f t="shared" si="3"/>
        <v>4.0341003293402755</v>
      </c>
      <c r="L28" s="16">
        <v>29</v>
      </c>
      <c r="M28" s="33">
        <f t="shared" si="6"/>
        <v>0.51724137931034486</v>
      </c>
      <c r="N28" s="16">
        <v>106</v>
      </c>
      <c r="O28" s="34">
        <f t="shared" ref="O28:P28" si="36">D28/7</f>
        <v>2.1428571428571428</v>
      </c>
      <c r="P28" s="34">
        <f t="shared" si="36"/>
        <v>0</v>
      </c>
      <c r="Q28" s="29">
        <f t="shared" si="8"/>
        <v>49</v>
      </c>
      <c r="R28" s="29"/>
      <c r="S28" s="21">
        <v>1.4305084745762711</v>
      </c>
      <c r="T28" s="28">
        <v>400</v>
      </c>
      <c r="U28" s="36" t="s">
        <v>33</v>
      </c>
      <c r="V28" s="37" t="s">
        <v>33</v>
      </c>
      <c r="W28" s="14">
        <v>0</v>
      </c>
      <c r="X28" s="38">
        <f t="shared" si="9"/>
        <v>0</v>
      </c>
      <c r="Y28" s="39">
        <f t="shared" si="10"/>
        <v>0</v>
      </c>
      <c r="Z28" s="14">
        <v>0</v>
      </c>
      <c r="AA28" s="28" t="s">
        <v>34</v>
      </c>
      <c r="AB28" s="40">
        <f t="shared" si="11"/>
        <v>-0.69</v>
      </c>
      <c r="AC28" s="41">
        <v>5.929444733796297E-2</v>
      </c>
      <c r="AD28" s="39">
        <f t="shared" si="12"/>
        <v>-1.2273950598958332</v>
      </c>
      <c r="AE28" s="25">
        <v>-4.95</v>
      </c>
      <c r="AF28" s="25">
        <v>-2.8253400000000002</v>
      </c>
      <c r="AG28" s="25">
        <v>0</v>
      </c>
    </row>
    <row r="29" spans="1:33" ht="15.75" customHeight="1" x14ac:dyDescent="0.2">
      <c r="A29" s="28" t="s">
        <v>72</v>
      </c>
      <c r="B29" s="28" t="s">
        <v>47</v>
      </c>
      <c r="C29" s="15">
        <f t="shared" si="4"/>
        <v>13.99</v>
      </c>
      <c r="D29" s="29">
        <v>12</v>
      </c>
      <c r="E29" s="29">
        <v>0</v>
      </c>
      <c r="F29" s="32">
        <v>167.88</v>
      </c>
      <c r="G29" s="32">
        <v>0</v>
      </c>
      <c r="H29" s="31">
        <f t="shared" si="1"/>
        <v>0</v>
      </c>
      <c r="I29" s="31">
        <f t="shared" si="2"/>
        <v>0.28837267067002209</v>
      </c>
      <c r="J29" s="32">
        <f t="shared" si="5"/>
        <v>48.41200395208331</v>
      </c>
      <c r="K29" s="32">
        <f t="shared" si="3"/>
        <v>4.0343336626736095</v>
      </c>
      <c r="L29" s="29">
        <v>37</v>
      </c>
      <c r="M29" s="33">
        <f t="shared" si="6"/>
        <v>0.32432432432432434</v>
      </c>
      <c r="N29" s="16">
        <v>97</v>
      </c>
      <c r="O29" s="34">
        <f t="shared" ref="O29:P29" si="37">D29/7</f>
        <v>1.7142857142857142</v>
      </c>
      <c r="P29" s="34">
        <f t="shared" si="37"/>
        <v>0</v>
      </c>
      <c r="Q29" s="29">
        <f t="shared" si="8"/>
        <v>56</v>
      </c>
      <c r="R29" s="29"/>
      <c r="S29" s="21">
        <v>1.408264462809917</v>
      </c>
      <c r="T29" s="28">
        <v>400</v>
      </c>
      <c r="U29" s="36" t="s">
        <v>33</v>
      </c>
      <c r="V29" s="37" t="s">
        <v>33</v>
      </c>
      <c r="W29" s="14">
        <v>0</v>
      </c>
      <c r="X29" s="38">
        <f t="shared" si="9"/>
        <v>0</v>
      </c>
      <c r="Y29" s="39">
        <f t="shared" si="10"/>
        <v>0</v>
      </c>
      <c r="Z29" s="14">
        <v>0</v>
      </c>
      <c r="AA29" s="28" t="s">
        <v>34</v>
      </c>
      <c r="AB29" s="40">
        <f t="shared" si="11"/>
        <v>-0.69</v>
      </c>
      <c r="AC29" s="41">
        <v>5.929444733796297E-2</v>
      </c>
      <c r="AD29" s="39">
        <f t="shared" si="12"/>
        <v>-0.98191604791666665</v>
      </c>
      <c r="AE29" s="39">
        <v>-4.95</v>
      </c>
      <c r="AF29" s="25">
        <v>-2.8253400000000002</v>
      </c>
      <c r="AG29" s="39">
        <v>0</v>
      </c>
    </row>
    <row r="30" spans="1:33" ht="15.75" customHeight="1" x14ac:dyDescent="0.2">
      <c r="A30" s="14" t="s">
        <v>74</v>
      </c>
      <c r="B30" s="14" t="s">
        <v>47</v>
      </c>
      <c r="C30" s="15">
        <f t="shared" si="4"/>
        <v>14.065555555555555</v>
      </c>
      <c r="D30" s="16">
        <v>9</v>
      </c>
      <c r="E30" s="16">
        <v>0</v>
      </c>
      <c r="F30" s="17">
        <v>126.58999999999999</v>
      </c>
      <c r="G30" s="17">
        <v>0</v>
      </c>
      <c r="H30" s="31">
        <f t="shared" si="1"/>
        <v>0</v>
      </c>
      <c r="I30" s="31">
        <f t="shared" si="2"/>
        <v>0.29658465685332552</v>
      </c>
      <c r="J30" s="32">
        <f t="shared" si="5"/>
        <v>37.544651711062478</v>
      </c>
      <c r="K30" s="32">
        <f t="shared" si="3"/>
        <v>4.171627967895831</v>
      </c>
      <c r="L30" s="16">
        <v>24</v>
      </c>
      <c r="M30" s="33">
        <f t="shared" si="6"/>
        <v>0.375</v>
      </c>
      <c r="N30" s="16">
        <v>88</v>
      </c>
      <c r="O30" s="34">
        <f t="shared" ref="O30:P30" si="38">D30/7</f>
        <v>1.2857142857142858</v>
      </c>
      <c r="P30" s="34">
        <f t="shared" si="38"/>
        <v>0</v>
      </c>
      <c r="Q30" s="29">
        <f t="shared" si="8"/>
        <v>68</v>
      </c>
      <c r="R30" s="29"/>
      <c r="S30" s="21">
        <v>1.4692442882249559</v>
      </c>
      <c r="T30" s="28">
        <v>400</v>
      </c>
      <c r="U30" s="36" t="s">
        <v>33</v>
      </c>
      <c r="V30" s="37" t="s">
        <v>33</v>
      </c>
      <c r="W30" s="14">
        <v>0</v>
      </c>
      <c r="X30" s="38">
        <f t="shared" si="9"/>
        <v>0</v>
      </c>
      <c r="Y30" s="39">
        <f t="shared" si="10"/>
        <v>0</v>
      </c>
      <c r="Z30" s="14">
        <v>0</v>
      </c>
      <c r="AA30" s="28" t="s">
        <v>34</v>
      </c>
      <c r="AB30" s="40">
        <f t="shared" si="11"/>
        <v>-0.69</v>
      </c>
      <c r="AC30" s="41">
        <v>5.929444733796297E-2</v>
      </c>
      <c r="AD30" s="39">
        <f t="shared" si="12"/>
        <v>-0.73643703593749998</v>
      </c>
      <c r="AE30" s="25">
        <v>-4.95</v>
      </c>
      <c r="AF30" s="25">
        <v>-2.7522679170000002</v>
      </c>
      <c r="AG30" s="25">
        <v>0</v>
      </c>
    </row>
    <row r="31" spans="1:33" ht="15.75" customHeight="1" x14ac:dyDescent="0.2">
      <c r="A31" s="14" t="s">
        <v>75</v>
      </c>
      <c r="B31" s="14"/>
      <c r="C31" s="15">
        <f t="shared" si="4"/>
        <v>14.030000000000001</v>
      </c>
      <c r="D31" s="16">
        <v>16</v>
      </c>
      <c r="E31" s="16">
        <v>0</v>
      </c>
      <c r="F31" s="17">
        <v>224.48000000000002</v>
      </c>
      <c r="G31" s="42">
        <v>0</v>
      </c>
      <c r="H31" s="31">
        <f t="shared" si="1"/>
        <v>0</v>
      </c>
      <c r="I31" s="31">
        <f t="shared" si="2"/>
        <v>0.29518216291330102</v>
      </c>
      <c r="J31" s="32">
        <f t="shared" si="5"/>
        <v>66.262491930777813</v>
      </c>
      <c r="K31" s="32">
        <f t="shared" si="3"/>
        <v>4.1414057456736133</v>
      </c>
      <c r="L31" s="16">
        <v>28</v>
      </c>
      <c r="M31" s="33">
        <f t="shared" si="6"/>
        <v>0.5714285714285714</v>
      </c>
      <c r="N31" s="16">
        <v>72</v>
      </c>
      <c r="O31" s="34">
        <f t="shared" ref="O31:P32" si="39">D31/7</f>
        <v>2.2857142857142856</v>
      </c>
      <c r="P31" s="34">
        <f t="shared" si="39"/>
        <v>0</v>
      </c>
      <c r="Q31" s="29">
        <f t="shared" si="8"/>
        <v>31</v>
      </c>
      <c r="R31" s="29"/>
      <c r="S31" s="21">
        <v>1.20114942528735</v>
      </c>
      <c r="T31" s="14">
        <v>300</v>
      </c>
      <c r="U31" s="22" t="s">
        <v>33</v>
      </c>
      <c r="V31" s="1" t="s">
        <v>960</v>
      </c>
      <c r="W31" s="14">
        <v>0</v>
      </c>
      <c r="X31" s="38">
        <f t="shared" si="9"/>
        <v>0</v>
      </c>
      <c r="Y31" s="39">
        <f t="shared" si="10"/>
        <v>0</v>
      </c>
      <c r="Z31" s="14">
        <v>0</v>
      </c>
      <c r="AA31" s="14" t="s">
        <v>34</v>
      </c>
      <c r="AB31" s="40">
        <f t="shared" si="11"/>
        <v>-0.69</v>
      </c>
      <c r="AC31" s="27">
        <v>5.929444733796297E-2</v>
      </c>
      <c r="AD31" s="39">
        <f t="shared" si="12"/>
        <v>-1.3092213972222222</v>
      </c>
      <c r="AE31" s="43">
        <v>-4.95</v>
      </c>
      <c r="AF31" s="43">
        <v>-2.7522679170000002</v>
      </c>
      <c r="AG31" s="25">
        <v>0</v>
      </c>
    </row>
    <row r="32" spans="1:33" s="51" customFormat="1" ht="15.75" customHeight="1" x14ac:dyDescent="0.2">
      <c r="A32" s="51" t="s">
        <v>934</v>
      </c>
      <c r="C32" s="15">
        <f t="shared" si="4"/>
        <v>14.008333333333333</v>
      </c>
      <c r="D32" s="52">
        <v>12</v>
      </c>
      <c r="E32" s="52">
        <v>2</v>
      </c>
      <c r="F32" s="53">
        <v>168.1</v>
      </c>
      <c r="G32" s="53">
        <v>-0.08</v>
      </c>
      <c r="H32" s="31">
        <f t="shared" si="1"/>
        <v>4.7590719809637125E-4</v>
      </c>
      <c r="I32" s="31">
        <f t="shared" si="2"/>
        <v>0.29384811985772341</v>
      </c>
      <c r="J32" s="32">
        <f t="shared" si="5"/>
        <v>49.395868948083304</v>
      </c>
      <c r="K32" s="32">
        <f t="shared" si="3"/>
        <v>4.1163224123402751</v>
      </c>
      <c r="L32" s="52">
        <v>31</v>
      </c>
      <c r="M32" s="33">
        <f t="shared" si="6"/>
        <v>0.38709677419354838</v>
      </c>
      <c r="N32" s="52">
        <v>58</v>
      </c>
      <c r="O32" s="34">
        <f t="shared" si="39"/>
        <v>1.7142857142857142</v>
      </c>
      <c r="P32" s="34">
        <f t="shared" si="39"/>
        <v>0.2857142857142857</v>
      </c>
      <c r="Q32" s="29">
        <f t="shared" si="8"/>
        <v>29</v>
      </c>
      <c r="R32" s="29" t="str">
        <f ca="1">IFERROR(VLOOKUP($B$2,IMPORTRANGE("https://docs.google.com/spreadsheets/d/1KiWZV1ko8G7lnRucBRBd29jj3Be6ltMfljMDqzOkQmI/edit#gid=1381463014","Lookup!A:F"),6,FALSE),"")</f>
        <v/>
      </c>
      <c r="S32" s="54">
        <v>1.365231259968102</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5.929444733796297E-2</v>
      </c>
      <c r="AD32" s="39">
        <f t="shared" si="12"/>
        <v>-0.98191604791666665</v>
      </c>
      <c r="AE32" s="58">
        <v>-4.95</v>
      </c>
      <c r="AF32" s="58">
        <v>-2.7522679170000002</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7.664062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78.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AWG Replacement Power Cord with Open End - 6 Ft Black Extension Cable, 18/2 SJT")</f>
        <v>16 AWG Replacement Power Cord with Open End - 6 Ft Black Extension Cable, 18/2 SJT</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Info!B1:BJ5000""),2,FALSE),"""")"),"B08LHBRGML")</f>
        <v>B08LHBRGML</v>
      </c>
      <c r="B2" s="3" t="s">
        <v>345</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60" customHeight="1" x14ac:dyDescent="0.2">
      <c r="A3" s="76" t="s">
        <v>30</v>
      </c>
      <c r="B3" s="77"/>
      <c r="C3" s="47">
        <f>((AE32+AF32)/0.85)*-1</f>
        <v>5.5176470588235302</v>
      </c>
      <c r="D3" s="5">
        <f>SUM(D4:D99765)</f>
        <v>123</v>
      </c>
      <c r="E3" s="5"/>
      <c r="F3" s="6">
        <f t="shared" ref="F3:G3" si="0">SUM(F4:F99765)</f>
        <v>888.1</v>
      </c>
      <c r="G3" s="6">
        <f t="shared" si="0"/>
        <v>-182.80000000000004</v>
      </c>
      <c r="H3" s="7">
        <f>G3/F3*-1</f>
        <v>0.20583267650039413</v>
      </c>
      <c r="I3" s="8">
        <f>J3/F3</f>
        <v>-5.3989383976235008E-3</v>
      </c>
      <c r="J3" s="6">
        <f>SUM(J4:J99765)</f>
        <v>-4.7947971909294314</v>
      </c>
      <c r="K3" s="6">
        <f>J3/D3</f>
        <v>-3.8982090983166108E-2</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QTY-50")</f>
        <v>US QTY-50</v>
      </c>
      <c r="V3" s="13" t="str">
        <f ca="1">IFERROR(__xludf.DUMMYFUNCTION("CONCATENATE(""In Transit"", ""-"",IFERROR(VLOOKUP($B$2,IMPORTRANGE(""https://docs.google.com/spreadsheets/d/11afDUGgwIurytGWIAj1e7JPdtkZEoccxCski0CJdjqQ/edit#gid=1950799886"",""US Storage!a1:AD5000""),3,FALSE),""""))"),"In Transit-0")</f>
        <v>In Transit-0</v>
      </c>
      <c r="W3" s="5">
        <f>SUM(W4:W99765)</f>
        <v>31</v>
      </c>
      <c r="X3" s="7">
        <f>W3/D3</f>
        <v>0.25203252032520324</v>
      </c>
      <c r="Y3" s="6"/>
      <c r="Z3" s="5"/>
      <c r="AA3" s="5"/>
      <c r="AB3" s="5"/>
      <c r="AC3" s="5"/>
      <c r="AD3" s="6">
        <f>SUM(AD4:AD99765)</f>
        <v>-4.3233497037500008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Info!B2:BZ7000""),37,FALSE)),"""")*-1"),-1.05)</f>
        <v>-1.05</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customHeight="1" x14ac:dyDescent="0.2">
      <c r="A9" s="28" t="s">
        <v>44</v>
      </c>
      <c r="B9" s="28"/>
      <c r="C9" s="15">
        <f t="shared" ref="C9:C32" si="1">IFERROR(F9/D9," - ")</f>
        <v>8.0775000000000006</v>
      </c>
      <c r="D9" s="29">
        <v>4</v>
      </c>
      <c r="E9" s="29">
        <v>0</v>
      </c>
      <c r="F9" s="30">
        <v>32.31</v>
      </c>
      <c r="G9" s="30">
        <v>-80.210000000000008</v>
      </c>
      <c r="H9" s="31">
        <f t="shared" ref="H9:H32" si="2">G9/F9*-1</f>
        <v>2.4825131538223459</v>
      </c>
      <c r="I9" s="31">
        <f t="shared" ref="I9:I32" si="3">J9/F9</f>
        <v>-2.1999761070994928</v>
      </c>
      <c r="J9" s="32">
        <f t="shared" ref="J9:J32" si="4">F9*0.85+G9+AF9*D9+D9*AE9+AG9+AD9</f>
        <v>-71.081228020384614</v>
      </c>
      <c r="K9" s="32">
        <f t="shared" ref="K9:K32" si="5">J9/D9</f>
        <v>-17.770307005096154</v>
      </c>
      <c r="L9" s="29">
        <v>27</v>
      </c>
      <c r="M9" s="33">
        <f t="shared" ref="M9:M32" si="6">IFERROR(D9/L9,"-")</f>
        <v>0.14814814814814814</v>
      </c>
      <c r="N9" s="29">
        <v>71</v>
      </c>
      <c r="O9" s="34">
        <f t="shared" ref="O9:P9" si="7">D9/7</f>
        <v>0.5714285714285714</v>
      </c>
      <c r="P9" s="34">
        <f t="shared" si="7"/>
        <v>0</v>
      </c>
      <c r="Q9" s="29">
        <f t="shared" ref="Q9:Q32" si="8">ROUNDDOWN(N9/(O9+P9),0)</f>
        <v>124</v>
      </c>
      <c r="R9" s="29"/>
      <c r="S9" s="35">
        <v>0.125</v>
      </c>
      <c r="T9" s="28">
        <v>0</v>
      </c>
      <c r="U9" s="36" t="s">
        <v>33</v>
      </c>
      <c r="V9" s="37" t="s">
        <v>33</v>
      </c>
      <c r="W9" s="28">
        <v>3</v>
      </c>
      <c r="X9" s="38">
        <f t="shared" ref="X9:X32" si="9">IFERROR(W9/D9,0)</f>
        <v>0.75</v>
      </c>
      <c r="Y9" s="39">
        <f t="shared" ref="Y9:Y32" si="10">IFERROR(G9/(W9+Z9)*-1,0)</f>
        <v>20.052500000000002</v>
      </c>
      <c r="Z9" s="28">
        <v>1</v>
      </c>
      <c r="AA9" s="28" t="s">
        <v>34</v>
      </c>
      <c r="AB9" s="40">
        <f t="shared" ref="AB9:AB32" si="11">IF(OR(AA9="UsLargeStandardSize",AA9="UsSmallStandardSize"),-0.69,-0.48)</f>
        <v>-0.69</v>
      </c>
      <c r="AC9" s="41">
        <v>2.5470423611111116E-2</v>
      </c>
      <c r="AD9" s="39">
        <f t="shared" ref="AD9:AD32" si="12">IFERROR(AB9*AC9*D9*2,0)</f>
        <v>-0.14059673833333336</v>
      </c>
      <c r="AE9" s="39">
        <v>-3.48</v>
      </c>
      <c r="AF9" s="39">
        <v>-1.0685328205128199</v>
      </c>
      <c r="AG9" s="39">
        <v>0</v>
      </c>
    </row>
    <row r="10" spans="1:33" ht="15.75" customHeight="1" x14ac:dyDescent="0.2">
      <c r="A10" s="28" t="s">
        <v>46</v>
      </c>
      <c r="B10" s="28" t="s">
        <v>346</v>
      </c>
      <c r="C10" s="15">
        <f t="shared" si="1"/>
        <v>7.6150000000000002</v>
      </c>
      <c r="D10" s="29">
        <v>2</v>
      </c>
      <c r="E10" s="29">
        <v>0</v>
      </c>
      <c r="F10" s="30">
        <v>15.23</v>
      </c>
      <c r="G10" s="30">
        <v>0</v>
      </c>
      <c r="H10" s="31">
        <f t="shared" si="2"/>
        <v>0</v>
      </c>
      <c r="I10" s="31">
        <f t="shared" si="3"/>
        <v>0.24807196256124062</v>
      </c>
      <c r="J10" s="32">
        <f t="shared" si="4"/>
        <v>3.7781359898076947</v>
      </c>
      <c r="K10" s="32">
        <f t="shared" si="5"/>
        <v>1.8890679949038474</v>
      </c>
      <c r="L10" s="29">
        <v>14</v>
      </c>
      <c r="M10" s="33">
        <f t="shared" si="6"/>
        <v>0.14285714285714285</v>
      </c>
      <c r="N10" s="29">
        <v>45</v>
      </c>
      <c r="O10" s="34">
        <f t="shared" ref="O10:P10" si="13">D10/7</f>
        <v>0.2857142857142857</v>
      </c>
      <c r="P10" s="34">
        <f t="shared" si="13"/>
        <v>0</v>
      </c>
      <c r="Q10" s="29">
        <f t="shared" si="8"/>
        <v>157</v>
      </c>
      <c r="R10" s="29"/>
      <c r="S10" s="35">
        <v>0.4</v>
      </c>
      <c r="T10" s="28">
        <v>0</v>
      </c>
      <c r="U10" s="36" t="s">
        <v>33</v>
      </c>
      <c r="V10" s="37" t="s">
        <v>33</v>
      </c>
      <c r="W10" s="28">
        <v>0</v>
      </c>
      <c r="X10" s="38">
        <f t="shared" si="9"/>
        <v>0</v>
      </c>
      <c r="Y10" s="39">
        <f t="shared" si="10"/>
        <v>0</v>
      </c>
      <c r="Z10" s="28">
        <v>0</v>
      </c>
      <c r="AA10" s="28" t="s">
        <v>34</v>
      </c>
      <c r="AB10" s="40">
        <f t="shared" si="11"/>
        <v>-0.69</v>
      </c>
      <c r="AC10" s="41">
        <v>2.5470423611111116E-2</v>
      </c>
      <c r="AD10" s="39">
        <f t="shared" si="12"/>
        <v>-7.029836916666668E-2</v>
      </c>
      <c r="AE10" s="39">
        <v>-3.48</v>
      </c>
      <c r="AF10" s="39">
        <v>-1.0685328205128199</v>
      </c>
      <c r="AG10" s="39">
        <v>0</v>
      </c>
    </row>
    <row r="11" spans="1:33" ht="15.75" customHeight="1" x14ac:dyDescent="0.2">
      <c r="A11" s="28" t="s">
        <v>48</v>
      </c>
      <c r="B11" s="28" t="s">
        <v>347</v>
      </c>
      <c r="C11" s="15">
        <f t="shared" si="1"/>
        <v>7.1480000000000006</v>
      </c>
      <c r="D11" s="29">
        <v>5</v>
      </c>
      <c r="E11" s="29">
        <v>2</v>
      </c>
      <c r="F11" s="30">
        <v>35.74</v>
      </c>
      <c r="G11" s="30">
        <v>-13.63</v>
      </c>
      <c r="H11" s="31">
        <f t="shared" si="2"/>
        <v>0.38136541689983211</v>
      </c>
      <c r="I11" s="31">
        <f t="shared" si="3"/>
        <v>-0.17261919489313832</v>
      </c>
      <c r="J11" s="32">
        <f t="shared" si="4"/>
        <v>-6.1694100254807633</v>
      </c>
      <c r="K11" s="32">
        <f t="shared" si="5"/>
        <v>-1.2338820050961528</v>
      </c>
      <c r="L11" s="29">
        <v>11</v>
      </c>
      <c r="M11" s="33">
        <f t="shared" si="6"/>
        <v>0.45454545454545453</v>
      </c>
      <c r="N11" s="29">
        <v>62</v>
      </c>
      <c r="O11" s="34">
        <f t="shared" ref="O11:P11" si="14">D11/7</f>
        <v>0.7142857142857143</v>
      </c>
      <c r="P11" s="34">
        <f t="shared" si="14"/>
        <v>0.2857142857142857</v>
      </c>
      <c r="Q11" s="29">
        <f t="shared" si="8"/>
        <v>62</v>
      </c>
      <c r="R11" s="29"/>
      <c r="S11" s="35">
        <v>0.6</v>
      </c>
      <c r="T11" s="28">
        <v>0</v>
      </c>
      <c r="U11" s="36" t="s">
        <v>33</v>
      </c>
      <c r="V11" s="37" t="s">
        <v>33</v>
      </c>
      <c r="W11" s="28">
        <v>3</v>
      </c>
      <c r="X11" s="38">
        <f t="shared" si="9"/>
        <v>0.6</v>
      </c>
      <c r="Y11" s="39">
        <f t="shared" si="10"/>
        <v>3.4075000000000002</v>
      </c>
      <c r="Z11" s="28">
        <v>1</v>
      </c>
      <c r="AA11" s="28" t="s">
        <v>34</v>
      </c>
      <c r="AB11" s="40">
        <f t="shared" si="11"/>
        <v>-0.69</v>
      </c>
      <c r="AC11" s="41">
        <v>2.5470423611111116E-2</v>
      </c>
      <c r="AD11" s="39">
        <f t="shared" si="12"/>
        <v>-0.17574592291666669</v>
      </c>
      <c r="AE11" s="39">
        <v>-3.48</v>
      </c>
      <c r="AF11" s="39">
        <v>-1.0685328205128199</v>
      </c>
      <c r="AG11" s="39">
        <v>0</v>
      </c>
    </row>
    <row r="12" spans="1:33" ht="15.75" customHeight="1" x14ac:dyDescent="0.2">
      <c r="A12" s="28" t="s">
        <v>49</v>
      </c>
      <c r="B12" s="28" t="s">
        <v>348</v>
      </c>
      <c r="C12" s="15">
        <f t="shared" si="1"/>
        <v>7.246666666666667</v>
      </c>
      <c r="D12" s="29">
        <v>3</v>
      </c>
      <c r="E12" s="29">
        <v>0</v>
      </c>
      <c r="F12" s="30">
        <v>21.740000000000002</v>
      </c>
      <c r="G12" s="30">
        <v>-0.05</v>
      </c>
      <c r="H12" s="31">
        <f t="shared" si="2"/>
        <v>2.2999080036798527E-3</v>
      </c>
      <c r="I12" s="31">
        <f t="shared" si="3"/>
        <v>0.21517727620568264</v>
      </c>
      <c r="J12" s="32">
        <f t="shared" si="4"/>
        <v>4.6779539847115412</v>
      </c>
      <c r="K12" s="32">
        <f t="shared" si="5"/>
        <v>1.5593179949038471</v>
      </c>
      <c r="L12" s="29">
        <v>15</v>
      </c>
      <c r="M12" s="33">
        <f t="shared" si="6"/>
        <v>0.2</v>
      </c>
      <c r="N12" s="29">
        <v>135</v>
      </c>
      <c r="O12" s="34">
        <f t="shared" ref="O12:P12" si="15">D12/7</f>
        <v>0.42857142857142855</v>
      </c>
      <c r="P12" s="34">
        <f t="shared" si="15"/>
        <v>0</v>
      </c>
      <c r="Q12" s="29">
        <f t="shared" si="8"/>
        <v>315</v>
      </c>
      <c r="R12" s="29"/>
      <c r="S12" s="35">
        <v>0.35555555555555501</v>
      </c>
      <c r="T12" s="28">
        <v>0</v>
      </c>
      <c r="U12" s="36" t="s">
        <v>33</v>
      </c>
      <c r="V12" s="37" t="s">
        <v>33</v>
      </c>
      <c r="W12" s="28">
        <v>1</v>
      </c>
      <c r="X12" s="38">
        <f t="shared" si="9"/>
        <v>0.33333333333333331</v>
      </c>
      <c r="Y12" s="39">
        <f t="shared" si="10"/>
        <v>0.05</v>
      </c>
      <c r="Z12" s="28">
        <v>0</v>
      </c>
      <c r="AA12" s="28" t="s">
        <v>34</v>
      </c>
      <c r="AB12" s="40">
        <f t="shared" si="11"/>
        <v>-0.69</v>
      </c>
      <c r="AC12" s="41">
        <v>2.5470423611111116E-2</v>
      </c>
      <c r="AD12" s="39">
        <f t="shared" si="12"/>
        <v>-0.10544755375000002</v>
      </c>
      <c r="AE12" s="39">
        <v>-3.48</v>
      </c>
      <c r="AF12" s="39">
        <v>-1.0685328205128199</v>
      </c>
      <c r="AG12" s="39">
        <v>0</v>
      </c>
    </row>
    <row r="13" spans="1:33" ht="15.75" customHeight="1" x14ac:dyDescent="0.2">
      <c r="A13" s="28" t="s">
        <v>50</v>
      </c>
      <c r="B13" s="28" t="s">
        <v>349</v>
      </c>
      <c r="C13" s="15">
        <f t="shared" si="1"/>
        <v>7.4749999999999996</v>
      </c>
      <c r="D13" s="29">
        <v>4</v>
      </c>
      <c r="E13" s="29">
        <v>1</v>
      </c>
      <c r="F13" s="32">
        <v>29.9</v>
      </c>
      <c r="G13" s="30">
        <v>0</v>
      </c>
      <c r="H13" s="31">
        <f t="shared" si="2"/>
        <v>0</v>
      </c>
      <c r="I13" s="31">
        <f t="shared" si="3"/>
        <v>0.23547569437012267</v>
      </c>
      <c r="J13" s="32">
        <f t="shared" si="4"/>
        <v>7.0407232616666677</v>
      </c>
      <c r="K13" s="32">
        <f t="shared" si="5"/>
        <v>1.7601808154166669</v>
      </c>
      <c r="L13" s="29">
        <v>10</v>
      </c>
      <c r="M13" s="33">
        <f t="shared" si="6"/>
        <v>0.4</v>
      </c>
      <c r="N13" s="29">
        <v>129</v>
      </c>
      <c r="O13" s="34">
        <f t="shared" ref="O13:P13" si="16">D13/7</f>
        <v>0.5714285714285714</v>
      </c>
      <c r="P13" s="34">
        <f t="shared" si="16"/>
        <v>0.14285714285714285</v>
      </c>
      <c r="Q13" s="29">
        <f t="shared" si="8"/>
        <v>180</v>
      </c>
      <c r="R13" s="29"/>
      <c r="S13" s="35">
        <v>0.22748815165876701</v>
      </c>
      <c r="T13" s="28">
        <v>0</v>
      </c>
      <c r="U13" s="36" t="s">
        <v>33</v>
      </c>
      <c r="V13" s="37" t="s">
        <v>33</v>
      </c>
      <c r="W13" s="28">
        <v>0</v>
      </c>
      <c r="X13" s="38">
        <f t="shared" si="9"/>
        <v>0</v>
      </c>
      <c r="Y13" s="39">
        <f t="shared" si="10"/>
        <v>0</v>
      </c>
      <c r="Z13" s="28">
        <v>0</v>
      </c>
      <c r="AA13" s="28" t="s">
        <v>34</v>
      </c>
      <c r="AB13" s="40">
        <f t="shared" si="11"/>
        <v>-0.69</v>
      </c>
      <c r="AC13" s="41">
        <v>2.5470423611111116E-2</v>
      </c>
      <c r="AD13" s="39">
        <f t="shared" si="12"/>
        <v>-0.14059673833333336</v>
      </c>
      <c r="AE13" s="39">
        <v>-3.48</v>
      </c>
      <c r="AF13" s="39">
        <v>-1.0784199999999999</v>
      </c>
      <c r="AG13" s="39">
        <v>0</v>
      </c>
    </row>
    <row r="14" spans="1:33" ht="15.75" customHeight="1" x14ac:dyDescent="0.2">
      <c r="A14" s="28" t="s">
        <v>51</v>
      </c>
      <c r="B14" s="28"/>
      <c r="C14" s="15">
        <f t="shared" si="1"/>
        <v>6.9866666666666672</v>
      </c>
      <c r="D14" s="29">
        <v>3</v>
      </c>
      <c r="E14" s="29">
        <v>0</v>
      </c>
      <c r="F14" s="32">
        <v>20.96</v>
      </c>
      <c r="G14" s="30">
        <v>0</v>
      </c>
      <c r="H14" s="31">
        <f t="shared" si="2"/>
        <v>0</v>
      </c>
      <c r="I14" s="31">
        <f t="shared" si="3"/>
        <v>0.19252349457299611</v>
      </c>
      <c r="J14" s="32">
        <f t="shared" si="4"/>
        <v>4.0352924462499988</v>
      </c>
      <c r="K14" s="32">
        <f t="shared" si="5"/>
        <v>1.345097482083333</v>
      </c>
      <c r="L14" s="29">
        <v>4</v>
      </c>
      <c r="M14" s="33">
        <f t="shared" si="6"/>
        <v>0.75</v>
      </c>
      <c r="N14" s="29">
        <v>121</v>
      </c>
      <c r="O14" s="34">
        <f t="shared" ref="O14:P14" si="17">D14/7</f>
        <v>0.42857142857142855</v>
      </c>
      <c r="P14" s="34">
        <f t="shared" si="17"/>
        <v>0</v>
      </c>
      <c r="Q14" s="29">
        <f t="shared" si="8"/>
        <v>282</v>
      </c>
      <c r="R14" s="29"/>
      <c r="S14" s="35">
        <v>0.52694610778443096</v>
      </c>
      <c r="T14" s="28">
        <v>0</v>
      </c>
      <c r="U14" s="36" t="s">
        <v>33</v>
      </c>
      <c r="V14" s="37" t="s">
        <v>33</v>
      </c>
      <c r="W14" s="28">
        <v>0</v>
      </c>
      <c r="X14" s="38">
        <f t="shared" si="9"/>
        <v>0</v>
      </c>
      <c r="Y14" s="39">
        <f t="shared" si="10"/>
        <v>0</v>
      </c>
      <c r="Z14" s="28">
        <v>0</v>
      </c>
      <c r="AA14" s="28" t="s">
        <v>34</v>
      </c>
      <c r="AB14" s="40">
        <f t="shared" si="11"/>
        <v>-0.69</v>
      </c>
      <c r="AC14" s="41">
        <v>2.5470423611111116E-2</v>
      </c>
      <c r="AD14" s="39">
        <f t="shared" si="12"/>
        <v>-0.10544755375000002</v>
      </c>
      <c r="AE14" s="39">
        <v>-3.48</v>
      </c>
      <c r="AF14" s="39">
        <v>-1.0784199999999999</v>
      </c>
      <c r="AG14" s="39">
        <v>0</v>
      </c>
    </row>
    <row r="15" spans="1:33" ht="15.75" customHeight="1" x14ac:dyDescent="0.2">
      <c r="A15" s="28" t="s">
        <v>53</v>
      </c>
      <c r="B15" s="28" t="s">
        <v>350</v>
      </c>
      <c r="C15" s="15">
        <f t="shared" si="1"/>
        <v>7.1</v>
      </c>
      <c r="D15" s="29">
        <v>1</v>
      </c>
      <c r="E15" s="29">
        <v>0</v>
      </c>
      <c r="F15" s="32">
        <v>7.1</v>
      </c>
      <c r="G15" s="30">
        <v>-0.35</v>
      </c>
      <c r="H15" s="31">
        <f t="shared" si="2"/>
        <v>4.9295774647887321E-2</v>
      </c>
      <c r="I15" s="31">
        <f t="shared" si="3"/>
        <v>0.15390574865023471</v>
      </c>
      <c r="J15" s="32">
        <f t="shared" si="4"/>
        <v>1.0927308154166664</v>
      </c>
      <c r="K15" s="32">
        <f t="shared" si="5"/>
        <v>1.0927308154166664</v>
      </c>
      <c r="L15" s="29">
        <v>6</v>
      </c>
      <c r="M15" s="33">
        <f t="shared" si="6"/>
        <v>0.16666666666666666</v>
      </c>
      <c r="N15" s="29">
        <v>125</v>
      </c>
      <c r="O15" s="34">
        <f t="shared" ref="O15:P15" si="18">D15/7</f>
        <v>0.14285714285714285</v>
      </c>
      <c r="P15" s="34">
        <f t="shared" si="18"/>
        <v>0</v>
      </c>
      <c r="Q15" s="29">
        <f t="shared" si="8"/>
        <v>875</v>
      </c>
      <c r="R15" s="29"/>
      <c r="S15" s="35">
        <v>0.60240963855421603</v>
      </c>
      <c r="T15" s="28">
        <v>0</v>
      </c>
      <c r="U15" s="36" t="s">
        <v>33</v>
      </c>
      <c r="V15" s="37" t="s">
        <v>33</v>
      </c>
      <c r="W15" s="28">
        <v>0</v>
      </c>
      <c r="X15" s="38">
        <f t="shared" si="9"/>
        <v>0</v>
      </c>
      <c r="Y15" s="39">
        <f t="shared" si="10"/>
        <v>0</v>
      </c>
      <c r="Z15" s="28">
        <v>0</v>
      </c>
      <c r="AA15" s="28" t="s">
        <v>34</v>
      </c>
      <c r="AB15" s="40">
        <f t="shared" si="11"/>
        <v>-0.69</v>
      </c>
      <c r="AC15" s="41">
        <v>2.5470423611111116E-2</v>
      </c>
      <c r="AD15" s="39">
        <f t="shared" si="12"/>
        <v>-3.514918458333334E-2</v>
      </c>
      <c r="AE15" s="39">
        <v>-3.48</v>
      </c>
      <c r="AF15" s="39">
        <v>-1.0771200000000001</v>
      </c>
      <c r="AG15" s="39">
        <v>0</v>
      </c>
    </row>
    <row r="16" spans="1:33" ht="15.75" customHeight="1" x14ac:dyDescent="0.2">
      <c r="A16" s="28" t="s">
        <v>54</v>
      </c>
      <c r="B16" s="28" t="s">
        <v>351</v>
      </c>
      <c r="C16" s="15">
        <f t="shared" si="1"/>
        <v>8.33</v>
      </c>
      <c r="D16" s="29">
        <v>1</v>
      </c>
      <c r="E16" s="29">
        <v>0</v>
      </c>
      <c r="F16" s="32">
        <v>8.33</v>
      </c>
      <c r="G16" s="30">
        <v>-3.26</v>
      </c>
      <c r="H16" s="31">
        <f t="shared" si="2"/>
        <v>0.39135654261704678</v>
      </c>
      <c r="I16" s="31">
        <f t="shared" si="3"/>
        <v>-9.2649361894757892E-2</v>
      </c>
      <c r="J16" s="32">
        <f t="shared" si="4"/>
        <v>-0.77176918458333321</v>
      </c>
      <c r="K16" s="32">
        <f t="shared" si="5"/>
        <v>-0.77176918458333321</v>
      </c>
      <c r="L16" s="29">
        <v>0</v>
      </c>
      <c r="M16" s="33" t="str">
        <f t="shared" si="6"/>
        <v>-</v>
      </c>
      <c r="N16" s="29">
        <v>124</v>
      </c>
      <c r="O16" s="34">
        <f t="shared" ref="O16:P16" si="19">D16/7</f>
        <v>0.14285714285714285</v>
      </c>
      <c r="P16" s="34">
        <f t="shared" si="19"/>
        <v>0</v>
      </c>
      <c r="Q16" s="29">
        <f t="shared" si="8"/>
        <v>868</v>
      </c>
      <c r="R16" s="29"/>
      <c r="S16" s="35">
        <v>0.54347826086956497</v>
      </c>
      <c r="T16" s="28">
        <v>0</v>
      </c>
      <c r="U16" s="36" t="s">
        <v>33</v>
      </c>
      <c r="V16" s="37" t="s">
        <v>33</v>
      </c>
      <c r="W16" s="28">
        <v>0</v>
      </c>
      <c r="X16" s="38">
        <f t="shared" si="9"/>
        <v>0</v>
      </c>
      <c r="Y16" s="39">
        <f t="shared" si="10"/>
        <v>0</v>
      </c>
      <c r="Z16" s="28">
        <v>0</v>
      </c>
      <c r="AA16" s="28" t="s">
        <v>34</v>
      </c>
      <c r="AB16" s="40">
        <f t="shared" si="11"/>
        <v>-0.69</v>
      </c>
      <c r="AC16" s="41">
        <v>2.5470423611111116E-2</v>
      </c>
      <c r="AD16" s="39">
        <f t="shared" si="12"/>
        <v>-3.514918458333334E-2</v>
      </c>
      <c r="AE16" s="39">
        <v>-3.48</v>
      </c>
      <c r="AF16" s="39">
        <v>-1.0771200000000001</v>
      </c>
      <c r="AG16" s="39">
        <v>0</v>
      </c>
    </row>
    <row r="17" spans="1:33" ht="15.75" customHeight="1" x14ac:dyDescent="0.2">
      <c r="A17" s="28" t="s">
        <v>55</v>
      </c>
      <c r="B17" s="28" t="s">
        <v>317</v>
      </c>
      <c r="C17" s="15">
        <f t="shared" si="1"/>
        <v>8.2774999999999999</v>
      </c>
      <c r="D17" s="29">
        <v>4</v>
      </c>
      <c r="E17" s="29">
        <v>0</v>
      </c>
      <c r="F17" s="32">
        <v>33.11</v>
      </c>
      <c r="G17" s="30">
        <v>-17.149999999999999</v>
      </c>
      <c r="H17" s="31">
        <f t="shared" si="2"/>
        <v>0.51797040169133191</v>
      </c>
      <c r="I17" s="31">
        <f t="shared" si="3"/>
        <v>-0.22275979276150204</v>
      </c>
      <c r="J17" s="32">
        <f t="shared" si="4"/>
        <v>-7.3755767383333328</v>
      </c>
      <c r="K17" s="32">
        <f t="shared" si="5"/>
        <v>-1.8438941845833332</v>
      </c>
      <c r="L17" s="29">
        <v>12</v>
      </c>
      <c r="M17" s="33">
        <f t="shared" si="6"/>
        <v>0.33333333333333331</v>
      </c>
      <c r="N17" s="29">
        <v>120</v>
      </c>
      <c r="O17" s="34">
        <f t="shared" ref="O17:P17" si="20">D17/7</f>
        <v>0.5714285714285714</v>
      </c>
      <c r="P17" s="34">
        <f t="shared" si="20"/>
        <v>0</v>
      </c>
      <c r="Q17" s="29">
        <f t="shared" si="8"/>
        <v>210</v>
      </c>
      <c r="R17" s="29"/>
      <c r="S17" s="35">
        <v>0.351515151515151</v>
      </c>
      <c r="T17" s="28">
        <v>0</v>
      </c>
      <c r="U17" s="36" t="s">
        <v>33</v>
      </c>
      <c r="V17" s="37" t="s">
        <v>33</v>
      </c>
      <c r="W17" s="28">
        <v>0</v>
      </c>
      <c r="X17" s="38">
        <f t="shared" si="9"/>
        <v>0</v>
      </c>
      <c r="Y17" s="39">
        <f t="shared" si="10"/>
        <v>5.7166666666666659</v>
      </c>
      <c r="Z17" s="28">
        <v>3</v>
      </c>
      <c r="AA17" s="28" t="s">
        <v>34</v>
      </c>
      <c r="AB17" s="40">
        <f t="shared" si="11"/>
        <v>-0.69</v>
      </c>
      <c r="AC17" s="41">
        <v>2.5470423611111116E-2</v>
      </c>
      <c r="AD17" s="39">
        <f t="shared" si="12"/>
        <v>-0.14059673833333336</v>
      </c>
      <c r="AE17" s="39">
        <v>-3.48</v>
      </c>
      <c r="AF17" s="39">
        <v>-1.0771200000000001</v>
      </c>
      <c r="AG17" s="39">
        <v>0</v>
      </c>
    </row>
    <row r="18" spans="1:33" ht="15.75" customHeight="1" x14ac:dyDescent="0.2">
      <c r="A18" s="28" t="s">
        <v>56</v>
      </c>
      <c r="B18" s="28" t="s">
        <v>47</v>
      </c>
      <c r="C18" s="15">
        <f t="shared" si="1"/>
        <v>8.6020000000000003</v>
      </c>
      <c r="D18" s="29">
        <v>5</v>
      </c>
      <c r="E18" s="29">
        <v>0</v>
      </c>
      <c r="F18" s="32">
        <v>43.01</v>
      </c>
      <c r="G18" s="30">
        <v>-4.2799999999999994</v>
      </c>
      <c r="H18" s="31">
        <f t="shared" si="2"/>
        <v>9.9511741455475464E-2</v>
      </c>
      <c r="I18" s="31">
        <f t="shared" si="3"/>
        <v>0.21662762327559473</v>
      </c>
      <c r="J18" s="32">
        <f t="shared" si="4"/>
        <v>9.3171540770833285</v>
      </c>
      <c r="K18" s="32">
        <f t="shared" si="5"/>
        <v>1.8634308154166657</v>
      </c>
      <c r="L18" s="29">
        <v>20</v>
      </c>
      <c r="M18" s="33">
        <f t="shared" si="6"/>
        <v>0.25</v>
      </c>
      <c r="N18" s="29">
        <v>115</v>
      </c>
      <c r="O18" s="34">
        <f t="shared" ref="O18:P18" si="21">D18/7</f>
        <v>0.7142857142857143</v>
      </c>
      <c r="P18" s="34">
        <f t="shared" si="21"/>
        <v>0</v>
      </c>
      <c r="Q18" s="29">
        <f t="shared" si="8"/>
        <v>161</v>
      </c>
      <c r="R18" s="29"/>
      <c r="S18" s="35">
        <v>0.44728434504792303</v>
      </c>
      <c r="T18" s="28">
        <v>0</v>
      </c>
      <c r="U18" s="36">
        <v>0</v>
      </c>
      <c r="V18" s="37" t="s">
        <v>33</v>
      </c>
      <c r="W18" s="28">
        <v>1</v>
      </c>
      <c r="X18" s="38">
        <f t="shared" si="9"/>
        <v>0.2</v>
      </c>
      <c r="Y18" s="39">
        <f t="shared" si="10"/>
        <v>4.2799999999999994</v>
      </c>
      <c r="Z18" s="28">
        <v>0</v>
      </c>
      <c r="AA18" s="28" t="s">
        <v>34</v>
      </c>
      <c r="AB18" s="40">
        <f t="shared" si="11"/>
        <v>-0.69</v>
      </c>
      <c r="AC18" s="41">
        <v>2.5470423611111116E-2</v>
      </c>
      <c r="AD18" s="39">
        <f t="shared" si="12"/>
        <v>-0.17574592291666669</v>
      </c>
      <c r="AE18" s="39">
        <v>-3.48</v>
      </c>
      <c r="AF18" s="39">
        <v>-1.0771200000000001</v>
      </c>
      <c r="AG18" s="39">
        <v>0</v>
      </c>
    </row>
    <row r="19" spans="1:33" ht="15.75" customHeight="1" x14ac:dyDescent="0.2">
      <c r="A19" s="28" t="s">
        <v>57</v>
      </c>
      <c r="B19" s="28" t="s">
        <v>352</v>
      </c>
      <c r="C19" s="15">
        <f t="shared" si="1"/>
        <v>8.0640000000000001</v>
      </c>
      <c r="D19" s="29">
        <v>5</v>
      </c>
      <c r="E19" s="29">
        <v>0</v>
      </c>
      <c r="F19" s="32">
        <v>40.32</v>
      </c>
      <c r="G19" s="30">
        <v>0</v>
      </c>
      <c r="H19" s="31">
        <f t="shared" si="2"/>
        <v>0</v>
      </c>
      <c r="I19" s="31">
        <f t="shared" si="3"/>
        <v>0.27432177770543981</v>
      </c>
      <c r="J19" s="32">
        <f t="shared" si="4"/>
        <v>11.060654077083333</v>
      </c>
      <c r="K19" s="32">
        <f t="shared" si="5"/>
        <v>2.2121308154166668</v>
      </c>
      <c r="L19" s="29">
        <v>6</v>
      </c>
      <c r="M19" s="33">
        <f t="shared" si="6"/>
        <v>0.83333333333333337</v>
      </c>
      <c r="N19" s="29">
        <v>110</v>
      </c>
      <c r="O19" s="34">
        <f t="shared" ref="O19:P19" si="22">D19/7</f>
        <v>0.7142857142857143</v>
      </c>
      <c r="P19" s="34">
        <f t="shared" si="22"/>
        <v>0</v>
      </c>
      <c r="Q19" s="29">
        <f t="shared" si="8"/>
        <v>154</v>
      </c>
      <c r="R19" s="29"/>
      <c r="S19" s="35">
        <v>0.56521739130434701</v>
      </c>
      <c r="T19" s="28">
        <v>0</v>
      </c>
      <c r="U19" s="36" t="s">
        <v>33</v>
      </c>
      <c r="V19" s="37" t="s">
        <v>33</v>
      </c>
      <c r="W19" s="28">
        <v>0</v>
      </c>
      <c r="X19" s="38">
        <f t="shared" si="9"/>
        <v>0</v>
      </c>
      <c r="Y19" s="39">
        <f t="shared" si="10"/>
        <v>0</v>
      </c>
      <c r="Z19" s="28">
        <v>0</v>
      </c>
      <c r="AA19" s="28" t="s">
        <v>34</v>
      </c>
      <c r="AB19" s="40">
        <f t="shared" si="11"/>
        <v>-0.69</v>
      </c>
      <c r="AC19" s="41">
        <v>2.5470423611111116E-2</v>
      </c>
      <c r="AD19" s="39">
        <f t="shared" si="12"/>
        <v>-0.17574592291666669</v>
      </c>
      <c r="AE19" s="39">
        <v>-3.48</v>
      </c>
      <c r="AF19" s="39">
        <v>-1.1271200000000001</v>
      </c>
      <c r="AG19" s="39">
        <v>0</v>
      </c>
    </row>
    <row r="20" spans="1:33" ht="15.75" customHeight="1" x14ac:dyDescent="0.2">
      <c r="A20" s="28" t="s">
        <v>58</v>
      </c>
      <c r="B20" s="28" t="s">
        <v>47</v>
      </c>
      <c r="C20" s="15">
        <f t="shared" si="1"/>
        <v>7.1400000000000006</v>
      </c>
      <c r="D20" s="29">
        <v>3</v>
      </c>
      <c r="E20" s="29">
        <v>0</v>
      </c>
      <c r="F20" s="32">
        <v>21.42</v>
      </c>
      <c r="G20" s="30">
        <v>-0.04</v>
      </c>
      <c r="H20" s="31">
        <f t="shared" si="2"/>
        <v>1.8674136321195143E-3</v>
      </c>
      <c r="I20" s="31">
        <f t="shared" si="3"/>
        <v>0.19795482942343606</v>
      </c>
      <c r="J20" s="32">
        <f t="shared" si="4"/>
        <v>4.2401924462500009</v>
      </c>
      <c r="K20" s="32">
        <f t="shared" si="5"/>
        <v>1.4133974820833337</v>
      </c>
      <c r="L20" s="29">
        <v>5</v>
      </c>
      <c r="M20" s="33">
        <f t="shared" si="6"/>
        <v>0.6</v>
      </c>
      <c r="N20" s="29">
        <v>109</v>
      </c>
      <c r="O20" s="34">
        <f t="shared" ref="O20:P20" si="23">D20/7</f>
        <v>0.42857142857142855</v>
      </c>
      <c r="P20" s="34">
        <f t="shared" si="23"/>
        <v>0</v>
      </c>
      <c r="Q20" s="29">
        <f t="shared" si="8"/>
        <v>254</v>
      </c>
      <c r="R20" s="29"/>
      <c r="S20" s="35">
        <v>0.54237288135593198</v>
      </c>
      <c r="T20" s="28">
        <v>0</v>
      </c>
      <c r="U20" s="36" t="s">
        <v>33</v>
      </c>
      <c r="V20" s="37" t="s">
        <v>33</v>
      </c>
      <c r="W20" s="28">
        <v>0</v>
      </c>
      <c r="X20" s="38">
        <f t="shared" si="9"/>
        <v>0</v>
      </c>
      <c r="Y20" s="39">
        <f t="shared" si="10"/>
        <v>0</v>
      </c>
      <c r="Z20" s="28">
        <v>0</v>
      </c>
      <c r="AA20" s="28" t="s">
        <v>34</v>
      </c>
      <c r="AB20" s="40">
        <f t="shared" si="11"/>
        <v>-0.69</v>
      </c>
      <c r="AC20" s="41">
        <v>2.5470423611111116E-2</v>
      </c>
      <c r="AD20" s="39">
        <f t="shared" si="12"/>
        <v>-0.10544755375000002</v>
      </c>
      <c r="AE20" s="39">
        <v>-3.48</v>
      </c>
      <c r="AF20" s="39">
        <v>-1.1271200000000001</v>
      </c>
      <c r="AG20" s="39">
        <v>0</v>
      </c>
    </row>
    <row r="21" spans="1:33" ht="15.75" customHeight="1" x14ac:dyDescent="0.2">
      <c r="A21" s="28" t="s">
        <v>59</v>
      </c>
      <c r="B21" s="28" t="s">
        <v>353</v>
      </c>
      <c r="C21" s="15">
        <f t="shared" si="1"/>
        <v>6.5200000000000005</v>
      </c>
      <c r="D21" s="29">
        <v>6</v>
      </c>
      <c r="E21" s="29">
        <v>2</v>
      </c>
      <c r="F21" s="32">
        <v>39.120000000000005</v>
      </c>
      <c r="G21" s="30">
        <v>0</v>
      </c>
      <c r="H21" s="31">
        <f t="shared" si="2"/>
        <v>0</v>
      </c>
      <c r="I21" s="31">
        <f t="shared" si="3"/>
        <v>0.1379955238369121</v>
      </c>
      <c r="J21" s="32">
        <f t="shared" si="4"/>
        <v>5.398384892500002</v>
      </c>
      <c r="K21" s="32">
        <f t="shared" si="5"/>
        <v>0.899730815416667</v>
      </c>
      <c r="L21" s="29">
        <v>5</v>
      </c>
      <c r="M21" s="33">
        <f t="shared" si="6"/>
        <v>1.2</v>
      </c>
      <c r="N21" s="29">
        <v>103</v>
      </c>
      <c r="O21" s="34">
        <f t="shared" ref="O21:P21" si="24">D21/7</f>
        <v>0.8571428571428571</v>
      </c>
      <c r="P21" s="34">
        <f t="shared" si="24"/>
        <v>0.2857142857142857</v>
      </c>
      <c r="Q21" s="29">
        <f t="shared" si="8"/>
        <v>90</v>
      </c>
      <c r="R21" s="29"/>
      <c r="S21" s="35">
        <v>0.417233560090702</v>
      </c>
      <c r="T21" s="28">
        <v>0</v>
      </c>
      <c r="U21" s="36" t="s">
        <v>33</v>
      </c>
      <c r="V21" s="37" t="s">
        <v>33</v>
      </c>
      <c r="W21" s="28">
        <v>0</v>
      </c>
      <c r="X21" s="38">
        <f t="shared" si="9"/>
        <v>0</v>
      </c>
      <c r="Y21" s="39">
        <f t="shared" si="10"/>
        <v>0</v>
      </c>
      <c r="Z21" s="28">
        <v>0</v>
      </c>
      <c r="AA21" s="28" t="s">
        <v>34</v>
      </c>
      <c r="AB21" s="40">
        <f t="shared" si="11"/>
        <v>-0.69</v>
      </c>
      <c r="AC21" s="41">
        <v>2.5470423611111116E-2</v>
      </c>
      <c r="AD21" s="39">
        <f t="shared" si="12"/>
        <v>-0.21089510750000004</v>
      </c>
      <c r="AE21" s="39">
        <v>-3.48</v>
      </c>
      <c r="AF21" s="39">
        <v>-1.1271200000000001</v>
      </c>
      <c r="AG21" s="39">
        <v>0</v>
      </c>
    </row>
    <row r="22" spans="1:33" ht="15.75" customHeight="1" x14ac:dyDescent="0.2">
      <c r="A22" s="28" t="s">
        <v>60</v>
      </c>
      <c r="B22" s="28" t="s">
        <v>47</v>
      </c>
      <c r="C22" s="15">
        <f t="shared" si="1"/>
        <v>7.1566666666666663</v>
      </c>
      <c r="D22" s="29">
        <v>3</v>
      </c>
      <c r="E22" s="29">
        <v>0</v>
      </c>
      <c r="F22" s="30">
        <v>21.47</v>
      </c>
      <c r="G22" s="30">
        <v>0</v>
      </c>
      <c r="H22" s="31">
        <f t="shared" si="2"/>
        <v>0</v>
      </c>
      <c r="I22" s="31">
        <f t="shared" si="3"/>
        <v>0.20133639712389367</v>
      </c>
      <c r="J22" s="32">
        <f t="shared" si="4"/>
        <v>4.3226924462499969</v>
      </c>
      <c r="K22" s="32">
        <f t="shared" si="5"/>
        <v>1.4408974820833322</v>
      </c>
      <c r="L22" s="29">
        <v>12</v>
      </c>
      <c r="M22" s="33">
        <f t="shared" si="6"/>
        <v>0.25</v>
      </c>
      <c r="N22" s="29">
        <v>104</v>
      </c>
      <c r="O22" s="34">
        <f t="shared" ref="O22:P22" si="25">D22/7</f>
        <v>0.42857142857142855</v>
      </c>
      <c r="P22" s="34">
        <f t="shared" si="25"/>
        <v>0</v>
      </c>
      <c r="Q22" s="29">
        <f t="shared" si="8"/>
        <v>242</v>
      </c>
      <c r="R22" s="29"/>
      <c r="S22" s="35">
        <v>0.46335697399527098</v>
      </c>
      <c r="T22" s="28">
        <v>0</v>
      </c>
      <c r="U22" s="36" t="s">
        <v>33</v>
      </c>
      <c r="V22" s="37" t="s">
        <v>33</v>
      </c>
      <c r="W22" s="28">
        <v>0</v>
      </c>
      <c r="X22" s="38">
        <f t="shared" si="9"/>
        <v>0</v>
      </c>
      <c r="Y22" s="39">
        <f t="shared" si="10"/>
        <v>0</v>
      </c>
      <c r="Z22" s="28">
        <v>0</v>
      </c>
      <c r="AA22" s="28" t="s">
        <v>34</v>
      </c>
      <c r="AB22" s="40">
        <f t="shared" si="11"/>
        <v>-0.69</v>
      </c>
      <c r="AC22" s="41">
        <v>2.5470423611111116E-2</v>
      </c>
      <c r="AD22" s="39">
        <f t="shared" si="12"/>
        <v>-0.10544755375000002</v>
      </c>
      <c r="AE22" s="39">
        <v>-3.48</v>
      </c>
      <c r="AF22" s="39">
        <v>-1.1271200000000001</v>
      </c>
      <c r="AG22" s="39">
        <v>0</v>
      </c>
    </row>
    <row r="23" spans="1:33" ht="15.75" customHeight="1" x14ac:dyDescent="0.2">
      <c r="A23" s="28" t="s">
        <v>62</v>
      </c>
      <c r="B23" s="28" t="s">
        <v>354</v>
      </c>
      <c r="C23" s="15">
        <f t="shared" si="1"/>
        <v>7.49</v>
      </c>
      <c r="D23" s="29">
        <v>1</v>
      </c>
      <c r="E23" s="29">
        <v>0</v>
      </c>
      <c r="F23" s="32">
        <v>7.49</v>
      </c>
      <c r="G23" s="30">
        <v>0</v>
      </c>
      <c r="H23" s="31">
        <f t="shared" si="2"/>
        <v>0</v>
      </c>
      <c r="I23" s="31">
        <f t="shared" si="3"/>
        <v>0.23020438123052966</v>
      </c>
      <c r="J23" s="32">
        <f t="shared" si="4"/>
        <v>1.7242308154166672</v>
      </c>
      <c r="K23" s="32">
        <f t="shared" si="5"/>
        <v>1.7242308154166672</v>
      </c>
      <c r="L23" s="29">
        <v>9</v>
      </c>
      <c r="M23" s="33">
        <f t="shared" si="6"/>
        <v>0.1111111111111111</v>
      </c>
      <c r="N23" s="29">
        <v>103</v>
      </c>
      <c r="O23" s="34">
        <f t="shared" ref="O23:P23" si="26">D23/7</f>
        <v>0.14285714285714285</v>
      </c>
      <c r="P23" s="34">
        <f t="shared" si="26"/>
        <v>0</v>
      </c>
      <c r="Q23" s="29">
        <f t="shared" si="8"/>
        <v>721</v>
      </c>
      <c r="R23" s="29"/>
      <c r="S23" s="35">
        <v>0.51041666666666596</v>
      </c>
      <c r="T23" s="28">
        <v>0</v>
      </c>
      <c r="U23" s="36" t="s">
        <v>33</v>
      </c>
      <c r="V23" s="37" t="s">
        <v>33</v>
      </c>
      <c r="W23" s="28">
        <v>0</v>
      </c>
      <c r="X23" s="38">
        <f t="shared" si="9"/>
        <v>0</v>
      </c>
      <c r="Y23" s="39">
        <f t="shared" si="10"/>
        <v>0</v>
      </c>
      <c r="Z23" s="28">
        <v>0</v>
      </c>
      <c r="AA23" s="28" t="s">
        <v>34</v>
      </c>
      <c r="AB23" s="40">
        <f t="shared" si="11"/>
        <v>-0.69</v>
      </c>
      <c r="AC23" s="41">
        <v>2.5470423611111116E-2</v>
      </c>
      <c r="AD23" s="39">
        <f t="shared" si="12"/>
        <v>-3.514918458333334E-2</v>
      </c>
      <c r="AE23" s="39">
        <v>-3.48</v>
      </c>
      <c r="AF23" s="39">
        <v>-1.1271200000000001</v>
      </c>
      <c r="AG23" s="39">
        <v>0</v>
      </c>
    </row>
    <row r="24" spans="1:33" ht="15.75" customHeight="1" x14ac:dyDescent="0.2">
      <c r="A24" s="28" t="s">
        <v>64</v>
      </c>
      <c r="B24" s="28" t="s">
        <v>355</v>
      </c>
      <c r="C24" s="15">
        <f t="shared" si="1"/>
        <v>7.28</v>
      </c>
      <c r="D24" s="29">
        <v>2</v>
      </c>
      <c r="E24" s="29">
        <v>0</v>
      </c>
      <c r="F24" s="32">
        <v>14.56</v>
      </c>
      <c r="G24" s="32">
        <v>0</v>
      </c>
      <c r="H24" s="31">
        <f t="shared" si="2"/>
        <v>0</v>
      </c>
      <c r="I24" s="31">
        <f t="shared" si="3"/>
        <v>0.2123256614583332</v>
      </c>
      <c r="J24" s="32">
        <f t="shared" si="4"/>
        <v>3.0914616308333316</v>
      </c>
      <c r="K24" s="32">
        <f t="shared" si="5"/>
        <v>1.5457308154166658</v>
      </c>
      <c r="L24" s="29">
        <v>3</v>
      </c>
      <c r="M24" s="33">
        <f t="shared" si="6"/>
        <v>0.66666666666666663</v>
      </c>
      <c r="N24" s="29">
        <v>101</v>
      </c>
      <c r="O24" s="34">
        <f t="shared" ref="O24:P24" si="27">D24/7</f>
        <v>0.2857142857142857</v>
      </c>
      <c r="P24" s="34">
        <f t="shared" si="27"/>
        <v>0</v>
      </c>
      <c r="Q24" s="29">
        <f t="shared" si="8"/>
        <v>353</v>
      </c>
      <c r="R24" s="29"/>
      <c r="S24" s="35">
        <v>0.51851851851851805</v>
      </c>
      <c r="T24" s="28">
        <v>0</v>
      </c>
      <c r="U24" s="36" t="s">
        <v>33</v>
      </c>
      <c r="V24" s="37" t="s">
        <v>33</v>
      </c>
      <c r="W24" s="28">
        <v>0</v>
      </c>
      <c r="X24" s="38">
        <f t="shared" si="9"/>
        <v>0</v>
      </c>
      <c r="Y24" s="39">
        <f t="shared" si="10"/>
        <v>0</v>
      </c>
      <c r="Z24" s="28">
        <v>0</v>
      </c>
      <c r="AA24" s="28" t="s">
        <v>34</v>
      </c>
      <c r="AB24" s="40">
        <f t="shared" si="11"/>
        <v>-0.69</v>
      </c>
      <c r="AC24" s="41">
        <v>2.5470423611111116E-2</v>
      </c>
      <c r="AD24" s="39">
        <f t="shared" si="12"/>
        <v>-7.029836916666668E-2</v>
      </c>
      <c r="AE24" s="39">
        <v>-3.48</v>
      </c>
      <c r="AF24" s="39">
        <v>-1.1271200000000001</v>
      </c>
      <c r="AG24" s="39">
        <v>0</v>
      </c>
    </row>
    <row r="25" spans="1:33" ht="15.75" customHeight="1" x14ac:dyDescent="0.2">
      <c r="A25" s="28" t="s">
        <v>65</v>
      </c>
      <c r="B25" s="28" t="s">
        <v>355</v>
      </c>
      <c r="C25" s="15">
        <f t="shared" si="1"/>
        <v>6.99</v>
      </c>
      <c r="D25" s="29">
        <v>7</v>
      </c>
      <c r="E25" s="29">
        <v>0</v>
      </c>
      <c r="F25" s="32">
        <v>48.93</v>
      </c>
      <c r="G25" s="32">
        <v>0</v>
      </c>
      <c r="H25" s="31">
        <f t="shared" si="2"/>
        <v>0</v>
      </c>
      <c r="I25" s="31">
        <f t="shared" si="3"/>
        <v>0.18545791350739288</v>
      </c>
      <c r="J25" s="32">
        <f t="shared" si="4"/>
        <v>9.0744557079167336</v>
      </c>
      <c r="K25" s="32">
        <f t="shared" si="5"/>
        <v>1.2963508154166763</v>
      </c>
      <c r="L25" s="29">
        <v>15</v>
      </c>
      <c r="M25" s="33">
        <f t="shared" si="6"/>
        <v>0.46666666666666667</v>
      </c>
      <c r="N25" s="29">
        <v>97</v>
      </c>
      <c r="O25" s="34">
        <f t="shared" ref="O25:P25" si="28">D25/7</f>
        <v>1</v>
      </c>
      <c r="P25" s="34">
        <f t="shared" si="28"/>
        <v>0</v>
      </c>
      <c r="Q25" s="29">
        <f t="shared" si="8"/>
        <v>97</v>
      </c>
      <c r="R25" s="29"/>
      <c r="S25" s="35">
        <v>0.38626609442060078</v>
      </c>
      <c r="T25" s="28">
        <v>100</v>
      </c>
      <c r="U25" s="36" t="s">
        <v>33</v>
      </c>
      <c r="V25" s="37" t="s">
        <v>33</v>
      </c>
      <c r="W25" s="14">
        <v>0</v>
      </c>
      <c r="X25" s="38">
        <f t="shared" si="9"/>
        <v>0</v>
      </c>
      <c r="Y25" s="39">
        <f t="shared" si="10"/>
        <v>0</v>
      </c>
      <c r="Z25" s="14">
        <v>0</v>
      </c>
      <c r="AA25" s="28" t="s">
        <v>34</v>
      </c>
      <c r="AB25" s="40">
        <f t="shared" si="11"/>
        <v>-0.69</v>
      </c>
      <c r="AC25" s="41">
        <v>2.5470423611111116E-2</v>
      </c>
      <c r="AD25" s="39">
        <f t="shared" si="12"/>
        <v>-0.24604429208333339</v>
      </c>
      <c r="AE25" s="39">
        <v>-3.48</v>
      </c>
      <c r="AF25" s="39">
        <v>-1.1299999999999899</v>
      </c>
      <c r="AG25" s="39">
        <v>0</v>
      </c>
    </row>
    <row r="26" spans="1:33" ht="15.75" customHeight="1" x14ac:dyDescent="0.2">
      <c r="A26" s="14" t="s">
        <v>67</v>
      </c>
      <c r="B26" s="14" t="s">
        <v>356</v>
      </c>
      <c r="C26" s="15" t="str">
        <f t="shared" si="1"/>
        <v xml:space="preserve"> - </v>
      </c>
      <c r="D26" s="16">
        <v>0</v>
      </c>
      <c r="E26" s="16">
        <v>1</v>
      </c>
      <c r="F26" s="17">
        <v>0</v>
      </c>
      <c r="G26" s="17">
        <v>-0.04</v>
      </c>
      <c r="H26" s="31" t="e">
        <f t="shared" si="2"/>
        <v>#DIV/0!</v>
      </c>
      <c r="I26" s="31" t="e">
        <f t="shared" si="3"/>
        <v>#DIV/0!</v>
      </c>
      <c r="J26" s="32">
        <f t="shared" si="4"/>
        <v>-0.04</v>
      </c>
      <c r="K26" s="32" t="e">
        <f t="shared" si="5"/>
        <v>#DIV/0!</v>
      </c>
      <c r="L26" s="16">
        <v>0</v>
      </c>
      <c r="M26" s="33" t="str">
        <f t="shared" si="6"/>
        <v>-</v>
      </c>
      <c r="N26" s="16">
        <v>97</v>
      </c>
      <c r="O26" s="34">
        <f t="shared" ref="O26:P26" si="29">D26/7</f>
        <v>0</v>
      </c>
      <c r="P26" s="34">
        <f t="shared" si="29"/>
        <v>0.14285714285714285</v>
      </c>
      <c r="Q26" s="29">
        <f t="shared" si="8"/>
        <v>679</v>
      </c>
      <c r="R26" s="29"/>
      <c r="S26" s="21">
        <v>0.38053097345132741</v>
      </c>
      <c r="T26" s="28">
        <v>100</v>
      </c>
      <c r="U26" s="36" t="s">
        <v>33</v>
      </c>
      <c r="V26" s="37" t="s">
        <v>33</v>
      </c>
      <c r="W26" s="14">
        <v>0</v>
      </c>
      <c r="X26" s="38">
        <f t="shared" si="9"/>
        <v>0</v>
      </c>
      <c r="Y26" s="39">
        <f t="shared" si="10"/>
        <v>0</v>
      </c>
      <c r="Z26" s="14">
        <v>0</v>
      </c>
      <c r="AA26" s="28" t="s">
        <v>34</v>
      </c>
      <c r="AB26" s="40">
        <f t="shared" si="11"/>
        <v>-0.69</v>
      </c>
      <c r="AC26" s="41">
        <v>2.5470423611111116E-2</v>
      </c>
      <c r="AD26" s="39">
        <f t="shared" si="12"/>
        <v>0</v>
      </c>
      <c r="AE26" s="25">
        <v>-3.64</v>
      </c>
      <c r="AF26" s="25">
        <v>-1.130976</v>
      </c>
      <c r="AG26" s="25">
        <v>0</v>
      </c>
    </row>
    <row r="27" spans="1:33" ht="15.75" customHeight="1" x14ac:dyDescent="0.2">
      <c r="A27" s="14" t="s">
        <v>69</v>
      </c>
      <c r="B27" s="14" t="s">
        <v>47</v>
      </c>
      <c r="C27" s="15">
        <f t="shared" si="1"/>
        <v>6.9899999999999993</v>
      </c>
      <c r="D27" s="16">
        <v>6</v>
      </c>
      <c r="E27" s="16">
        <v>0</v>
      </c>
      <c r="F27" s="17">
        <v>41.94</v>
      </c>
      <c r="G27" s="17">
        <v>-0.08</v>
      </c>
      <c r="H27" s="31">
        <f t="shared" si="2"/>
        <v>1.9074868860276587E-3</v>
      </c>
      <c r="I27" s="31">
        <f t="shared" si="3"/>
        <v>0.16052095594897467</v>
      </c>
      <c r="J27" s="32">
        <f t="shared" si="4"/>
        <v>6.7322488924999968</v>
      </c>
      <c r="K27" s="32">
        <f t="shared" si="5"/>
        <v>1.1220414820833329</v>
      </c>
      <c r="L27" s="16">
        <v>9</v>
      </c>
      <c r="M27" s="33">
        <f t="shared" si="6"/>
        <v>0.66666666666666663</v>
      </c>
      <c r="N27" s="16">
        <v>92</v>
      </c>
      <c r="O27" s="34">
        <f t="shared" ref="O27:P27" si="30">D27/7</f>
        <v>0.8571428571428571</v>
      </c>
      <c r="P27" s="34">
        <f t="shared" si="30"/>
        <v>0</v>
      </c>
      <c r="Q27" s="29">
        <f t="shared" si="8"/>
        <v>107</v>
      </c>
      <c r="R27" s="29"/>
      <c r="S27" s="21">
        <v>0.41570438799076209</v>
      </c>
      <c r="T27" s="28">
        <v>100</v>
      </c>
      <c r="U27" s="36" t="s">
        <v>33</v>
      </c>
      <c r="V27" s="37" t="s">
        <v>33</v>
      </c>
      <c r="W27" s="14">
        <v>0</v>
      </c>
      <c r="X27" s="38">
        <f t="shared" si="9"/>
        <v>0</v>
      </c>
      <c r="Y27" s="39">
        <f t="shared" si="10"/>
        <v>0</v>
      </c>
      <c r="Z27" s="14">
        <v>0</v>
      </c>
      <c r="AA27" s="28" t="s">
        <v>34</v>
      </c>
      <c r="AB27" s="40">
        <f t="shared" si="11"/>
        <v>-0.69</v>
      </c>
      <c r="AC27" s="41">
        <v>2.5470423611111116E-2</v>
      </c>
      <c r="AD27" s="39">
        <f t="shared" si="12"/>
        <v>-0.21089510750000004</v>
      </c>
      <c r="AE27" s="25">
        <v>-3.64</v>
      </c>
      <c r="AF27" s="25">
        <v>-1.130976</v>
      </c>
      <c r="AG27" s="25">
        <v>0</v>
      </c>
    </row>
    <row r="28" spans="1:33" ht="15.75" customHeight="1" x14ac:dyDescent="0.2">
      <c r="A28" s="14" t="s">
        <v>71</v>
      </c>
      <c r="B28" s="14" t="s">
        <v>357</v>
      </c>
      <c r="C28" s="15">
        <f t="shared" si="1"/>
        <v>6.9899999999999993</v>
      </c>
      <c r="D28" s="16">
        <v>3</v>
      </c>
      <c r="E28" s="16">
        <v>0</v>
      </c>
      <c r="F28" s="17">
        <v>20.97</v>
      </c>
      <c r="G28" s="17">
        <v>0</v>
      </c>
      <c r="H28" s="31">
        <f t="shared" si="2"/>
        <v>0</v>
      </c>
      <c r="I28" s="31">
        <f t="shared" si="3"/>
        <v>0.16242844283500227</v>
      </c>
      <c r="J28" s="32">
        <f t="shared" si="4"/>
        <v>3.4061244462499976</v>
      </c>
      <c r="K28" s="32">
        <f t="shared" si="5"/>
        <v>1.1353748154166659</v>
      </c>
      <c r="L28" s="16">
        <v>6</v>
      </c>
      <c r="M28" s="33">
        <f t="shared" si="6"/>
        <v>0.5</v>
      </c>
      <c r="N28" s="16">
        <v>88</v>
      </c>
      <c r="O28" s="34">
        <f t="shared" ref="O28:P28" si="31">D28/7</f>
        <v>0.42857142857142855</v>
      </c>
      <c r="P28" s="34">
        <f t="shared" si="31"/>
        <v>0</v>
      </c>
      <c r="Q28" s="29">
        <f t="shared" si="8"/>
        <v>205</v>
      </c>
      <c r="R28" s="29"/>
      <c r="S28" s="21">
        <v>0.4611764705882353</v>
      </c>
      <c r="T28" s="28">
        <v>100</v>
      </c>
      <c r="U28" s="36" t="s">
        <v>33</v>
      </c>
      <c r="V28" s="37" t="s">
        <v>33</v>
      </c>
      <c r="W28" s="14">
        <v>0</v>
      </c>
      <c r="X28" s="38">
        <f t="shared" si="9"/>
        <v>0</v>
      </c>
      <c r="Y28" s="39">
        <f t="shared" si="10"/>
        <v>0</v>
      </c>
      <c r="Z28" s="14">
        <v>0</v>
      </c>
      <c r="AA28" s="28" t="s">
        <v>34</v>
      </c>
      <c r="AB28" s="40">
        <f t="shared" si="11"/>
        <v>-0.69</v>
      </c>
      <c r="AC28" s="41">
        <v>2.5470423611111116E-2</v>
      </c>
      <c r="AD28" s="39">
        <f t="shared" si="12"/>
        <v>-0.10544755375000002</v>
      </c>
      <c r="AE28" s="25">
        <v>-3.64</v>
      </c>
      <c r="AF28" s="25">
        <v>-1.130976</v>
      </c>
      <c r="AG28" s="25">
        <v>0</v>
      </c>
    </row>
    <row r="29" spans="1:33" ht="15.75" customHeight="1" x14ac:dyDescent="0.2">
      <c r="A29" s="28" t="s">
        <v>72</v>
      </c>
      <c r="B29" s="28" t="s">
        <v>47</v>
      </c>
      <c r="C29" s="15">
        <f t="shared" si="1"/>
        <v>6.99</v>
      </c>
      <c r="D29" s="29">
        <v>19</v>
      </c>
      <c r="E29" s="29">
        <v>1</v>
      </c>
      <c r="F29" s="32">
        <v>132.81</v>
      </c>
      <c r="G29" s="32">
        <v>-7.98</v>
      </c>
      <c r="H29" s="31">
        <f t="shared" si="2"/>
        <v>6.0085836909871244E-2</v>
      </c>
      <c r="I29" s="31">
        <f t="shared" si="3"/>
        <v>0.10234260592513106</v>
      </c>
      <c r="J29" s="32">
        <f t="shared" si="4"/>
        <v>13.592121492916656</v>
      </c>
      <c r="K29" s="32">
        <f t="shared" si="5"/>
        <v>0.71537481541666603</v>
      </c>
      <c r="L29" s="29">
        <v>17</v>
      </c>
      <c r="M29" s="33">
        <f t="shared" si="6"/>
        <v>1.1176470588235294</v>
      </c>
      <c r="N29" s="16">
        <v>69</v>
      </c>
      <c r="O29" s="34">
        <f t="shared" ref="O29:P29" si="32">D29/7</f>
        <v>2.7142857142857144</v>
      </c>
      <c r="P29" s="34">
        <f t="shared" si="32"/>
        <v>0.14285714285714285</v>
      </c>
      <c r="Q29" s="29">
        <f t="shared" si="8"/>
        <v>24</v>
      </c>
      <c r="R29" s="29"/>
      <c r="S29" s="21">
        <v>0.58536585365853655</v>
      </c>
      <c r="T29" s="28">
        <v>100</v>
      </c>
      <c r="U29" s="36" t="s">
        <v>33</v>
      </c>
      <c r="V29" s="37" t="s">
        <v>33</v>
      </c>
      <c r="W29" s="14">
        <v>4</v>
      </c>
      <c r="X29" s="38">
        <f t="shared" si="9"/>
        <v>0.21052631578947367</v>
      </c>
      <c r="Y29" s="39">
        <f t="shared" si="10"/>
        <v>1.33</v>
      </c>
      <c r="Z29" s="14">
        <v>2</v>
      </c>
      <c r="AA29" s="28" t="s">
        <v>34</v>
      </c>
      <c r="AB29" s="40">
        <f t="shared" si="11"/>
        <v>-0.69</v>
      </c>
      <c r="AC29" s="41">
        <v>2.5470423611111116E-2</v>
      </c>
      <c r="AD29" s="39">
        <f t="shared" si="12"/>
        <v>-0.66783450708333347</v>
      </c>
      <c r="AE29" s="39">
        <v>-3.64</v>
      </c>
      <c r="AF29" s="25">
        <v>-1.130976</v>
      </c>
      <c r="AG29" s="39">
        <v>0</v>
      </c>
    </row>
    <row r="30" spans="1:33" ht="15.75" customHeight="1" x14ac:dyDescent="0.2">
      <c r="A30" s="14" t="s">
        <v>74</v>
      </c>
      <c r="B30" s="14" t="s">
        <v>358</v>
      </c>
      <c r="C30" s="15">
        <f t="shared" si="1"/>
        <v>6.99</v>
      </c>
      <c r="D30" s="16">
        <v>10</v>
      </c>
      <c r="E30" s="16">
        <v>0</v>
      </c>
      <c r="F30" s="17">
        <v>69.900000000000006</v>
      </c>
      <c r="G30" s="17">
        <v>-15.15</v>
      </c>
      <c r="H30" s="31">
        <f t="shared" si="2"/>
        <v>0.2167381974248927</v>
      </c>
      <c r="I30" s="31">
        <f t="shared" si="3"/>
        <v>-4.2725205233667012E-2</v>
      </c>
      <c r="J30" s="32">
        <f t="shared" si="4"/>
        <v>-2.9864918458333243</v>
      </c>
      <c r="K30" s="32">
        <f t="shared" si="5"/>
        <v>-0.29864918458333245</v>
      </c>
      <c r="L30" s="16">
        <v>16</v>
      </c>
      <c r="M30" s="33">
        <f t="shared" si="6"/>
        <v>0.625</v>
      </c>
      <c r="N30" s="16">
        <v>66</v>
      </c>
      <c r="O30" s="34">
        <f t="shared" ref="O30:P30" si="33">D30/7</f>
        <v>1.4285714285714286</v>
      </c>
      <c r="P30" s="34">
        <f t="shared" si="33"/>
        <v>0</v>
      </c>
      <c r="Q30" s="29">
        <f t="shared" si="8"/>
        <v>46</v>
      </c>
      <c r="R30" s="29"/>
      <c r="S30" s="21">
        <v>0.68860759493670887</v>
      </c>
      <c r="T30" s="28">
        <v>100</v>
      </c>
      <c r="U30" s="36" t="s">
        <v>33</v>
      </c>
      <c r="V30" s="37" t="s">
        <v>33</v>
      </c>
      <c r="W30" s="14">
        <v>6</v>
      </c>
      <c r="X30" s="38">
        <f t="shared" si="9"/>
        <v>0.6</v>
      </c>
      <c r="Y30" s="39">
        <f t="shared" si="10"/>
        <v>2.5249999999999999</v>
      </c>
      <c r="Z30" s="14">
        <v>0</v>
      </c>
      <c r="AA30" s="28" t="s">
        <v>34</v>
      </c>
      <c r="AB30" s="40">
        <f t="shared" si="11"/>
        <v>-0.69</v>
      </c>
      <c r="AC30" s="41">
        <v>2.5470423611111116E-2</v>
      </c>
      <c r="AD30" s="39">
        <f t="shared" si="12"/>
        <v>-0.35149184583333337</v>
      </c>
      <c r="AE30" s="25">
        <v>-3.64</v>
      </c>
      <c r="AF30" s="25">
        <v>-1.05</v>
      </c>
      <c r="AG30" s="25">
        <v>0</v>
      </c>
    </row>
    <row r="31" spans="1:33" ht="15.75" customHeight="1" x14ac:dyDescent="0.2">
      <c r="A31" s="14" t="s">
        <v>75</v>
      </c>
      <c r="B31" s="14"/>
      <c r="C31" s="15">
        <f t="shared" si="1"/>
        <v>6.99</v>
      </c>
      <c r="D31" s="16">
        <v>11</v>
      </c>
      <c r="E31" s="16">
        <v>0</v>
      </c>
      <c r="F31" s="17">
        <v>76.89</v>
      </c>
      <c r="G31" s="42">
        <v>-24.77</v>
      </c>
      <c r="H31" s="31">
        <f t="shared" si="2"/>
        <v>0.32214852386526205</v>
      </c>
      <c r="I31" s="31">
        <f t="shared" si="3"/>
        <v>-0.14813553167403651</v>
      </c>
      <c r="J31" s="32">
        <f t="shared" si="4"/>
        <v>-11.390141030416666</v>
      </c>
      <c r="K31" s="32">
        <f t="shared" si="5"/>
        <v>-1.035467366401515</v>
      </c>
      <c r="L31" s="16">
        <v>25</v>
      </c>
      <c r="M31" s="33">
        <f t="shared" si="6"/>
        <v>0.44</v>
      </c>
      <c r="N31" s="16">
        <v>49</v>
      </c>
      <c r="O31" s="34">
        <f t="shared" ref="O31:P32" si="34">D31/7</f>
        <v>1.5714285714285714</v>
      </c>
      <c r="P31" s="34">
        <f t="shared" si="34"/>
        <v>0</v>
      </c>
      <c r="Q31" s="29">
        <f t="shared" si="8"/>
        <v>31</v>
      </c>
      <c r="R31" s="29"/>
      <c r="S31" s="21">
        <v>0.77211796246648701</v>
      </c>
      <c r="T31" s="14" t="s">
        <v>33</v>
      </c>
      <c r="U31" s="22" t="s">
        <v>33</v>
      </c>
      <c r="V31" s="1" t="s">
        <v>957</v>
      </c>
      <c r="W31" s="14">
        <v>7</v>
      </c>
      <c r="X31" s="38">
        <f t="shared" si="9"/>
        <v>0.63636363636363635</v>
      </c>
      <c r="Y31" s="39">
        <f t="shared" si="10"/>
        <v>2.7522222222222221</v>
      </c>
      <c r="Z31" s="14">
        <v>2</v>
      </c>
      <c r="AA31" s="14" t="s">
        <v>34</v>
      </c>
      <c r="AB31" s="40">
        <f t="shared" si="11"/>
        <v>-0.69</v>
      </c>
      <c r="AC31" s="27">
        <v>2.5470423611111116E-2</v>
      </c>
      <c r="AD31" s="39">
        <f t="shared" si="12"/>
        <v>-0.38664103041666675</v>
      </c>
      <c r="AE31" s="43">
        <v>-3.64</v>
      </c>
      <c r="AF31" s="43">
        <v>-1.05</v>
      </c>
      <c r="AG31" s="25">
        <v>0</v>
      </c>
    </row>
    <row r="32" spans="1:33" s="51" customFormat="1" ht="15.75" customHeight="1" x14ac:dyDescent="0.2">
      <c r="A32" s="51" t="s">
        <v>934</v>
      </c>
      <c r="C32" s="15">
        <f t="shared" si="1"/>
        <v>6.9899999999999993</v>
      </c>
      <c r="D32" s="52">
        <v>15</v>
      </c>
      <c r="E32" s="52">
        <v>0</v>
      </c>
      <c r="F32" s="53">
        <v>104.85</v>
      </c>
      <c r="G32" s="53">
        <v>-15.81</v>
      </c>
      <c r="H32" s="31">
        <f t="shared" si="2"/>
        <v>0.15078683834048642</v>
      </c>
      <c r="I32" s="31">
        <f t="shared" si="3"/>
        <v>2.3226153850739003E-2</v>
      </c>
      <c r="J32" s="32">
        <f t="shared" si="4"/>
        <v>2.4352622312499843</v>
      </c>
      <c r="K32" s="32">
        <f t="shared" si="5"/>
        <v>0.16235081541666563</v>
      </c>
      <c r="L32" s="52">
        <v>19</v>
      </c>
      <c r="M32" s="33">
        <f t="shared" si="6"/>
        <v>0.78947368421052633</v>
      </c>
      <c r="N32" s="52">
        <v>34</v>
      </c>
      <c r="O32" s="34">
        <f t="shared" si="34"/>
        <v>2.1428571428571428</v>
      </c>
      <c r="P32" s="34">
        <f t="shared" si="34"/>
        <v>0</v>
      </c>
      <c r="Q32" s="29">
        <f t="shared" si="8"/>
        <v>15</v>
      </c>
      <c r="R32" s="29" t="str">
        <f ca="1">IFERROR(VLOOKUP($B$2,IMPORTRANGE("https://docs.google.com/spreadsheets/d/1KiWZV1ko8G7lnRucBRBd29jj3Be6ltMfljMDqzOkQmI/edit#gid=1381463014","Lookup!A:F"),6,FALSE),"")</f>
        <v/>
      </c>
      <c r="S32" s="54">
        <v>1.0476190476190479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6</v>
      </c>
      <c r="X32" s="38">
        <f t="shared" si="9"/>
        <v>0.4</v>
      </c>
      <c r="Y32" s="39">
        <f t="shared" si="10"/>
        <v>1.581</v>
      </c>
      <c r="Z32" s="51">
        <v>4</v>
      </c>
      <c r="AA32" s="51" t="s">
        <v>34</v>
      </c>
      <c r="AB32" s="40">
        <f t="shared" si="11"/>
        <v>-0.69</v>
      </c>
      <c r="AC32" s="57">
        <v>2.5470423611111116E-2</v>
      </c>
      <c r="AD32" s="39">
        <f t="shared" si="12"/>
        <v>-0.52723776875000006</v>
      </c>
      <c r="AE32" s="58">
        <v>-3.64</v>
      </c>
      <c r="AF32" s="58">
        <v>-1.05</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S221" s="21"/>
    </row>
    <row r="222" spans="1:33" ht="15.75" customHeight="1" x14ac:dyDescent="0.2">
      <c r="S222" s="21"/>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43.8320312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78.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AWG Replacement Power Cord with Open End - 10 Ft Black Extension Cable, 18/2 SJT")</f>
        <v>16 AWG Replacement Power Cord with Open End - 10 Ft Black Extension Cable, 18/2 SJT</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Info!B1:BJ5000""),2,FALSE),"""")"),"B08LH8RBXL")</f>
        <v>B08LH8RBXL</v>
      </c>
      <c r="B2" s="3" t="s">
        <v>359</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57" customHeight="1" x14ac:dyDescent="0.2">
      <c r="A3" s="76" t="s">
        <v>30</v>
      </c>
      <c r="B3" s="77"/>
      <c r="C3" s="47">
        <f>((AE32+AF32)/0.85)*-1</f>
        <v>6.5305882352941182</v>
      </c>
      <c r="D3" s="5">
        <f>SUM(D4:D99765)</f>
        <v>244</v>
      </c>
      <c r="E3" s="5"/>
      <c r="F3" s="6">
        <f t="shared" ref="F3:G3" si="0">SUM(F4:F99765)</f>
        <v>2615.34</v>
      </c>
      <c r="G3" s="6">
        <f t="shared" si="0"/>
        <v>-77.169999999999987</v>
      </c>
      <c r="H3" s="7">
        <f>G3/F3*-1</f>
        <v>2.9506679819832213E-2</v>
      </c>
      <c r="I3" s="8">
        <f>J3/F3</f>
        <v>0.31208407709096375</v>
      </c>
      <c r="J3" s="6">
        <f>SUM(J4:J99765)</f>
        <v>816.20597017908119</v>
      </c>
      <c r="K3" s="6">
        <f>J3/D3</f>
        <v>3.3451064351601687</v>
      </c>
      <c r="L3" s="5"/>
      <c r="M3" s="9"/>
      <c r="N3" s="10"/>
      <c r="O3" s="5" t="str">
        <f ca="1">IFERROR(__xludf.DUMMYFUNCTION("IFERROR(VLOOKUP(B2,IMPORTRANGE(""https://docs.google.com/spreadsheets/d/1N8jvpEHDVkurDv7NrPxwI3eH6hQsvtb1QltGNCalRjU/edit#gid=865736387"",""Compiled Sheet!a1:g5000""),2,FALSE),"""")"),"2 - March
2 - April
2 - May
2 - June
2 - July
2 - Aug
2 - Sept
2 - Oct
2 - Nov
2 - Dec
2 - Jan
2 - Feb")</f>
        <v>2 - March
2 - April
2 - May
2 - June
2 - July
2 - Aug
2 - Sept
2 -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18</v>
      </c>
      <c r="X3" s="7">
        <f>W3/D3</f>
        <v>7.3770491803278687E-2</v>
      </c>
      <c r="Y3" s="6"/>
      <c r="Z3" s="5"/>
      <c r="AA3" s="5"/>
      <c r="AB3" s="5"/>
      <c r="AC3" s="5"/>
      <c r="AD3" s="6">
        <f>SUM(AD4:AD99765)</f>
        <v>-22.453882128611113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Info!B2:BZ7000""),37,FALSE)),"""")*-1"),-1.911)</f>
        <v>-1.911</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customHeight="1" x14ac:dyDescent="0.2">
      <c r="A10" s="28" t="s">
        <v>46</v>
      </c>
      <c r="B10" s="28" t="s">
        <v>360</v>
      </c>
      <c r="C10" s="15">
        <f t="shared" ref="C10:C32" si="1">IFERROR(F10/D10," - ")</f>
        <v>10.656666666666668</v>
      </c>
      <c r="D10" s="29">
        <v>6</v>
      </c>
      <c r="E10" s="29">
        <v>0</v>
      </c>
      <c r="F10" s="30">
        <v>63.940000000000005</v>
      </c>
      <c r="G10" s="30">
        <v>-14.190000000000001</v>
      </c>
      <c r="H10" s="31">
        <f t="shared" ref="H10:H32" si="2">G10/F10*-1</f>
        <v>0.22192680638098217</v>
      </c>
      <c r="I10" s="31">
        <f t="shared" ref="I10:I32" si="3">J10/F10</f>
        <v>0.1388366562582713</v>
      </c>
      <c r="J10" s="32">
        <f t="shared" ref="J10:J32" si="4">F10*0.85+G10+AF10*D10+D10*AE10+AG10+AD10</f>
        <v>8.8772158011538682</v>
      </c>
      <c r="K10" s="32">
        <f t="shared" ref="K10:K32" si="5">J10/D10</f>
        <v>1.479535966858978</v>
      </c>
      <c r="L10" s="29">
        <v>19</v>
      </c>
      <c r="M10" s="33">
        <f t="shared" ref="M10:M32" si="6">IFERROR(D10/L10,"-")</f>
        <v>0.31578947368421051</v>
      </c>
      <c r="N10" s="29">
        <v>20</v>
      </c>
      <c r="O10" s="34">
        <f t="shared" ref="O10:P10" si="7">D10/7</f>
        <v>0.8571428571428571</v>
      </c>
      <c r="P10" s="34">
        <f t="shared" si="7"/>
        <v>0</v>
      </c>
      <c r="Q10" s="29">
        <f t="shared" ref="Q10:Q32" si="8">ROUNDDOWN(N10/(O10+P10),0)</f>
        <v>23</v>
      </c>
      <c r="R10" s="29"/>
      <c r="S10" s="35">
        <v>0.40909090909090901</v>
      </c>
      <c r="T10" s="28">
        <v>0</v>
      </c>
      <c r="U10" s="36" t="s">
        <v>33</v>
      </c>
      <c r="V10" s="37" t="s">
        <v>33</v>
      </c>
      <c r="W10" s="28">
        <v>0</v>
      </c>
      <c r="X10" s="38">
        <f t="shared" ref="X10:X32" si="9">IFERROR(W10/D10,0)</f>
        <v>0</v>
      </c>
      <c r="Y10" s="39">
        <f t="shared" ref="Y10:Y32" si="10">IFERROR(G10/(W10+Z10)*-1,0)</f>
        <v>14.190000000000001</v>
      </c>
      <c r="Z10" s="28">
        <v>1</v>
      </c>
      <c r="AA10" s="28" t="s">
        <v>34</v>
      </c>
      <c r="AB10" s="40">
        <f t="shared" ref="AB10:AB32" si="11">IF(OR(AA10="UsLargeStandardSize",AA10="UsSmallStandardSize"),-0.69,-0.48)</f>
        <v>-0.69</v>
      </c>
      <c r="AC10" s="41">
        <v>4.3610874999999993E-2</v>
      </c>
      <c r="AD10" s="39">
        <f t="shared" ref="AD10:AD32" si="12">IFERROR(AB10*AC10*D10*2,0)</f>
        <v>-0.36109804499999992</v>
      </c>
      <c r="AE10" s="39">
        <v>-3.48</v>
      </c>
      <c r="AF10" s="39">
        <v>-1.67344769230769</v>
      </c>
      <c r="AG10" s="39">
        <v>0</v>
      </c>
    </row>
    <row r="11" spans="1:33" ht="15.75" customHeight="1" x14ac:dyDescent="0.2">
      <c r="A11" s="28" t="s">
        <v>48</v>
      </c>
      <c r="B11" s="28"/>
      <c r="C11" s="15">
        <f t="shared" si="1"/>
        <v>9.6679999999999993</v>
      </c>
      <c r="D11" s="29">
        <v>5</v>
      </c>
      <c r="E11" s="29">
        <v>0</v>
      </c>
      <c r="F11" s="30">
        <v>48.339999999999996</v>
      </c>
      <c r="G11" s="30">
        <v>0</v>
      </c>
      <c r="H11" s="31">
        <f t="shared" si="2"/>
        <v>0</v>
      </c>
      <c r="I11" s="31">
        <f t="shared" si="3"/>
        <v>0.31073327474061962</v>
      </c>
      <c r="J11" s="32">
        <f t="shared" si="4"/>
        <v>15.020846500961552</v>
      </c>
      <c r="K11" s="32">
        <f t="shared" si="5"/>
        <v>3.0041693001923102</v>
      </c>
      <c r="L11" s="29">
        <v>8</v>
      </c>
      <c r="M11" s="33">
        <f t="shared" si="6"/>
        <v>0.625</v>
      </c>
      <c r="N11" s="29">
        <v>17</v>
      </c>
      <c r="O11" s="34">
        <f t="shared" ref="O11:P11" si="13">D11/7</f>
        <v>0.7142857142857143</v>
      </c>
      <c r="P11" s="34">
        <f t="shared" si="13"/>
        <v>0</v>
      </c>
      <c r="Q11" s="29">
        <f t="shared" si="8"/>
        <v>23</v>
      </c>
      <c r="R11" s="29"/>
      <c r="S11" s="35">
        <v>1.1666666666666601</v>
      </c>
      <c r="T11" s="28">
        <v>64</v>
      </c>
      <c r="U11" s="36" t="s">
        <v>33</v>
      </c>
      <c r="V11" s="37" t="s">
        <v>33</v>
      </c>
      <c r="W11" s="28">
        <v>0</v>
      </c>
      <c r="X11" s="38">
        <f t="shared" si="9"/>
        <v>0</v>
      </c>
      <c r="Y11" s="39">
        <f t="shared" si="10"/>
        <v>0</v>
      </c>
      <c r="Z11" s="28">
        <v>0</v>
      </c>
      <c r="AA11" s="28" t="s">
        <v>34</v>
      </c>
      <c r="AB11" s="40">
        <f t="shared" si="11"/>
        <v>-0.69</v>
      </c>
      <c r="AC11" s="41">
        <v>4.3610874999999993E-2</v>
      </c>
      <c r="AD11" s="39">
        <f t="shared" si="12"/>
        <v>-0.30091503749999993</v>
      </c>
      <c r="AE11" s="39">
        <v>-3.48</v>
      </c>
      <c r="AF11" s="39">
        <v>-1.67344769230769</v>
      </c>
      <c r="AG11" s="39">
        <v>0</v>
      </c>
    </row>
    <row r="12" spans="1:33" ht="15.75" customHeight="1" x14ac:dyDescent="0.2">
      <c r="A12" s="28" t="s">
        <v>49</v>
      </c>
      <c r="B12" s="28" t="s">
        <v>361</v>
      </c>
      <c r="C12" s="15">
        <f t="shared" si="1"/>
        <v>10.963333333333333</v>
      </c>
      <c r="D12" s="29">
        <v>3</v>
      </c>
      <c r="E12" s="29">
        <v>1</v>
      </c>
      <c r="F12" s="30">
        <v>32.89</v>
      </c>
      <c r="G12" s="30">
        <v>0</v>
      </c>
      <c r="H12" s="31">
        <f t="shared" si="2"/>
        <v>0</v>
      </c>
      <c r="I12" s="31">
        <f t="shared" si="3"/>
        <v>0.37444840074724628</v>
      </c>
      <c r="J12" s="32">
        <f t="shared" si="4"/>
        <v>12.31560790057693</v>
      </c>
      <c r="K12" s="32">
        <f t="shared" si="5"/>
        <v>4.1052026335256437</v>
      </c>
      <c r="L12" s="29">
        <v>10</v>
      </c>
      <c r="M12" s="33">
        <f t="shared" si="6"/>
        <v>0.3</v>
      </c>
      <c r="N12" s="29">
        <v>135</v>
      </c>
      <c r="O12" s="34">
        <f t="shared" ref="O12:P12" si="14">D12/7</f>
        <v>0.42857142857142855</v>
      </c>
      <c r="P12" s="34">
        <f t="shared" si="14"/>
        <v>0.14285714285714285</v>
      </c>
      <c r="Q12" s="29">
        <f t="shared" si="8"/>
        <v>236</v>
      </c>
      <c r="R12" s="29"/>
      <c r="S12" s="35">
        <v>0.26277372262773702</v>
      </c>
      <c r="T12" s="28">
        <v>64</v>
      </c>
      <c r="U12" s="36" t="s">
        <v>33</v>
      </c>
      <c r="V12" s="37" t="s">
        <v>33</v>
      </c>
      <c r="W12" s="28">
        <v>0</v>
      </c>
      <c r="X12" s="38">
        <f t="shared" si="9"/>
        <v>0</v>
      </c>
      <c r="Y12" s="39">
        <f t="shared" si="10"/>
        <v>0</v>
      </c>
      <c r="Z12" s="28">
        <v>0</v>
      </c>
      <c r="AA12" s="28" t="s">
        <v>34</v>
      </c>
      <c r="AB12" s="40">
        <f t="shared" si="11"/>
        <v>-0.69</v>
      </c>
      <c r="AC12" s="41">
        <v>4.3610874999999993E-2</v>
      </c>
      <c r="AD12" s="39">
        <f t="shared" si="12"/>
        <v>-0.18054902249999996</v>
      </c>
      <c r="AE12" s="39">
        <v>-3.48</v>
      </c>
      <c r="AF12" s="39">
        <v>-1.67344769230769</v>
      </c>
      <c r="AG12" s="39">
        <v>0</v>
      </c>
    </row>
    <row r="13" spans="1:33" ht="15.75" customHeight="1" x14ac:dyDescent="0.2">
      <c r="A13" s="28" t="s">
        <v>50</v>
      </c>
      <c r="B13" s="28" t="s">
        <v>362</v>
      </c>
      <c r="C13" s="15">
        <f t="shared" si="1"/>
        <v>11.9175</v>
      </c>
      <c r="D13" s="29">
        <v>4</v>
      </c>
      <c r="E13" s="29">
        <v>1</v>
      </c>
      <c r="F13" s="32">
        <v>47.67</v>
      </c>
      <c r="G13" s="30">
        <v>-0.12</v>
      </c>
      <c r="H13" s="31">
        <f t="shared" si="2"/>
        <v>2.5173064820641911E-3</v>
      </c>
      <c r="I13" s="31">
        <f t="shared" si="3"/>
        <v>0.40585464560753332</v>
      </c>
      <c r="J13" s="32">
        <f t="shared" si="4"/>
        <v>19.347090956111114</v>
      </c>
      <c r="K13" s="32">
        <f t="shared" si="5"/>
        <v>4.8367727390277784</v>
      </c>
      <c r="L13" s="29">
        <v>9</v>
      </c>
      <c r="M13" s="33">
        <f t="shared" si="6"/>
        <v>0.44444444444444442</v>
      </c>
      <c r="N13" s="29">
        <v>154</v>
      </c>
      <c r="O13" s="34">
        <f t="shared" ref="O13:P13" si="15">D13/7</f>
        <v>0.5714285714285714</v>
      </c>
      <c r="P13" s="34">
        <f t="shared" si="15"/>
        <v>0.14285714285714285</v>
      </c>
      <c r="Q13" s="29">
        <f t="shared" si="8"/>
        <v>215</v>
      </c>
      <c r="R13" s="29"/>
      <c r="S13" s="35">
        <v>0.305732484076433</v>
      </c>
      <c r="T13" s="28">
        <v>75</v>
      </c>
      <c r="U13" s="36" t="s">
        <v>33</v>
      </c>
      <c r="V13" s="37" t="s">
        <v>33</v>
      </c>
      <c r="W13" s="28">
        <v>0</v>
      </c>
      <c r="X13" s="38">
        <f t="shared" si="9"/>
        <v>0</v>
      </c>
      <c r="Y13" s="39">
        <f t="shared" si="10"/>
        <v>0</v>
      </c>
      <c r="Z13" s="28">
        <v>0</v>
      </c>
      <c r="AA13" s="28" t="s">
        <v>34</v>
      </c>
      <c r="AB13" s="40">
        <f t="shared" si="11"/>
        <v>-0.69</v>
      </c>
      <c r="AC13" s="41">
        <v>6.8088594907407415E-2</v>
      </c>
      <c r="AD13" s="39">
        <f t="shared" si="12"/>
        <v>-0.3758490438888889</v>
      </c>
      <c r="AE13" s="39">
        <v>-3.48</v>
      </c>
      <c r="AF13" s="39">
        <v>-1.6891400000000001</v>
      </c>
      <c r="AG13" s="39">
        <v>0</v>
      </c>
    </row>
    <row r="14" spans="1:33" ht="15.75" customHeight="1" x14ac:dyDescent="0.2">
      <c r="A14" s="28" t="s">
        <v>51</v>
      </c>
      <c r="B14" s="28"/>
      <c r="C14" s="15">
        <f t="shared" si="1"/>
        <v>11.9025</v>
      </c>
      <c r="D14" s="29">
        <v>4</v>
      </c>
      <c r="E14" s="29">
        <v>0</v>
      </c>
      <c r="F14" s="32">
        <v>47.61</v>
      </c>
      <c r="G14" s="30">
        <v>-0.02</v>
      </c>
      <c r="H14" s="31">
        <f t="shared" si="2"/>
        <v>4.2007981516488136E-4</v>
      </c>
      <c r="I14" s="31">
        <f t="shared" si="3"/>
        <v>0.40739531518821898</v>
      </c>
      <c r="J14" s="32">
        <f t="shared" si="4"/>
        <v>19.396090956111106</v>
      </c>
      <c r="K14" s="32">
        <f t="shared" si="5"/>
        <v>4.8490227390277765</v>
      </c>
      <c r="L14" s="29">
        <v>13</v>
      </c>
      <c r="M14" s="33">
        <f t="shared" si="6"/>
        <v>0.30769230769230771</v>
      </c>
      <c r="N14" s="29">
        <v>153</v>
      </c>
      <c r="O14" s="34">
        <f t="shared" ref="O14:P14" si="16">D14/7</f>
        <v>0.5714285714285714</v>
      </c>
      <c r="P14" s="34">
        <f t="shared" si="16"/>
        <v>0</v>
      </c>
      <c r="Q14" s="29">
        <f t="shared" si="8"/>
        <v>267</v>
      </c>
      <c r="R14" s="29"/>
      <c r="S14" s="35">
        <v>0.47191011235954999</v>
      </c>
      <c r="T14" s="28">
        <v>75</v>
      </c>
      <c r="U14" s="36" t="s">
        <v>33</v>
      </c>
      <c r="V14" s="37" t="s">
        <v>33</v>
      </c>
      <c r="W14" s="28">
        <v>0</v>
      </c>
      <c r="X14" s="38">
        <f t="shared" si="9"/>
        <v>0</v>
      </c>
      <c r="Y14" s="39">
        <f t="shared" si="10"/>
        <v>0</v>
      </c>
      <c r="Z14" s="28">
        <v>0</v>
      </c>
      <c r="AA14" s="28" t="s">
        <v>34</v>
      </c>
      <c r="AB14" s="40">
        <f t="shared" si="11"/>
        <v>-0.69</v>
      </c>
      <c r="AC14" s="41">
        <v>6.8088594907407415E-2</v>
      </c>
      <c r="AD14" s="39">
        <f t="shared" si="12"/>
        <v>-0.3758490438888889</v>
      </c>
      <c r="AE14" s="39">
        <v>-3.48</v>
      </c>
      <c r="AF14" s="39">
        <v>-1.6891400000000001</v>
      </c>
      <c r="AG14" s="39">
        <v>0</v>
      </c>
    </row>
    <row r="15" spans="1:33" ht="15.75" customHeight="1" x14ac:dyDescent="0.2">
      <c r="A15" s="28" t="s">
        <v>53</v>
      </c>
      <c r="B15" s="28" t="s">
        <v>47</v>
      </c>
      <c r="C15" s="15">
        <f t="shared" si="1"/>
        <v>11.036666666666667</v>
      </c>
      <c r="D15" s="29">
        <v>9</v>
      </c>
      <c r="E15" s="29">
        <v>0</v>
      </c>
      <c r="F15" s="32">
        <v>99.33</v>
      </c>
      <c r="G15" s="30">
        <v>-2.63</v>
      </c>
      <c r="H15" s="31">
        <f t="shared" si="2"/>
        <v>2.6477398570421827E-2</v>
      </c>
      <c r="I15" s="31">
        <f t="shared" si="3"/>
        <v>0.34725903202708147</v>
      </c>
      <c r="J15" s="32">
        <f t="shared" si="4"/>
        <v>34.493239651250001</v>
      </c>
      <c r="K15" s="32">
        <f t="shared" si="5"/>
        <v>3.8325821834722222</v>
      </c>
      <c r="L15" s="29">
        <v>12</v>
      </c>
      <c r="M15" s="33">
        <f t="shared" si="6"/>
        <v>0.75</v>
      </c>
      <c r="N15" s="29">
        <v>144</v>
      </c>
      <c r="O15" s="34">
        <f t="shared" ref="O15:P15" si="17">D15/7</f>
        <v>1.2857142857142858</v>
      </c>
      <c r="P15" s="34">
        <f t="shared" si="17"/>
        <v>0</v>
      </c>
      <c r="Q15" s="29">
        <f t="shared" si="8"/>
        <v>112</v>
      </c>
      <c r="R15" s="29"/>
      <c r="S15" s="35">
        <v>0.73170731707317005</v>
      </c>
      <c r="T15" s="28">
        <v>75</v>
      </c>
      <c r="U15" s="36" t="s">
        <v>33</v>
      </c>
      <c r="V15" s="37" t="s">
        <v>33</v>
      </c>
      <c r="W15" s="28">
        <v>1</v>
      </c>
      <c r="X15" s="38">
        <f t="shared" si="9"/>
        <v>0.1111111111111111</v>
      </c>
      <c r="Y15" s="39">
        <f t="shared" si="10"/>
        <v>2.63</v>
      </c>
      <c r="Z15" s="28">
        <v>0</v>
      </c>
      <c r="AA15" s="28" t="s">
        <v>34</v>
      </c>
      <c r="AB15" s="40">
        <f t="shared" si="11"/>
        <v>-0.69</v>
      </c>
      <c r="AC15" s="41">
        <v>6.8088594907407415E-2</v>
      </c>
      <c r="AD15" s="39">
        <f t="shared" si="12"/>
        <v>-0.84566034875000007</v>
      </c>
      <c r="AE15" s="39">
        <v>-3.48</v>
      </c>
      <c r="AF15" s="39">
        <v>-1.6823999999999999</v>
      </c>
      <c r="AG15" s="39">
        <v>0</v>
      </c>
    </row>
    <row r="16" spans="1:33" ht="15.75" customHeight="1" x14ac:dyDescent="0.2">
      <c r="A16" s="28" t="s">
        <v>54</v>
      </c>
      <c r="B16" s="28" t="s">
        <v>352</v>
      </c>
      <c r="C16" s="15">
        <f t="shared" si="1"/>
        <v>12.353333333333333</v>
      </c>
      <c r="D16" s="29">
        <v>3</v>
      </c>
      <c r="E16" s="29">
        <v>0</v>
      </c>
      <c r="F16" s="32">
        <v>37.06</v>
      </c>
      <c r="G16" s="30">
        <v>-7.1399999999999988</v>
      </c>
      <c r="H16" s="31">
        <f t="shared" si="2"/>
        <v>0.19266055045871555</v>
      </c>
      <c r="I16" s="31">
        <f t="shared" si="3"/>
        <v>0.23183791735249157</v>
      </c>
      <c r="J16" s="32">
        <f t="shared" si="4"/>
        <v>8.5919132170833379</v>
      </c>
      <c r="K16" s="32">
        <f t="shared" si="5"/>
        <v>2.8639710723611125</v>
      </c>
      <c r="L16" s="29">
        <v>15</v>
      </c>
      <c r="M16" s="33">
        <f t="shared" si="6"/>
        <v>0.2</v>
      </c>
      <c r="N16" s="29">
        <v>139</v>
      </c>
      <c r="O16" s="34">
        <f t="shared" ref="O16:P16" si="18">D16/7</f>
        <v>0.42857142857142855</v>
      </c>
      <c r="P16" s="34">
        <f t="shared" si="18"/>
        <v>0</v>
      </c>
      <c r="Q16" s="29">
        <f t="shared" si="8"/>
        <v>324</v>
      </c>
      <c r="R16" s="29"/>
      <c r="S16" s="35">
        <v>0.75555555555555498</v>
      </c>
      <c r="T16" s="28">
        <v>75</v>
      </c>
      <c r="U16" s="36" t="s">
        <v>33</v>
      </c>
      <c r="V16" s="37" t="s">
        <v>33</v>
      </c>
      <c r="W16" s="28">
        <v>2</v>
      </c>
      <c r="X16" s="38">
        <f t="shared" si="9"/>
        <v>0.66666666666666663</v>
      </c>
      <c r="Y16" s="39">
        <f t="shared" si="10"/>
        <v>2.3799999999999994</v>
      </c>
      <c r="Z16" s="28">
        <v>1</v>
      </c>
      <c r="AA16" s="28" t="s">
        <v>34</v>
      </c>
      <c r="AB16" s="40">
        <f t="shared" si="11"/>
        <v>-0.69</v>
      </c>
      <c r="AC16" s="41">
        <v>6.8088594907407415E-2</v>
      </c>
      <c r="AD16" s="39">
        <f t="shared" si="12"/>
        <v>-0.28188678291666669</v>
      </c>
      <c r="AE16" s="39">
        <v>-3.48</v>
      </c>
      <c r="AF16" s="39">
        <v>-1.6823999999999999</v>
      </c>
      <c r="AG16" s="39">
        <v>0</v>
      </c>
    </row>
    <row r="17" spans="1:33" ht="15.75" customHeight="1" x14ac:dyDescent="0.2">
      <c r="A17" s="28" t="s">
        <v>55</v>
      </c>
      <c r="B17" s="28" t="s">
        <v>363</v>
      </c>
      <c r="C17" s="15">
        <f t="shared" si="1"/>
        <v>11.807142857142859</v>
      </c>
      <c r="D17" s="29">
        <v>14</v>
      </c>
      <c r="E17" s="29">
        <v>0</v>
      </c>
      <c r="F17" s="32">
        <v>165.3</v>
      </c>
      <c r="G17" s="30">
        <v>-17.669999999999998</v>
      </c>
      <c r="H17" s="31">
        <f t="shared" si="2"/>
        <v>0.10689655172413791</v>
      </c>
      <c r="I17" s="31">
        <f t="shared" si="3"/>
        <v>0.29791850179303614</v>
      </c>
      <c r="J17" s="32">
        <f t="shared" si="4"/>
        <v>49.24592834638888</v>
      </c>
      <c r="K17" s="32">
        <f t="shared" si="5"/>
        <v>3.5175663104563486</v>
      </c>
      <c r="L17" s="29">
        <v>33</v>
      </c>
      <c r="M17" s="33">
        <f t="shared" si="6"/>
        <v>0.42424242424242425</v>
      </c>
      <c r="N17" s="29">
        <v>124</v>
      </c>
      <c r="O17" s="34">
        <f t="shared" ref="O17:P17" si="19">D17/7</f>
        <v>2</v>
      </c>
      <c r="P17" s="34">
        <f t="shared" si="19"/>
        <v>0</v>
      </c>
      <c r="Q17" s="29">
        <f t="shared" si="8"/>
        <v>62</v>
      </c>
      <c r="R17" s="29"/>
      <c r="S17" s="35">
        <v>0.65964912280701704</v>
      </c>
      <c r="T17" s="28">
        <v>75</v>
      </c>
      <c r="U17" s="36" t="s">
        <v>33</v>
      </c>
      <c r="V17" s="37" t="s">
        <v>33</v>
      </c>
      <c r="W17" s="28">
        <v>4</v>
      </c>
      <c r="X17" s="38">
        <f t="shared" si="9"/>
        <v>0.2857142857142857</v>
      </c>
      <c r="Y17" s="39">
        <f t="shared" si="10"/>
        <v>1.7669999999999999</v>
      </c>
      <c r="Z17" s="28">
        <v>6</v>
      </c>
      <c r="AA17" s="28" t="s">
        <v>34</v>
      </c>
      <c r="AB17" s="40">
        <f t="shared" si="11"/>
        <v>-0.69</v>
      </c>
      <c r="AC17" s="41">
        <v>6.8088594907407415E-2</v>
      </c>
      <c r="AD17" s="39">
        <f t="shared" si="12"/>
        <v>-1.3154716536111111</v>
      </c>
      <c r="AE17" s="39">
        <v>-3.48</v>
      </c>
      <c r="AF17" s="39">
        <v>-1.6823999999999999</v>
      </c>
      <c r="AG17" s="39">
        <v>0</v>
      </c>
    </row>
    <row r="18" spans="1:33" ht="15.75" customHeight="1" x14ac:dyDescent="0.2">
      <c r="A18" s="28" t="s">
        <v>56</v>
      </c>
      <c r="B18" s="28" t="s">
        <v>364</v>
      </c>
      <c r="C18" s="15">
        <f t="shared" si="1"/>
        <v>10.789047619047617</v>
      </c>
      <c r="D18" s="29">
        <v>21</v>
      </c>
      <c r="E18" s="29">
        <v>0</v>
      </c>
      <c r="F18" s="32">
        <v>226.56999999999994</v>
      </c>
      <c r="G18" s="30">
        <v>-30.600000000000005</v>
      </c>
      <c r="H18" s="31">
        <f t="shared" si="2"/>
        <v>0.13505759809330456</v>
      </c>
      <c r="I18" s="31">
        <f t="shared" si="3"/>
        <v>0.22774812428646021</v>
      </c>
      <c r="J18" s="32">
        <f t="shared" si="4"/>
        <v>51.600892519583276</v>
      </c>
      <c r="K18" s="32">
        <f t="shared" si="5"/>
        <v>2.4571853580753942</v>
      </c>
      <c r="L18" s="29">
        <v>41</v>
      </c>
      <c r="M18" s="33">
        <f t="shared" si="6"/>
        <v>0.51219512195121952</v>
      </c>
      <c r="N18" s="29">
        <v>104</v>
      </c>
      <c r="O18" s="34">
        <f t="shared" ref="O18:P18" si="20">D18/7</f>
        <v>3</v>
      </c>
      <c r="P18" s="34">
        <f t="shared" si="20"/>
        <v>0</v>
      </c>
      <c r="Q18" s="29">
        <f t="shared" si="8"/>
        <v>34</v>
      </c>
      <c r="R18" s="29"/>
      <c r="S18" s="35">
        <v>0.95774647887323905</v>
      </c>
      <c r="T18" s="28">
        <v>75</v>
      </c>
      <c r="U18" s="36">
        <v>0</v>
      </c>
      <c r="V18" s="37" t="s">
        <v>33</v>
      </c>
      <c r="W18" s="28">
        <v>9</v>
      </c>
      <c r="X18" s="38">
        <f t="shared" si="9"/>
        <v>0.42857142857142855</v>
      </c>
      <c r="Y18" s="39">
        <f t="shared" si="10"/>
        <v>2.5500000000000003</v>
      </c>
      <c r="Z18" s="28">
        <v>3</v>
      </c>
      <c r="AA18" s="28" t="s">
        <v>34</v>
      </c>
      <c r="AB18" s="40">
        <f t="shared" si="11"/>
        <v>-0.69</v>
      </c>
      <c r="AC18" s="41">
        <v>6.8088594907407415E-2</v>
      </c>
      <c r="AD18" s="39">
        <f t="shared" si="12"/>
        <v>-1.9732074804166668</v>
      </c>
      <c r="AE18" s="39">
        <v>-3.48</v>
      </c>
      <c r="AF18" s="39">
        <v>-1.6823999999999999</v>
      </c>
      <c r="AG18" s="39">
        <v>0</v>
      </c>
    </row>
    <row r="19" spans="1:33" ht="15.75" customHeight="1" x14ac:dyDescent="0.2">
      <c r="A19" s="28" t="s">
        <v>57</v>
      </c>
      <c r="B19" s="28" t="s">
        <v>47</v>
      </c>
      <c r="C19" s="15">
        <f t="shared" si="1"/>
        <v>10.339999999999998</v>
      </c>
      <c r="D19" s="29">
        <v>17</v>
      </c>
      <c r="E19" s="29">
        <v>0</v>
      </c>
      <c r="F19" s="32">
        <v>175.77999999999997</v>
      </c>
      <c r="G19" s="30">
        <v>-4.1100000000000003</v>
      </c>
      <c r="H19" s="31">
        <f t="shared" si="2"/>
        <v>2.3381499601774953E-2</v>
      </c>
      <c r="I19" s="31">
        <f t="shared" si="3"/>
        <v>0.31072273047828081</v>
      </c>
      <c r="J19" s="32">
        <f t="shared" si="4"/>
        <v>54.618841563472195</v>
      </c>
      <c r="K19" s="32">
        <f t="shared" si="5"/>
        <v>3.2128730331454234</v>
      </c>
      <c r="L19" s="29">
        <v>19</v>
      </c>
      <c r="M19" s="33">
        <f t="shared" si="6"/>
        <v>0.89473684210526316</v>
      </c>
      <c r="N19" s="29">
        <v>87</v>
      </c>
      <c r="O19" s="34">
        <f t="shared" ref="O19:P19" si="21">D19/7</f>
        <v>2.4285714285714284</v>
      </c>
      <c r="P19" s="34">
        <f t="shared" si="21"/>
        <v>0</v>
      </c>
      <c r="Q19" s="29">
        <f t="shared" si="8"/>
        <v>35</v>
      </c>
      <c r="R19" s="29"/>
      <c r="S19" s="35">
        <v>1.2977099236641201</v>
      </c>
      <c r="T19" s="28">
        <v>75</v>
      </c>
      <c r="U19" s="36" t="s">
        <v>33</v>
      </c>
      <c r="V19" s="37" t="s">
        <v>33</v>
      </c>
      <c r="W19" s="28">
        <v>1</v>
      </c>
      <c r="X19" s="38">
        <f t="shared" si="9"/>
        <v>5.8823529411764705E-2</v>
      </c>
      <c r="Y19" s="39">
        <f t="shared" si="10"/>
        <v>4.1100000000000003</v>
      </c>
      <c r="Z19" s="28">
        <v>0</v>
      </c>
      <c r="AA19" s="28" t="s">
        <v>34</v>
      </c>
      <c r="AB19" s="40">
        <f t="shared" si="11"/>
        <v>-0.69</v>
      </c>
      <c r="AC19" s="41">
        <v>6.8088594907407415E-2</v>
      </c>
      <c r="AD19" s="39">
        <f t="shared" si="12"/>
        <v>-1.5973584365277778</v>
      </c>
      <c r="AE19" s="39">
        <v>-3.48</v>
      </c>
      <c r="AF19" s="39">
        <v>-1.7604000000000002</v>
      </c>
      <c r="AG19" s="39">
        <v>0</v>
      </c>
    </row>
    <row r="20" spans="1:33" ht="15.75" customHeight="1" x14ac:dyDescent="0.2">
      <c r="A20" s="28" t="s">
        <v>58</v>
      </c>
      <c r="B20" s="28" t="s">
        <v>47</v>
      </c>
      <c r="C20" s="15">
        <f t="shared" si="1"/>
        <v>10.052</v>
      </c>
      <c r="D20" s="29">
        <v>10</v>
      </c>
      <c r="E20" s="29">
        <v>0</v>
      </c>
      <c r="F20" s="32">
        <v>100.52</v>
      </c>
      <c r="G20" s="30">
        <v>-0.03</v>
      </c>
      <c r="H20" s="31">
        <f t="shared" si="2"/>
        <v>2.9844807003581378E-4</v>
      </c>
      <c r="I20" s="31">
        <f t="shared" si="3"/>
        <v>0.31902484471028431</v>
      </c>
      <c r="J20" s="32">
        <f t="shared" si="4"/>
        <v>32.068377390277774</v>
      </c>
      <c r="K20" s="32">
        <f t="shared" si="5"/>
        <v>3.2068377390277774</v>
      </c>
      <c r="L20" s="29">
        <v>16</v>
      </c>
      <c r="M20" s="33">
        <f t="shared" si="6"/>
        <v>0.625</v>
      </c>
      <c r="N20" s="29">
        <v>76</v>
      </c>
      <c r="O20" s="34">
        <f t="shared" ref="O20:P20" si="22">D20/7</f>
        <v>1.4285714285714286</v>
      </c>
      <c r="P20" s="34">
        <f t="shared" si="22"/>
        <v>0</v>
      </c>
      <c r="Q20" s="29">
        <f t="shared" si="8"/>
        <v>53</v>
      </c>
      <c r="R20" s="29"/>
      <c r="S20" s="35">
        <v>1.63404255319148</v>
      </c>
      <c r="T20" s="28">
        <v>75</v>
      </c>
      <c r="U20" s="36">
        <v>75</v>
      </c>
      <c r="V20" s="37" t="s">
        <v>365</v>
      </c>
      <c r="W20" s="28">
        <v>0</v>
      </c>
      <c r="X20" s="38">
        <f t="shared" si="9"/>
        <v>0</v>
      </c>
      <c r="Y20" s="39">
        <f t="shared" si="10"/>
        <v>0</v>
      </c>
      <c r="Z20" s="28">
        <v>0</v>
      </c>
      <c r="AA20" s="28" t="s">
        <v>34</v>
      </c>
      <c r="AB20" s="40">
        <f t="shared" si="11"/>
        <v>-0.69</v>
      </c>
      <c r="AC20" s="41">
        <v>6.8088594907407415E-2</v>
      </c>
      <c r="AD20" s="39">
        <f t="shared" si="12"/>
        <v>-0.93962260972222222</v>
      </c>
      <c r="AE20" s="39">
        <v>-3.48</v>
      </c>
      <c r="AF20" s="39">
        <v>-1.7604000000000002</v>
      </c>
      <c r="AG20" s="39">
        <v>0</v>
      </c>
    </row>
    <row r="21" spans="1:33" ht="15.75" customHeight="1" x14ac:dyDescent="0.2">
      <c r="A21" s="28" t="s">
        <v>59</v>
      </c>
      <c r="B21" s="28" t="s">
        <v>47</v>
      </c>
      <c r="C21" s="15">
        <f t="shared" si="1"/>
        <v>10.004444444444443</v>
      </c>
      <c r="D21" s="29">
        <v>9</v>
      </c>
      <c r="E21" s="29">
        <v>0</v>
      </c>
      <c r="F21" s="32">
        <v>90.039999999999992</v>
      </c>
      <c r="G21" s="30">
        <v>0</v>
      </c>
      <c r="H21" s="31">
        <f t="shared" si="2"/>
        <v>0</v>
      </c>
      <c r="I21" s="31">
        <f t="shared" si="3"/>
        <v>0.31680075134662361</v>
      </c>
      <c r="J21" s="32">
        <f t="shared" si="4"/>
        <v>28.524739651249988</v>
      </c>
      <c r="K21" s="32">
        <f t="shared" si="5"/>
        <v>3.1694155168055542</v>
      </c>
      <c r="L21" s="29">
        <v>13</v>
      </c>
      <c r="M21" s="33">
        <f t="shared" si="6"/>
        <v>0.69230769230769229</v>
      </c>
      <c r="N21" s="29">
        <v>70</v>
      </c>
      <c r="O21" s="34">
        <f t="shared" ref="O21:P21" si="23">D21/7</f>
        <v>1.2857142857142858</v>
      </c>
      <c r="P21" s="34">
        <f t="shared" si="23"/>
        <v>0</v>
      </c>
      <c r="Q21" s="29">
        <f t="shared" si="8"/>
        <v>54</v>
      </c>
      <c r="R21" s="29"/>
      <c r="S21" s="35">
        <v>1.1685393258426899</v>
      </c>
      <c r="T21" s="28">
        <v>475</v>
      </c>
      <c r="U21" s="36">
        <v>75</v>
      </c>
      <c r="V21" s="37" t="s">
        <v>366</v>
      </c>
      <c r="W21" s="28">
        <v>0</v>
      </c>
      <c r="X21" s="38">
        <f t="shared" si="9"/>
        <v>0</v>
      </c>
      <c r="Y21" s="39">
        <f t="shared" si="10"/>
        <v>0</v>
      </c>
      <c r="Z21" s="28">
        <v>0</v>
      </c>
      <c r="AA21" s="28" t="s">
        <v>34</v>
      </c>
      <c r="AB21" s="40">
        <f t="shared" si="11"/>
        <v>-0.69</v>
      </c>
      <c r="AC21" s="41">
        <v>6.8088594907407415E-2</v>
      </c>
      <c r="AD21" s="39">
        <f t="shared" si="12"/>
        <v>-0.84566034875000007</v>
      </c>
      <c r="AE21" s="39">
        <v>-3.48</v>
      </c>
      <c r="AF21" s="39">
        <v>-1.7604000000000002</v>
      </c>
      <c r="AG21" s="39">
        <v>0</v>
      </c>
    </row>
    <row r="22" spans="1:33" ht="15.75" customHeight="1" x14ac:dyDescent="0.2">
      <c r="A22" s="28" t="s">
        <v>60</v>
      </c>
      <c r="B22" s="28" t="s">
        <v>47</v>
      </c>
      <c r="C22" s="15">
        <f t="shared" si="1"/>
        <v>10.134615384615385</v>
      </c>
      <c r="D22" s="29">
        <v>13</v>
      </c>
      <c r="E22" s="29">
        <v>1</v>
      </c>
      <c r="F22" s="30">
        <v>131.75</v>
      </c>
      <c r="G22" s="30">
        <v>-0.32</v>
      </c>
      <c r="H22" s="31">
        <f t="shared" si="2"/>
        <v>2.4288425047438332E-3</v>
      </c>
      <c r="I22" s="31">
        <f t="shared" si="3"/>
        <v>0.32122042206725704</v>
      </c>
      <c r="J22" s="32">
        <f t="shared" si="4"/>
        <v>42.320790607361118</v>
      </c>
      <c r="K22" s="32">
        <f t="shared" si="5"/>
        <v>3.2554454313354708</v>
      </c>
      <c r="L22" s="29">
        <v>29</v>
      </c>
      <c r="M22" s="33">
        <f t="shared" si="6"/>
        <v>0.44827586206896552</v>
      </c>
      <c r="N22" s="29">
        <v>56</v>
      </c>
      <c r="O22" s="34">
        <f t="shared" ref="O22:P22" si="24">D22/7</f>
        <v>1.8571428571428572</v>
      </c>
      <c r="P22" s="34">
        <f t="shared" si="24"/>
        <v>0.14285714285714285</v>
      </c>
      <c r="Q22" s="29">
        <f t="shared" si="8"/>
        <v>28</v>
      </c>
      <c r="R22" s="29"/>
      <c r="S22" s="35">
        <v>1.3409090909090899</v>
      </c>
      <c r="T22" s="28">
        <v>475</v>
      </c>
      <c r="U22" s="36">
        <v>75</v>
      </c>
      <c r="V22" s="37" t="s">
        <v>366</v>
      </c>
      <c r="W22" s="28">
        <v>0</v>
      </c>
      <c r="X22" s="38">
        <f t="shared" si="9"/>
        <v>0</v>
      </c>
      <c r="Y22" s="39">
        <f t="shared" si="10"/>
        <v>0.32</v>
      </c>
      <c r="Z22" s="28">
        <v>1</v>
      </c>
      <c r="AA22" s="28" t="s">
        <v>34</v>
      </c>
      <c r="AB22" s="40">
        <f t="shared" si="11"/>
        <v>-0.69</v>
      </c>
      <c r="AC22" s="41">
        <v>6.8088594907407415E-2</v>
      </c>
      <c r="AD22" s="39">
        <f t="shared" si="12"/>
        <v>-1.2215093926388889</v>
      </c>
      <c r="AE22" s="39">
        <v>-3.48</v>
      </c>
      <c r="AF22" s="39">
        <v>-1.7604000000000002</v>
      </c>
      <c r="AG22" s="39">
        <v>0</v>
      </c>
    </row>
    <row r="23" spans="1:33" ht="15.75" customHeight="1" x14ac:dyDescent="0.2">
      <c r="A23" s="28" t="s">
        <v>62</v>
      </c>
      <c r="B23" s="28" t="s">
        <v>367</v>
      </c>
      <c r="C23" s="15">
        <f t="shared" si="1"/>
        <v>10.14</v>
      </c>
      <c r="D23" s="29">
        <v>7</v>
      </c>
      <c r="E23" s="29">
        <v>1</v>
      </c>
      <c r="F23" s="32">
        <v>70.98</v>
      </c>
      <c r="G23" s="30">
        <v>-0.16</v>
      </c>
      <c r="H23" s="31">
        <f t="shared" si="2"/>
        <v>2.2541561003099463E-3</v>
      </c>
      <c r="I23" s="31">
        <f t="shared" si="3"/>
        <v>0.32167461500696598</v>
      </c>
      <c r="J23" s="32">
        <f t="shared" si="4"/>
        <v>22.832464173194445</v>
      </c>
      <c r="K23" s="32">
        <f t="shared" si="5"/>
        <v>3.261780596170635</v>
      </c>
      <c r="L23" s="29">
        <v>20</v>
      </c>
      <c r="M23" s="33">
        <f t="shared" si="6"/>
        <v>0.35</v>
      </c>
      <c r="N23" s="29">
        <v>48</v>
      </c>
      <c r="O23" s="34">
        <f t="shared" ref="O23:P23" si="25">D23/7</f>
        <v>1</v>
      </c>
      <c r="P23" s="34">
        <f t="shared" si="25"/>
        <v>0.14285714285714285</v>
      </c>
      <c r="Q23" s="29">
        <f t="shared" si="8"/>
        <v>42</v>
      </c>
      <c r="R23" s="29"/>
      <c r="S23" s="35">
        <v>1.4578313253012001</v>
      </c>
      <c r="T23" s="28">
        <v>875</v>
      </c>
      <c r="U23" s="36">
        <v>75</v>
      </c>
      <c r="V23" s="37" t="s">
        <v>366</v>
      </c>
      <c r="W23" s="28">
        <v>1</v>
      </c>
      <c r="X23" s="38">
        <f t="shared" si="9"/>
        <v>0.14285714285714285</v>
      </c>
      <c r="Y23" s="39">
        <f t="shared" si="10"/>
        <v>0.16</v>
      </c>
      <c r="Z23" s="28">
        <v>0</v>
      </c>
      <c r="AA23" s="28" t="s">
        <v>34</v>
      </c>
      <c r="AB23" s="40">
        <f t="shared" si="11"/>
        <v>-0.69</v>
      </c>
      <c r="AC23" s="41">
        <v>6.8088594907407415E-2</v>
      </c>
      <c r="AD23" s="39">
        <f t="shared" si="12"/>
        <v>-0.65773582680555553</v>
      </c>
      <c r="AE23" s="39">
        <v>-3.48</v>
      </c>
      <c r="AF23" s="39">
        <v>-1.7604000000000002</v>
      </c>
      <c r="AG23" s="39">
        <v>0</v>
      </c>
    </row>
    <row r="24" spans="1:33" ht="15.75" customHeight="1" x14ac:dyDescent="0.2">
      <c r="A24" s="28" t="s">
        <v>64</v>
      </c>
      <c r="B24" s="28" t="s">
        <v>344</v>
      </c>
      <c r="C24" s="15">
        <f t="shared" si="1"/>
        <v>9.9899999999999984</v>
      </c>
      <c r="D24" s="29">
        <v>12</v>
      </c>
      <c r="E24" s="29">
        <v>0</v>
      </c>
      <c r="F24" s="32">
        <v>119.87999999999998</v>
      </c>
      <c r="G24" s="32">
        <v>-0.02</v>
      </c>
      <c r="H24" s="31">
        <f t="shared" si="2"/>
        <v>1.6683350016683353E-4</v>
      </c>
      <c r="I24" s="31">
        <f t="shared" si="3"/>
        <v>0.31586297020631743</v>
      </c>
      <c r="J24" s="32">
        <f t="shared" si="4"/>
        <v>37.865652868333328</v>
      </c>
      <c r="K24" s="32">
        <f t="shared" si="5"/>
        <v>3.1554710723611108</v>
      </c>
      <c r="L24" s="29">
        <v>20</v>
      </c>
      <c r="M24" s="33">
        <f t="shared" si="6"/>
        <v>0.6</v>
      </c>
      <c r="N24" s="29">
        <v>35</v>
      </c>
      <c r="O24" s="34">
        <f t="shared" ref="O24:P24" si="26">D24/7</f>
        <v>1.7142857142857142</v>
      </c>
      <c r="P24" s="34">
        <f t="shared" si="26"/>
        <v>0</v>
      </c>
      <c r="Q24" s="29">
        <f t="shared" si="8"/>
        <v>20</v>
      </c>
      <c r="R24" s="29"/>
      <c r="S24" s="35">
        <v>1.7731958762886499</v>
      </c>
      <c r="T24" s="28">
        <v>875</v>
      </c>
      <c r="U24" s="36">
        <v>75</v>
      </c>
      <c r="V24" s="37" t="s">
        <v>368</v>
      </c>
      <c r="W24" s="28">
        <v>0</v>
      </c>
      <c r="X24" s="38">
        <f t="shared" si="9"/>
        <v>0</v>
      </c>
      <c r="Y24" s="39">
        <f t="shared" si="10"/>
        <v>0</v>
      </c>
      <c r="Z24" s="28">
        <v>0</v>
      </c>
      <c r="AA24" s="28" t="s">
        <v>34</v>
      </c>
      <c r="AB24" s="40">
        <f t="shared" si="11"/>
        <v>-0.69</v>
      </c>
      <c r="AC24" s="41">
        <v>6.8088594907407415E-2</v>
      </c>
      <c r="AD24" s="39">
        <f t="shared" si="12"/>
        <v>-1.1275471316666668</v>
      </c>
      <c r="AE24" s="39">
        <v>-3.48</v>
      </c>
      <c r="AF24" s="39">
        <v>-1.7604000000000002</v>
      </c>
      <c r="AG24" s="39">
        <v>0</v>
      </c>
    </row>
    <row r="25" spans="1:33" ht="15.75" customHeight="1" x14ac:dyDescent="0.2">
      <c r="A25" s="28" t="s">
        <v>65</v>
      </c>
      <c r="B25" s="14" t="s">
        <v>47</v>
      </c>
      <c r="C25" s="15">
        <f t="shared" si="1"/>
        <v>9.99</v>
      </c>
      <c r="D25" s="29">
        <v>6</v>
      </c>
      <c r="E25" s="29">
        <v>1</v>
      </c>
      <c r="F25" s="32">
        <v>59.94</v>
      </c>
      <c r="G25" s="32">
        <v>0</v>
      </c>
      <c r="H25" s="31">
        <f t="shared" si="2"/>
        <v>0</v>
      </c>
      <c r="I25" s="31">
        <f t="shared" si="3"/>
        <v>0.31606984374652425</v>
      </c>
      <c r="J25" s="32">
        <f t="shared" si="4"/>
        <v>18.945226434166663</v>
      </c>
      <c r="K25" s="32">
        <f t="shared" si="5"/>
        <v>3.1575377390277772</v>
      </c>
      <c r="L25" s="29">
        <v>22</v>
      </c>
      <c r="M25" s="33">
        <f t="shared" si="6"/>
        <v>0.27272727272727271</v>
      </c>
      <c r="N25" s="29">
        <v>28</v>
      </c>
      <c r="O25" s="34">
        <f t="shared" ref="O25:P25" si="27">D25/7</f>
        <v>0.8571428571428571</v>
      </c>
      <c r="P25" s="34">
        <f t="shared" si="27"/>
        <v>0.14285714285714285</v>
      </c>
      <c r="Q25" s="29">
        <f t="shared" si="8"/>
        <v>28</v>
      </c>
      <c r="R25" s="29"/>
      <c r="S25" s="35">
        <v>1.4105263157894741</v>
      </c>
      <c r="T25" s="28">
        <v>875</v>
      </c>
      <c r="U25" s="36">
        <v>75</v>
      </c>
      <c r="V25" s="37" t="s">
        <v>369</v>
      </c>
      <c r="W25" s="14">
        <v>0</v>
      </c>
      <c r="X25" s="38">
        <f t="shared" si="9"/>
        <v>0</v>
      </c>
      <c r="Y25" s="39">
        <f t="shared" si="10"/>
        <v>0</v>
      </c>
      <c r="Z25" s="14">
        <v>0</v>
      </c>
      <c r="AA25" s="28" t="s">
        <v>34</v>
      </c>
      <c r="AB25" s="40">
        <f t="shared" si="11"/>
        <v>-0.69</v>
      </c>
      <c r="AC25" s="41">
        <v>6.8088594907407415E-2</v>
      </c>
      <c r="AD25" s="39">
        <f t="shared" si="12"/>
        <v>-0.56377356583333338</v>
      </c>
      <c r="AE25" s="39">
        <v>-3.48</v>
      </c>
      <c r="AF25" s="39">
        <v>-1.76</v>
      </c>
      <c r="AG25" s="39">
        <v>0</v>
      </c>
    </row>
    <row r="26" spans="1:33" ht="15.75" customHeight="1" x14ac:dyDescent="0.2">
      <c r="A26" s="14" t="s">
        <v>67</v>
      </c>
      <c r="B26" s="14" t="s">
        <v>150</v>
      </c>
      <c r="C26" s="15">
        <f t="shared" si="1"/>
        <v>10.0085</v>
      </c>
      <c r="D26" s="16">
        <v>20</v>
      </c>
      <c r="E26" s="16">
        <v>1</v>
      </c>
      <c r="F26" s="17">
        <v>200.17</v>
      </c>
      <c r="G26" s="17">
        <v>-0.16</v>
      </c>
      <c r="H26" s="31">
        <f t="shared" si="2"/>
        <v>7.9932057750911731E-4</v>
      </c>
      <c r="I26" s="31">
        <f t="shared" si="3"/>
        <v>0.2996195972451195</v>
      </c>
      <c r="J26" s="32">
        <f t="shared" si="4"/>
        <v>59.97485478055556</v>
      </c>
      <c r="K26" s="32">
        <f t="shared" si="5"/>
        <v>2.9987427390277781</v>
      </c>
      <c r="L26" s="16">
        <v>27</v>
      </c>
      <c r="M26" s="33">
        <f t="shared" si="6"/>
        <v>0.7407407407407407</v>
      </c>
      <c r="N26" s="16">
        <v>12</v>
      </c>
      <c r="O26" s="34">
        <f t="shared" ref="O26:P26" si="28">D26/7</f>
        <v>2.8571428571428572</v>
      </c>
      <c r="P26" s="34">
        <f t="shared" si="28"/>
        <v>0.14285714285714285</v>
      </c>
      <c r="Q26" s="29">
        <f t="shared" si="8"/>
        <v>4</v>
      </c>
      <c r="R26" s="29"/>
      <c r="S26" s="21">
        <v>1.506775067750677</v>
      </c>
      <c r="T26" s="28">
        <v>800</v>
      </c>
      <c r="U26" s="36" t="s">
        <v>33</v>
      </c>
      <c r="V26" s="37" t="s">
        <v>33</v>
      </c>
      <c r="W26" s="14">
        <v>0</v>
      </c>
      <c r="X26" s="38">
        <f t="shared" si="9"/>
        <v>0</v>
      </c>
      <c r="Y26" s="39">
        <f t="shared" si="10"/>
        <v>0</v>
      </c>
      <c r="Z26" s="14">
        <v>0</v>
      </c>
      <c r="AA26" s="28" t="s">
        <v>34</v>
      </c>
      <c r="AB26" s="40">
        <f t="shared" si="11"/>
        <v>-0.69</v>
      </c>
      <c r="AC26" s="41">
        <v>6.8088594907407415E-2</v>
      </c>
      <c r="AD26" s="39">
        <f t="shared" si="12"/>
        <v>-1.8792452194444444</v>
      </c>
      <c r="AE26" s="25">
        <v>-3.64</v>
      </c>
      <c r="AF26" s="25">
        <v>-1.7665200000000001</v>
      </c>
      <c r="AG26" s="25">
        <v>0</v>
      </c>
    </row>
    <row r="27" spans="1:33" ht="15.75" customHeight="1" x14ac:dyDescent="0.2">
      <c r="A27" s="14" t="s">
        <v>69</v>
      </c>
      <c r="B27" s="14" t="s">
        <v>370</v>
      </c>
      <c r="C27" s="15">
        <f t="shared" si="1"/>
        <v>9.9984615384615374</v>
      </c>
      <c r="D27" s="16">
        <v>13</v>
      </c>
      <c r="E27" s="16">
        <v>1</v>
      </c>
      <c r="F27" s="17">
        <v>129.97999999999999</v>
      </c>
      <c r="G27" s="17">
        <v>0</v>
      </c>
      <c r="H27" s="31">
        <f t="shared" si="2"/>
        <v>0</v>
      </c>
      <c r="I27" s="31">
        <f t="shared" si="3"/>
        <v>0.27256293743161336</v>
      </c>
      <c r="J27" s="32">
        <f t="shared" si="4"/>
        <v>35.427730607361099</v>
      </c>
      <c r="K27" s="32">
        <f t="shared" si="5"/>
        <v>2.7252100467200844</v>
      </c>
      <c r="L27" s="16">
        <v>25</v>
      </c>
      <c r="M27" s="33">
        <f t="shared" si="6"/>
        <v>0.52</v>
      </c>
      <c r="N27" s="16">
        <v>72</v>
      </c>
      <c r="O27" s="34">
        <f t="shared" ref="O27:P27" si="29">D27/7</f>
        <v>1.8571428571428572</v>
      </c>
      <c r="P27" s="34">
        <f t="shared" si="29"/>
        <v>0.14285714285714285</v>
      </c>
      <c r="Q27" s="29">
        <f t="shared" si="8"/>
        <v>36</v>
      </c>
      <c r="R27" s="29"/>
      <c r="S27" s="21">
        <v>1.612403100775194</v>
      </c>
      <c r="T27" s="28">
        <v>800</v>
      </c>
      <c r="U27" s="36" t="s">
        <v>33</v>
      </c>
      <c r="V27" s="37" t="s">
        <v>33</v>
      </c>
      <c r="W27" s="14">
        <v>0</v>
      </c>
      <c r="X27" s="38">
        <f t="shared" si="9"/>
        <v>0</v>
      </c>
      <c r="Y27" s="39">
        <f t="shared" si="10"/>
        <v>0</v>
      </c>
      <c r="Z27" s="14">
        <v>0</v>
      </c>
      <c r="AA27" s="28" t="s">
        <v>34</v>
      </c>
      <c r="AB27" s="40">
        <f t="shared" si="11"/>
        <v>-0.69</v>
      </c>
      <c r="AC27" s="41">
        <v>6.8088594907407415E-2</v>
      </c>
      <c r="AD27" s="39">
        <f t="shared" si="12"/>
        <v>-1.2215093926388889</v>
      </c>
      <c r="AE27" s="25">
        <v>-3.64</v>
      </c>
      <c r="AF27" s="25">
        <v>-2.03952</v>
      </c>
      <c r="AG27" s="25">
        <v>0</v>
      </c>
    </row>
    <row r="28" spans="1:33" ht="15.75" customHeight="1" x14ac:dyDescent="0.2">
      <c r="A28" s="14" t="s">
        <v>71</v>
      </c>
      <c r="B28" s="14" t="s">
        <v>371</v>
      </c>
      <c r="C28" s="15">
        <f t="shared" si="1"/>
        <v>9.9936363636363641</v>
      </c>
      <c r="D28" s="16">
        <v>22</v>
      </c>
      <c r="E28" s="16">
        <v>1</v>
      </c>
      <c r="F28" s="17">
        <v>219.86</v>
      </c>
      <c r="G28" s="17">
        <v>0</v>
      </c>
      <c r="H28" s="31">
        <f t="shared" si="2"/>
        <v>0</v>
      </c>
      <c r="I28" s="31">
        <f t="shared" si="3"/>
        <v>0.27228413653511829</v>
      </c>
      <c r="J28" s="32">
        <f t="shared" si="4"/>
        <v>59.864390258611117</v>
      </c>
      <c r="K28" s="32">
        <f t="shared" si="5"/>
        <v>2.7211086481186872</v>
      </c>
      <c r="L28" s="16">
        <v>17</v>
      </c>
      <c r="M28" s="33">
        <f t="shared" si="6"/>
        <v>1.2941176470588236</v>
      </c>
      <c r="N28" s="16">
        <v>53</v>
      </c>
      <c r="O28" s="34">
        <f t="shared" ref="O28:P28" si="30">D28/7</f>
        <v>3.1428571428571428</v>
      </c>
      <c r="P28" s="34">
        <f t="shared" si="30"/>
        <v>0.14285714285714285</v>
      </c>
      <c r="Q28" s="29">
        <f t="shared" si="8"/>
        <v>16</v>
      </c>
      <c r="R28" s="29"/>
      <c r="S28" s="21">
        <v>1.7982708933717579</v>
      </c>
      <c r="T28" s="28">
        <v>300</v>
      </c>
      <c r="U28" s="36" t="s">
        <v>33</v>
      </c>
      <c r="V28" s="37" t="s">
        <v>33</v>
      </c>
      <c r="W28" s="14">
        <v>0</v>
      </c>
      <c r="X28" s="38">
        <f t="shared" si="9"/>
        <v>0</v>
      </c>
      <c r="Y28" s="39">
        <f t="shared" si="10"/>
        <v>0</v>
      </c>
      <c r="Z28" s="14">
        <v>0</v>
      </c>
      <c r="AA28" s="28" t="s">
        <v>34</v>
      </c>
      <c r="AB28" s="40">
        <f t="shared" si="11"/>
        <v>-0.69</v>
      </c>
      <c r="AC28" s="41">
        <v>6.8088594907407415E-2</v>
      </c>
      <c r="AD28" s="39">
        <f t="shared" si="12"/>
        <v>-2.0671697413888888</v>
      </c>
      <c r="AE28" s="25">
        <v>-3.64</v>
      </c>
      <c r="AF28" s="25">
        <v>-2.03952</v>
      </c>
      <c r="AG28" s="25">
        <v>0</v>
      </c>
    </row>
    <row r="29" spans="1:33" ht="15.75" customHeight="1" x14ac:dyDescent="0.2">
      <c r="A29" s="28" t="s">
        <v>72</v>
      </c>
      <c r="B29" s="28" t="s">
        <v>372</v>
      </c>
      <c r="C29" s="15">
        <f t="shared" si="1"/>
        <v>11.49</v>
      </c>
      <c r="D29" s="29">
        <v>8</v>
      </c>
      <c r="E29" s="29">
        <v>0</v>
      </c>
      <c r="F29" s="32">
        <v>91.92</v>
      </c>
      <c r="G29" s="32">
        <v>0</v>
      </c>
      <c r="H29" s="31">
        <f t="shared" si="2"/>
        <v>0</v>
      </c>
      <c r="I29" s="31">
        <f t="shared" si="3"/>
        <v>0.34752112611207814</v>
      </c>
      <c r="J29" s="32">
        <f t="shared" si="4"/>
        <v>31.944141912222225</v>
      </c>
      <c r="K29" s="32">
        <f t="shared" si="5"/>
        <v>3.9930177390277781</v>
      </c>
      <c r="L29" s="29">
        <v>36</v>
      </c>
      <c r="M29" s="33">
        <f t="shared" si="6"/>
        <v>0.22222222222222221</v>
      </c>
      <c r="N29" s="16">
        <v>53</v>
      </c>
      <c r="O29" s="34">
        <f t="shared" ref="O29:P29" si="31">D29/7</f>
        <v>1.1428571428571428</v>
      </c>
      <c r="P29" s="34">
        <f t="shared" si="31"/>
        <v>0</v>
      </c>
      <c r="Q29" s="29">
        <f t="shared" si="8"/>
        <v>46</v>
      </c>
      <c r="R29" s="29"/>
      <c r="S29" s="21">
        <v>2.2046204620462051</v>
      </c>
      <c r="T29" s="28">
        <v>300</v>
      </c>
      <c r="U29" s="36" t="s">
        <v>33</v>
      </c>
      <c r="V29" s="37" t="s">
        <v>33</v>
      </c>
      <c r="W29" s="14">
        <v>0</v>
      </c>
      <c r="X29" s="38">
        <f t="shared" si="9"/>
        <v>0</v>
      </c>
      <c r="Y29" s="39">
        <f t="shared" si="10"/>
        <v>0</v>
      </c>
      <c r="Z29" s="14">
        <v>0</v>
      </c>
      <c r="AA29" s="28" t="s">
        <v>34</v>
      </c>
      <c r="AB29" s="40">
        <f t="shared" si="11"/>
        <v>-0.69</v>
      </c>
      <c r="AC29" s="41">
        <v>6.8088594907407415E-2</v>
      </c>
      <c r="AD29" s="39">
        <f t="shared" si="12"/>
        <v>-0.7516980877777778</v>
      </c>
      <c r="AE29" s="39">
        <v>-3.64</v>
      </c>
      <c r="AF29" s="25">
        <v>-2.03952</v>
      </c>
      <c r="AG29" s="39">
        <v>0</v>
      </c>
    </row>
    <row r="30" spans="1:33" ht="15.75" customHeight="1" x14ac:dyDescent="0.2">
      <c r="A30" s="14" t="s">
        <v>74</v>
      </c>
      <c r="B30" s="14" t="s">
        <v>47</v>
      </c>
      <c r="C30" s="15">
        <f t="shared" si="1"/>
        <v>12.0025</v>
      </c>
      <c r="D30" s="16">
        <v>12</v>
      </c>
      <c r="E30" s="16">
        <v>0</v>
      </c>
      <c r="F30" s="17">
        <v>144.03</v>
      </c>
      <c r="G30" s="17">
        <v>0</v>
      </c>
      <c r="H30" s="31">
        <f t="shared" si="2"/>
        <v>0</v>
      </c>
      <c r="I30" s="31">
        <f t="shared" si="3"/>
        <v>0.3796844606563447</v>
      </c>
      <c r="J30" s="32">
        <f t="shared" si="4"/>
        <v>54.685952868333331</v>
      </c>
      <c r="K30" s="32">
        <f t="shared" si="5"/>
        <v>4.5571627390277776</v>
      </c>
      <c r="L30" s="16">
        <v>26</v>
      </c>
      <c r="M30" s="33">
        <f t="shared" si="6"/>
        <v>0.46153846153846156</v>
      </c>
      <c r="N30" s="16">
        <v>27</v>
      </c>
      <c r="O30" s="34">
        <f t="shared" ref="O30:P30" si="32">D30/7</f>
        <v>1.7142857142857142</v>
      </c>
      <c r="P30" s="34">
        <f t="shared" si="32"/>
        <v>0</v>
      </c>
      <c r="Q30" s="29">
        <f t="shared" si="8"/>
        <v>15</v>
      </c>
      <c r="R30" s="29"/>
      <c r="S30" s="21">
        <v>2.5703422053231941</v>
      </c>
      <c r="T30" s="28">
        <v>400</v>
      </c>
      <c r="U30" s="36" t="s">
        <v>33</v>
      </c>
      <c r="V30" s="37" t="s">
        <v>33</v>
      </c>
      <c r="W30" s="14">
        <v>0</v>
      </c>
      <c r="X30" s="38">
        <f t="shared" si="9"/>
        <v>0</v>
      </c>
      <c r="Y30" s="39">
        <f t="shared" si="10"/>
        <v>0</v>
      </c>
      <c r="Z30" s="14">
        <v>0</v>
      </c>
      <c r="AA30" s="28" t="s">
        <v>34</v>
      </c>
      <c r="AB30" s="40">
        <f t="shared" si="11"/>
        <v>-0.69</v>
      </c>
      <c r="AC30" s="41">
        <v>6.8088594907407415E-2</v>
      </c>
      <c r="AD30" s="39">
        <f t="shared" si="12"/>
        <v>-1.1275471316666668</v>
      </c>
      <c r="AE30" s="25">
        <v>-3.64</v>
      </c>
      <c r="AF30" s="25">
        <v>-1.911</v>
      </c>
      <c r="AG30" s="25">
        <v>0</v>
      </c>
    </row>
    <row r="31" spans="1:33" ht="15.75" customHeight="1" x14ac:dyDescent="0.2">
      <c r="A31" s="14" t="s">
        <v>75</v>
      </c>
      <c r="B31" s="14"/>
      <c r="C31" s="15">
        <f t="shared" si="1"/>
        <v>11.989999999999998</v>
      </c>
      <c r="D31" s="16">
        <v>11</v>
      </c>
      <c r="E31" s="16">
        <v>0</v>
      </c>
      <c r="F31" s="17">
        <v>131.88999999999999</v>
      </c>
      <c r="G31" s="42">
        <v>0</v>
      </c>
      <c r="H31" s="31">
        <f t="shared" si="2"/>
        <v>0</v>
      </c>
      <c r="I31" s="31">
        <f t="shared" si="3"/>
        <v>0.37919414003567775</v>
      </c>
      <c r="J31" s="32">
        <f t="shared" si="4"/>
        <v>50.011915129305535</v>
      </c>
      <c r="K31" s="32">
        <f t="shared" si="5"/>
        <v>4.5465377390277757</v>
      </c>
      <c r="L31" s="16">
        <v>28</v>
      </c>
      <c r="M31" s="33">
        <f t="shared" si="6"/>
        <v>0.39285714285714285</v>
      </c>
      <c r="N31" s="16">
        <v>28</v>
      </c>
      <c r="O31" s="34">
        <f t="shared" ref="O31:P32" si="33">D31/7</f>
        <v>1.5714285714285714</v>
      </c>
      <c r="P31" s="34">
        <f t="shared" si="33"/>
        <v>0</v>
      </c>
      <c r="Q31" s="29">
        <f t="shared" si="8"/>
        <v>17</v>
      </c>
      <c r="R31" s="29"/>
      <c r="S31" s="21">
        <v>3.2315270935960498</v>
      </c>
      <c r="T31" s="14">
        <v>400</v>
      </c>
      <c r="U31" s="22" t="s">
        <v>33</v>
      </c>
      <c r="V31" s="1" t="s">
        <v>959</v>
      </c>
      <c r="W31" s="14">
        <v>0</v>
      </c>
      <c r="X31" s="38">
        <f t="shared" si="9"/>
        <v>0</v>
      </c>
      <c r="Y31" s="39">
        <f t="shared" si="10"/>
        <v>0</v>
      </c>
      <c r="Z31" s="14">
        <v>0</v>
      </c>
      <c r="AA31" s="14" t="s">
        <v>34</v>
      </c>
      <c r="AB31" s="40">
        <f t="shared" si="11"/>
        <v>-0.69</v>
      </c>
      <c r="AC31" s="27">
        <v>6.8088594907407415E-2</v>
      </c>
      <c r="AD31" s="39">
        <f t="shared" si="12"/>
        <v>-1.0335848706944444</v>
      </c>
      <c r="AE31" s="43">
        <v>-3.64</v>
      </c>
      <c r="AF31" s="43">
        <v>-1.9110000000000003</v>
      </c>
      <c r="AG31" s="25">
        <v>0</v>
      </c>
    </row>
    <row r="32" spans="1:33" s="51" customFormat="1" ht="15.75" customHeight="1" x14ac:dyDescent="0.2">
      <c r="A32" s="51" t="s">
        <v>934</v>
      </c>
      <c r="C32" s="15">
        <f t="shared" si="1"/>
        <v>11.992666666666667</v>
      </c>
      <c r="D32" s="52">
        <v>15</v>
      </c>
      <c r="E32" s="52">
        <v>0</v>
      </c>
      <c r="F32" s="53">
        <v>179.89</v>
      </c>
      <c r="G32" s="53">
        <v>0</v>
      </c>
      <c r="H32" s="31">
        <f t="shared" si="2"/>
        <v>0</v>
      </c>
      <c r="I32" s="31">
        <f t="shared" si="3"/>
        <v>0.37929882753580901</v>
      </c>
      <c r="J32" s="32">
        <f t="shared" si="4"/>
        <v>68.232066085416676</v>
      </c>
      <c r="K32" s="32">
        <f t="shared" si="5"/>
        <v>4.5488044056944448</v>
      </c>
      <c r="L32" s="52">
        <v>17</v>
      </c>
      <c r="M32" s="33">
        <f t="shared" si="6"/>
        <v>0.88235294117647056</v>
      </c>
      <c r="N32" s="52">
        <v>16</v>
      </c>
      <c r="O32" s="34">
        <f t="shared" si="33"/>
        <v>2.1428571428571428</v>
      </c>
      <c r="P32" s="34">
        <f t="shared" si="33"/>
        <v>0</v>
      </c>
      <c r="Q32" s="29">
        <f t="shared" si="8"/>
        <v>7</v>
      </c>
      <c r="R32" s="29" t="str">
        <f ca="1">IFERROR(VLOOKUP($B$2,IMPORTRANGE("https://docs.google.com/spreadsheets/d/1KiWZV1ko8G7lnRucBRBd29jj3Be6ltMfljMDqzOkQmI/edit#gid=1381463014","Lookup!A:F"),6,FALSE),"")</f>
        <v/>
      </c>
      <c r="S32" s="54">
        <v>2.8266666666666671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6.8088594907407415E-2</v>
      </c>
      <c r="AD32" s="39">
        <f t="shared" si="12"/>
        <v>-1.4094339145833334</v>
      </c>
      <c r="AE32" s="58">
        <v>-3.64</v>
      </c>
      <c r="AF32" s="58">
        <v>-1.911</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S221" s="21"/>
    </row>
    <row r="222" spans="1:33" ht="15.75" customHeight="1" x14ac:dyDescent="0.2">
      <c r="S222" s="21"/>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30.3320312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78.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AWG Replacement Power Cord with Open End - 6 Ft Black Extension Cable, 16/3 SJT, NEMA 5-15P")</f>
        <v>16 AWG Replacement Power Cord with Open End - 6 Ft Black Extension Cable, 16/3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Info!B1:BJ5000""),2,FALSE),"""")"),"B082FMZXML")</f>
        <v>B082FMZXML</v>
      </c>
      <c r="B2" s="3" t="s">
        <v>373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7.75" customHeight="1" x14ac:dyDescent="0.2">
      <c r="A3" s="76" t="s">
        <v>30</v>
      </c>
      <c r="B3" s="77"/>
      <c r="C3" s="47">
        <f>((AE32+AF32)/0.85)*-1</f>
        <v>6.0199422976000001</v>
      </c>
      <c r="D3" s="5">
        <f>SUM(D4:D99765)</f>
        <v>227</v>
      </c>
      <c r="E3" s="5"/>
      <c r="F3" s="6">
        <f t="shared" ref="F3:G3" si="0">SUM(F4:F99765)</f>
        <v>1561.17</v>
      </c>
      <c r="G3" s="6">
        <f t="shared" si="0"/>
        <v>-111.60999999999999</v>
      </c>
      <c r="H3" s="7">
        <f t="shared" ref="H3:H32" si="1">G3/F3*-1</f>
        <v>7.1491253354855636E-2</v>
      </c>
      <c r="I3" s="8">
        <f t="shared" ref="I3:I32" si="2">J3/F3</f>
        <v>6.5859110363815865E-2</v>
      </c>
      <c r="J3" s="6">
        <f>SUM(J4:J99765)</f>
        <v>102.81726732667842</v>
      </c>
      <c r="K3" s="6">
        <f t="shared" ref="K3:K32" si="3">J3/D3</f>
        <v>0.45293950364175517</v>
      </c>
      <c r="L3" s="5"/>
      <c r="M3" s="9"/>
      <c r="N3" s="10"/>
      <c r="O3" s="5" t="str">
        <f ca="1">IFERROR(__xludf.DUMMYFUNCTION("IFERROR(VLOOKUP(B2,IMPORTRANGE(""https://docs.google.com/spreadsheets/d/1N8jvpEHDVkurDv7NrPxwI3eH6hQsvtb1QltGNCalRjU/edit#gid=865736387"",""Compiled Sheet!a1:g5000""),2,FALSE),"""")"),"1.5 - March
1.5 - April
3.5 - May
1.5 - June
1 - July
1 - Aug
0.5 - Sept
0.5 - Oct
0.5 - Nov
0.5 - Dec
1.5 - Jan
1.5 - Feb")</f>
        <v>1.5 - March
1.5 - April
3.5 - May
1.5 - June
1 - July
1 - Aug
0.5 - Sept
0.5 - Oct
0.5 - Nov
0.5 -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26</v>
      </c>
      <c r="X3" s="7">
        <f>W3/D3</f>
        <v>0.11453744493392071</v>
      </c>
      <c r="Y3" s="6"/>
      <c r="Z3" s="5"/>
      <c r="AA3" s="5"/>
      <c r="AB3" s="5"/>
      <c r="AC3" s="5"/>
      <c r="AD3" s="6">
        <f>SUM(AD4:AD99765)</f>
        <v>-3.7857273754345311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Info!B2:BZ7000""),37,FALSE)),"""")*-1"),-1.47695095296)</f>
        <v>-1.47695095296</v>
      </c>
      <c r="AG3" s="6">
        <f>SUM(AG4:AG99765)</f>
        <v>-9</v>
      </c>
    </row>
    <row r="4" spans="1:33" ht="1.5" customHeight="1" x14ac:dyDescent="0.2">
      <c r="A4" s="14" t="s">
        <v>31</v>
      </c>
      <c r="B4" s="14" t="s">
        <v>374</v>
      </c>
      <c r="C4" s="15">
        <f t="shared" ref="C4:C32" si="4">IFERROR(F4/D4," - ")</f>
        <v>6.5900000000000016</v>
      </c>
      <c r="D4" s="16">
        <v>7</v>
      </c>
      <c r="E4" s="16">
        <v>0</v>
      </c>
      <c r="F4" s="17">
        <v>46.13000000000001</v>
      </c>
      <c r="G4" s="17">
        <v>-0.08</v>
      </c>
      <c r="H4" s="18">
        <f t="shared" si="1"/>
        <v>1.7342293518317795E-3</v>
      </c>
      <c r="I4" s="18">
        <f t="shared" si="2"/>
        <v>0.12147788857576446</v>
      </c>
      <c r="J4" s="17">
        <f t="shared" ref="J4:J32" si="5">F4*0.85+G4+AF4*D4+D4*AE4+AG4+AD4</f>
        <v>5.6037750000000157</v>
      </c>
      <c r="K4" s="17">
        <f t="shared" si="3"/>
        <v>0.80053928571428801</v>
      </c>
      <c r="L4" s="16">
        <v>21</v>
      </c>
      <c r="M4" s="19">
        <f t="shared" ref="M4:M32" si="6">IFERROR(D4/L4,"-")</f>
        <v>0.33333333333333331</v>
      </c>
      <c r="N4" s="16">
        <v>46</v>
      </c>
      <c r="O4" s="20">
        <f t="shared" ref="O4:P4" si="7">D4/7</f>
        <v>1</v>
      </c>
      <c r="P4" s="20">
        <f t="shared" si="7"/>
        <v>0</v>
      </c>
      <c r="Q4" s="16">
        <f t="shared" ref="Q4:Q32" si="8">ROUNDDOWN(N4/(O4+P4),0)</f>
        <v>46</v>
      </c>
      <c r="R4" s="16"/>
      <c r="S4" s="21">
        <v>1.3333333333333299</v>
      </c>
      <c r="T4" s="14">
        <v>200</v>
      </c>
      <c r="U4" s="22">
        <v>50</v>
      </c>
      <c r="V4" s="23" t="s">
        <v>300</v>
      </c>
      <c r="W4" s="14">
        <v>0</v>
      </c>
      <c r="X4" s="24">
        <f t="shared" ref="X4:X32" si="9">IFERROR(W4/D4,0)</f>
        <v>0</v>
      </c>
      <c r="Y4" s="25">
        <f t="shared" ref="Y4:Y32" si="10">IFERROR(G4/(W4+Z4)*-1,0)</f>
        <v>0</v>
      </c>
      <c r="Z4" s="14">
        <v>0</v>
      </c>
      <c r="AA4" s="2" t="s">
        <v>34</v>
      </c>
      <c r="AB4" s="26">
        <f t="shared" ref="AB4:AB32" si="11">IF(OR(AA4="UsLargeStandardSize",AA4="UsSmallStandardSize"),-0.69,-0.48)</f>
        <v>-0.69</v>
      </c>
      <c r="AC4" s="27">
        <v>1.2083333333333333E-2</v>
      </c>
      <c r="AD4" s="25">
        <f t="shared" ref="AD4:AD32" si="12">IFERROR(AB4*AC4*D4*2,0)</f>
        <v>-0.116725</v>
      </c>
      <c r="AE4" s="25">
        <v>-3.48</v>
      </c>
      <c r="AF4" s="25">
        <v>-1.1499999999999999</v>
      </c>
      <c r="AG4" s="25">
        <v>-1</v>
      </c>
    </row>
    <row r="5" spans="1:33" ht="15.75" customHeight="1" x14ac:dyDescent="0.2">
      <c r="A5" s="28" t="s">
        <v>35</v>
      </c>
      <c r="B5" s="28" t="s">
        <v>375</v>
      </c>
      <c r="C5" s="15">
        <f t="shared" si="4"/>
        <v>7.5130769230769241</v>
      </c>
      <c r="D5" s="29">
        <v>26</v>
      </c>
      <c r="E5" s="29">
        <v>2</v>
      </c>
      <c r="F5" s="30">
        <v>195.34000000000003</v>
      </c>
      <c r="G5" s="30">
        <v>-0.08</v>
      </c>
      <c r="H5" s="31">
        <f t="shared" si="1"/>
        <v>4.0954233643902935E-4</v>
      </c>
      <c r="I5" s="31">
        <f t="shared" si="2"/>
        <v>0.21575175399081323</v>
      </c>
      <c r="J5" s="32">
        <f t="shared" si="5"/>
        <v>42.144947624565461</v>
      </c>
      <c r="K5" s="32">
        <f t="shared" si="3"/>
        <v>1.6209595240217485</v>
      </c>
      <c r="L5" s="29">
        <v>25</v>
      </c>
      <c r="M5" s="33">
        <f t="shared" si="6"/>
        <v>1.04</v>
      </c>
      <c r="N5" s="29">
        <v>29</v>
      </c>
      <c r="O5" s="34">
        <f t="shared" ref="O5:P5" si="13">D5/7</f>
        <v>3.7142857142857144</v>
      </c>
      <c r="P5" s="34">
        <f t="shared" si="13"/>
        <v>0.2857142857142857</v>
      </c>
      <c r="Q5" s="29">
        <f t="shared" si="8"/>
        <v>7</v>
      </c>
      <c r="R5" s="29"/>
      <c r="S5" s="35">
        <v>1.5757575757575699</v>
      </c>
      <c r="T5" s="28">
        <v>200</v>
      </c>
      <c r="U5" s="36">
        <v>50</v>
      </c>
      <c r="V5" s="37" t="s">
        <v>301</v>
      </c>
      <c r="W5" s="28">
        <v>0</v>
      </c>
      <c r="X5" s="38">
        <f t="shared" si="9"/>
        <v>0</v>
      </c>
      <c r="Y5" s="39">
        <f t="shared" si="10"/>
        <v>0</v>
      </c>
      <c r="Z5" s="28">
        <v>0</v>
      </c>
      <c r="AA5" s="28" t="s">
        <v>34</v>
      </c>
      <c r="AB5" s="40">
        <f t="shared" si="11"/>
        <v>-0.69</v>
      </c>
      <c r="AC5" s="41">
        <v>1.2097334878331402E-2</v>
      </c>
      <c r="AD5" s="39">
        <f t="shared" si="12"/>
        <v>-0.43405237543453068</v>
      </c>
      <c r="AE5" s="39">
        <v>-3.48</v>
      </c>
      <c r="AF5" s="39">
        <v>-1.1499999999999999</v>
      </c>
      <c r="AG5" s="39">
        <v>-3</v>
      </c>
    </row>
    <row r="6" spans="1:33" ht="15.75" customHeight="1" x14ac:dyDescent="0.2">
      <c r="A6" s="28" t="s">
        <v>37</v>
      </c>
      <c r="B6" s="28" t="s">
        <v>376</v>
      </c>
      <c r="C6" s="15">
        <f t="shared" si="4"/>
        <v>7.91</v>
      </c>
      <c r="D6" s="29">
        <v>6</v>
      </c>
      <c r="E6" s="29">
        <v>0</v>
      </c>
      <c r="F6" s="30">
        <v>47.46</v>
      </c>
      <c r="G6" s="30">
        <v>0</v>
      </c>
      <c r="H6" s="31">
        <f t="shared" si="1"/>
        <v>0</v>
      </c>
      <c r="I6" s="31">
        <f t="shared" si="2"/>
        <v>0.17827538980193855</v>
      </c>
      <c r="J6" s="32">
        <f t="shared" si="5"/>
        <v>8.460950000000004</v>
      </c>
      <c r="K6" s="32">
        <f t="shared" si="3"/>
        <v>1.4101583333333341</v>
      </c>
      <c r="L6" s="29">
        <v>18</v>
      </c>
      <c r="M6" s="33">
        <f t="shared" si="6"/>
        <v>0.33333333333333331</v>
      </c>
      <c r="N6" s="29">
        <v>10</v>
      </c>
      <c r="O6" s="34">
        <f t="shared" ref="O6:P6" si="14">D6/7</f>
        <v>0.8571428571428571</v>
      </c>
      <c r="P6" s="34">
        <f t="shared" si="14"/>
        <v>0</v>
      </c>
      <c r="Q6" s="29">
        <f t="shared" si="8"/>
        <v>11</v>
      </c>
      <c r="R6" s="29"/>
      <c r="S6" s="35">
        <v>2.1101449275362301</v>
      </c>
      <c r="T6" s="28">
        <v>200</v>
      </c>
      <c r="U6" s="36">
        <v>50</v>
      </c>
      <c r="V6" s="37" t="s">
        <v>377</v>
      </c>
      <c r="W6" s="28">
        <v>0</v>
      </c>
      <c r="X6" s="38">
        <f t="shared" si="9"/>
        <v>0</v>
      </c>
      <c r="Y6" s="39">
        <f t="shared" si="10"/>
        <v>0</v>
      </c>
      <c r="Z6" s="28">
        <v>0</v>
      </c>
      <c r="AA6" s="28" t="s">
        <v>34</v>
      </c>
      <c r="AB6" s="40">
        <f t="shared" si="11"/>
        <v>-0.69</v>
      </c>
      <c r="AC6" s="41">
        <v>1.2083333333333333E-2</v>
      </c>
      <c r="AD6" s="39">
        <f t="shared" si="12"/>
        <v>-0.10005</v>
      </c>
      <c r="AE6" s="39">
        <v>-3.48</v>
      </c>
      <c r="AF6" s="39">
        <v>-1.1499999999999999</v>
      </c>
      <c r="AG6" s="39">
        <v>-4</v>
      </c>
    </row>
    <row r="7" spans="1:33" ht="15.75" customHeight="1" x14ac:dyDescent="0.2">
      <c r="A7" s="28" t="s">
        <v>40</v>
      </c>
      <c r="B7" s="28" t="s">
        <v>194</v>
      </c>
      <c r="C7" s="15">
        <f t="shared" si="4"/>
        <v>8.59</v>
      </c>
      <c r="D7" s="29">
        <v>1</v>
      </c>
      <c r="E7" s="29">
        <v>0</v>
      </c>
      <c r="F7" s="30">
        <v>8.59</v>
      </c>
      <c r="G7" s="30">
        <v>-0.03</v>
      </c>
      <c r="H7" s="31">
        <f t="shared" si="1"/>
        <v>3.4924330616996507E-3</v>
      </c>
      <c r="I7" s="31">
        <f t="shared" si="2"/>
        <v>0.3055675203725261</v>
      </c>
      <c r="J7" s="32">
        <f t="shared" si="5"/>
        <v>2.6248249999999991</v>
      </c>
      <c r="K7" s="32">
        <f t="shared" si="3"/>
        <v>2.6248249999999991</v>
      </c>
      <c r="L7" s="29">
        <v>16</v>
      </c>
      <c r="M7" s="33">
        <f t="shared" si="6"/>
        <v>6.25E-2</v>
      </c>
      <c r="N7" s="29">
        <v>8</v>
      </c>
      <c r="O7" s="34">
        <f t="shared" ref="O7:P7" si="15">D7/7</f>
        <v>0.14285714285714285</v>
      </c>
      <c r="P7" s="34">
        <f t="shared" si="15"/>
        <v>0</v>
      </c>
      <c r="Q7" s="29">
        <f t="shared" si="8"/>
        <v>56</v>
      </c>
      <c r="R7" s="29"/>
      <c r="S7" s="35">
        <v>2.1618122977346199</v>
      </c>
      <c r="T7" s="28">
        <v>200</v>
      </c>
      <c r="U7" s="36">
        <v>50</v>
      </c>
      <c r="V7" s="37" t="s">
        <v>378</v>
      </c>
      <c r="W7" s="28">
        <v>0</v>
      </c>
      <c r="X7" s="38">
        <f t="shared" si="9"/>
        <v>0</v>
      </c>
      <c r="Y7" s="39">
        <f t="shared" si="10"/>
        <v>0</v>
      </c>
      <c r="Z7" s="28">
        <v>0</v>
      </c>
      <c r="AA7" s="28" t="s">
        <v>34</v>
      </c>
      <c r="AB7" s="40">
        <f t="shared" si="11"/>
        <v>-0.69</v>
      </c>
      <c r="AC7" s="41">
        <v>1.2083333333333333E-2</v>
      </c>
      <c r="AD7" s="39">
        <f t="shared" si="12"/>
        <v>-1.6674999999999999E-2</v>
      </c>
      <c r="AE7" s="39">
        <v>-3.48</v>
      </c>
      <c r="AF7" s="39">
        <v>-1.1499999999999999</v>
      </c>
      <c r="AG7" s="39">
        <v>0</v>
      </c>
    </row>
    <row r="8" spans="1:33" ht="15.75" customHeight="1" x14ac:dyDescent="0.2">
      <c r="A8" s="28" t="s">
        <v>42</v>
      </c>
      <c r="B8" s="28" t="s">
        <v>379</v>
      </c>
      <c r="C8" s="15">
        <f t="shared" si="4"/>
        <v>8.8949999999999996</v>
      </c>
      <c r="D8" s="29">
        <v>2</v>
      </c>
      <c r="E8" s="29">
        <v>0</v>
      </c>
      <c r="F8" s="30">
        <v>17.79</v>
      </c>
      <c r="G8" s="30">
        <v>-0.08</v>
      </c>
      <c r="H8" s="31">
        <f t="shared" si="1"/>
        <v>4.4969083754918494E-3</v>
      </c>
      <c r="I8" s="31">
        <f t="shared" si="2"/>
        <v>0.26689994378864523</v>
      </c>
      <c r="J8" s="32">
        <f t="shared" si="5"/>
        <v>4.7481499999999981</v>
      </c>
      <c r="K8" s="32">
        <f t="shared" si="3"/>
        <v>2.374074999999999</v>
      </c>
      <c r="L8" s="29">
        <v>26</v>
      </c>
      <c r="M8" s="33">
        <f t="shared" si="6"/>
        <v>7.6923076923076927E-2</v>
      </c>
      <c r="N8" s="29">
        <v>107</v>
      </c>
      <c r="O8" s="34">
        <f t="shared" ref="O8:P8" si="16">D8/7</f>
        <v>0.2857142857142857</v>
      </c>
      <c r="P8" s="34">
        <f t="shared" si="16"/>
        <v>0</v>
      </c>
      <c r="Q8" s="29">
        <f t="shared" si="8"/>
        <v>374</v>
      </c>
      <c r="R8" s="29"/>
      <c r="S8" s="35">
        <v>1.5538847117794401</v>
      </c>
      <c r="T8" s="28">
        <v>150</v>
      </c>
      <c r="U8" s="36">
        <v>150</v>
      </c>
      <c r="V8" s="37" t="s">
        <v>380</v>
      </c>
      <c r="W8" s="28">
        <v>0</v>
      </c>
      <c r="X8" s="38">
        <f t="shared" si="9"/>
        <v>0</v>
      </c>
      <c r="Y8" s="39">
        <f t="shared" si="10"/>
        <v>0</v>
      </c>
      <c r="Z8" s="28">
        <v>0</v>
      </c>
      <c r="AA8" s="28" t="s">
        <v>34</v>
      </c>
      <c r="AB8" s="40">
        <f t="shared" si="11"/>
        <v>-0.69</v>
      </c>
      <c r="AC8" s="41">
        <v>1.2083333333333333E-2</v>
      </c>
      <c r="AD8" s="39">
        <f t="shared" si="12"/>
        <v>-3.3349999999999998E-2</v>
      </c>
      <c r="AE8" s="39">
        <v>-3.48</v>
      </c>
      <c r="AF8" s="39">
        <v>-1.1499999999999999</v>
      </c>
      <c r="AG8" s="39">
        <v>-1</v>
      </c>
    </row>
    <row r="9" spans="1:33" ht="1.5" customHeight="1" x14ac:dyDescent="0.2">
      <c r="A9" s="28" t="s">
        <v>44</v>
      </c>
      <c r="B9" s="28" t="s">
        <v>381</v>
      </c>
      <c r="C9" s="15" t="str">
        <f t="shared" si="4"/>
        <v xml:space="preserve"> - </v>
      </c>
      <c r="D9" s="29">
        <v>0</v>
      </c>
      <c r="E9" s="29">
        <v>0</v>
      </c>
      <c r="F9" s="30">
        <v>0</v>
      </c>
      <c r="G9" s="30">
        <v>0</v>
      </c>
      <c r="H9" s="31" t="e">
        <f t="shared" si="1"/>
        <v>#DIV/0!</v>
      </c>
      <c r="I9" s="31" t="e">
        <f t="shared" si="2"/>
        <v>#DIV/0!</v>
      </c>
      <c r="J9" s="32">
        <f t="shared" si="5"/>
        <v>0</v>
      </c>
      <c r="K9" s="32" t="e">
        <f t="shared" si="3"/>
        <v>#DIV/0!</v>
      </c>
      <c r="L9" s="29">
        <v>0</v>
      </c>
      <c r="M9" s="33" t="str">
        <f t="shared" si="6"/>
        <v>-</v>
      </c>
      <c r="N9" s="29">
        <v>106</v>
      </c>
      <c r="O9" s="34">
        <f t="shared" ref="O9:P9" si="17">D9/7</f>
        <v>0</v>
      </c>
      <c r="P9" s="34">
        <f t="shared" si="17"/>
        <v>0</v>
      </c>
      <c r="Q9" s="29" t="e">
        <f t="shared" si="8"/>
        <v>#DIV/0!</v>
      </c>
      <c r="R9" s="29"/>
      <c r="S9" s="35">
        <v>1.7897897897897801</v>
      </c>
      <c r="T9" s="28">
        <v>150</v>
      </c>
      <c r="U9" s="36">
        <v>150</v>
      </c>
      <c r="V9" s="37" t="s">
        <v>382</v>
      </c>
      <c r="W9" s="28">
        <v>0</v>
      </c>
      <c r="X9" s="38">
        <f t="shared" si="9"/>
        <v>0</v>
      </c>
      <c r="Y9" s="39">
        <f t="shared" si="10"/>
        <v>0</v>
      </c>
      <c r="Z9" s="28">
        <v>0</v>
      </c>
      <c r="AA9" s="28" t="s">
        <v>34</v>
      </c>
      <c r="AB9" s="40">
        <f t="shared" si="11"/>
        <v>-0.69</v>
      </c>
      <c r="AC9" s="41">
        <v>1.2083333333333333E-2</v>
      </c>
      <c r="AD9" s="39">
        <f t="shared" si="12"/>
        <v>0</v>
      </c>
      <c r="AE9" s="39">
        <v>-3.48</v>
      </c>
      <c r="AF9" s="39">
        <v>-1.1499999999999999</v>
      </c>
      <c r="AG9" s="39">
        <v>0</v>
      </c>
    </row>
    <row r="10" spans="1:33" ht="15.75" customHeight="1" x14ac:dyDescent="0.2">
      <c r="A10" s="28" t="s">
        <v>46</v>
      </c>
      <c r="B10" s="28" t="s">
        <v>383</v>
      </c>
      <c r="C10" s="15">
        <f t="shared" si="4"/>
        <v>6.6766666666666667</v>
      </c>
      <c r="D10" s="29">
        <v>12</v>
      </c>
      <c r="E10" s="29">
        <v>0</v>
      </c>
      <c r="F10" s="30">
        <v>80.12</v>
      </c>
      <c r="G10" s="30">
        <v>-28.72</v>
      </c>
      <c r="H10" s="31">
        <f t="shared" si="1"/>
        <v>0.35846230654018968</v>
      </c>
      <c r="I10" s="31">
        <f t="shared" si="2"/>
        <v>-0.2165368293713269</v>
      </c>
      <c r="J10" s="32">
        <f t="shared" si="5"/>
        <v>-17.348930769230712</v>
      </c>
      <c r="K10" s="32">
        <f t="shared" si="3"/>
        <v>-1.4457442307692261</v>
      </c>
      <c r="L10" s="29">
        <v>35</v>
      </c>
      <c r="M10" s="33">
        <f t="shared" si="6"/>
        <v>0.34285714285714286</v>
      </c>
      <c r="N10" s="29">
        <v>98</v>
      </c>
      <c r="O10" s="34">
        <f t="shared" ref="O10:P10" si="18">D10/7</f>
        <v>1.7142857142857142</v>
      </c>
      <c r="P10" s="34">
        <f t="shared" si="18"/>
        <v>0</v>
      </c>
      <c r="Q10" s="29">
        <f t="shared" si="8"/>
        <v>57</v>
      </c>
      <c r="R10" s="29"/>
      <c r="S10" s="35">
        <v>1.7546468401486901</v>
      </c>
      <c r="T10" s="28">
        <v>150</v>
      </c>
      <c r="U10" s="36">
        <v>150</v>
      </c>
      <c r="V10" s="37" t="s">
        <v>384</v>
      </c>
      <c r="W10" s="28">
        <v>8</v>
      </c>
      <c r="X10" s="38">
        <f t="shared" si="9"/>
        <v>0.66666666666666663</v>
      </c>
      <c r="Y10" s="39">
        <f t="shared" si="10"/>
        <v>2.8719999999999999</v>
      </c>
      <c r="Z10" s="28">
        <v>2</v>
      </c>
      <c r="AA10" s="28" t="s">
        <v>34</v>
      </c>
      <c r="AB10" s="40">
        <f t="shared" si="11"/>
        <v>-0.69</v>
      </c>
      <c r="AC10" s="41">
        <v>1.2083333333333333E-2</v>
      </c>
      <c r="AD10" s="39">
        <f t="shared" si="12"/>
        <v>-0.2001</v>
      </c>
      <c r="AE10" s="39">
        <v>-3.48</v>
      </c>
      <c r="AF10" s="39">
        <v>-1.2309025641025599</v>
      </c>
      <c r="AG10" s="39">
        <v>0</v>
      </c>
    </row>
    <row r="11" spans="1:33" ht="15.75" customHeight="1" x14ac:dyDescent="0.2">
      <c r="A11" s="28" t="s">
        <v>48</v>
      </c>
      <c r="B11" s="28" t="s">
        <v>385</v>
      </c>
      <c r="C11" s="15">
        <f t="shared" si="4"/>
        <v>8.0371428571428574</v>
      </c>
      <c r="D11" s="29">
        <v>7</v>
      </c>
      <c r="E11" s="29">
        <v>0</v>
      </c>
      <c r="F11" s="30">
        <v>56.26</v>
      </c>
      <c r="G11" s="30">
        <v>-18.440000000000001</v>
      </c>
      <c r="H11" s="31">
        <f t="shared" si="1"/>
        <v>0.32776395307500894</v>
      </c>
      <c r="I11" s="31">
        <f t="shared" si="2"/>
        <v>-6.5980144840346963E-2</v>
      </c>
      <c r="J11" s="32">
        <f t="shared" si="5"/>
        <v>-3.7120429487179201</v>
      </c>
      <c r="K11" s="32">
        <f t="shared" si="3"/>
        <v>-0.53029184981684574</v>
      </c>
      <c r="L11" s="29">
        <v>27</v>
      </c>
      <c r="M11" s="33">
        <f t="shared" si="6"/>
        <v>0.25925925925925924</v>
      </c>
      <c r="N11" s="29">
        <v>64</v>
      </c>
      <c r="O11" s="34">
        <f t="shared" ref="O11:P11" si="19">D11/7</f>
        <v>1</v>
      </c>
      <c r="P11" s="34">
        <f t="shared" si="19"/>
        <v>0</v>
      </c>
      <c r="Q11" s="29">
        <f t="shared" si="8"/>
        <v>64</v>
      </c>
      <c r="R11" s="29"/>
      <c r="S11" s="35">
        <v>2.0535714285714199</v>
      </c>
      <c r="T11" s="28">
        <v>250</v>
      </c>
      <c r="U11" s="36">
        <v>150</v>
      </c>
      <c r="V11" s="37" t="s">
        <v>386</v>
      </c>
      <c r="W11" s="28">
        <v>6</v>
      </c>
      <c r="X11" s="38">
        <f t="shared" si="9"/>
        <v>0.8571428571428571</v>
      </c>
      <c r="Y11" s="39">
        <f t="shared" si="10"/>
        <v>2.048888888888889</v>
      </c>
      <c r="Z11" s="28">
        <v>3</v>
      </c>
      <c r="AA11" s="28" t="s">
        <v>34</v>
      </c>
      <c r="AB11" s="40">
        <f t="shared" si="11"/>
        <v>-0.69</v>
      </c>
      <c r="AC11" s="41">
        <v>1.2083333333333333E-2</v>
      </c>
      <c r="AD11" s="39">
        <f t="shared" si="12"/>
        <v>-0.116725</v>
      </c>
      <c r="AE11" s="39">
        <v>-3.48</v>
      </c>
      <c r="AF11" s="39">
        <v>-1.2309025641025599</v>
      </c>
      <c r="AG11" s="39">
        <v>0</v>
      </c>
    </row>
    <row r="12" spans="1:33" ht="15.75" customHeight="1" x14ac:dyDescent="0.2">
      <c r="A12" s="28" t="s">
        <v>49</v>
      </c>
      <c r="B12" s="28" t="s">
        <v>387</v>
      </c>
      <c r="C12" s="15">
        <f t="shared" si="4"/>
        <v>6.1606666666666667</v>
      </c>
      <c r="D12" s="29">
        <v>15</v>
      </c>
      <c r="E12" s="29">
        <v>0</v>
      </c>
      <c r="F12" s="30">
        <v>92.41</v>
      </c>
      <c r="G12" s="30">
        <v>-28.469999999999995</v>
      </c>
      <c r="H12" s="31">
        <f t="shared" si="1"/>
        <v>0.30808354074234384</v>
      </c>
      <c r="I12" s="31">
        <f t="shared" si="2"/>
        <v>-0.22546438114423126</v>
      </c>
      <c r="J12" s="32">
        <f t="shared" si="5"/>
        <v>-20.835163461538411</v>
      </c>
      <c r="K12" s="32">
        <f t="shared" si="3"/>
        <v>-1.3890108974358941</v>
      </c>
      <c r="L12" s="29">
        <v>27</v>
      </c>
      <c r="M12" s="33">
        <f t="shared" si="6"/>
        <v>0.55555555555555558</v>
      </c>
      <c r="N12" s="29">
        <v>52</v>
      </c>
      <c r="O12" s="34">
        <f t="shared" ref="O12:P12" si="20">D12/7</f>
        <v>2.1428571428571428</v>
      </c>
      <c r="P12" s="34">
        <f t="shared" si="20"/>
        <v>0</v>
      </c>
      <c r="Q12" s="29">
        <f t="shared" si="8"/>
        <v>24</v>
      </c>
      <c r="R12" s="29"/>
      <c r="S12" s="35">
        <v>2.0886699507389102</v>
      </c>
      <c r="T12" s="28">
        <v>100</v>
      </c>
      <c r="U12" s="36" t="s">
        <v>33</v>
      </c>
      <c r="V12" s="37" t="s">
        <v>33</v>
      </c>
      <c r="W12" s="28">
        <v>10</v>
      </c>
      <c r="X12" s="38">
        <f t="shared" si="9"/>
        <v>0.66666666666666663</v>
      </c>
      <c r="Y12" s="39">
        <f t="shared" si="10"/>
        <v>2.1899999999999995</v>
      </c>
      <c r="Z12" s="28">
        <v>3</v>
      </c>
      <c r="AA12" s="28" t="s">
        <v>34</v>
      </c>
      <c r="AB12" s="40">
        <f t="shared" si="11"/>
        <v>-0.69</v>
      </c>
      <c r="AC12" s="41">
        <v>1.2083333333333333E-2</v>
      </c>
      <c r="AD12" s="39">
        <f t="shared" si="12"/>
        <v>-0.25012499999999999</v>
      </c>
      <c r="AE12" s="39">
        <v>-3.48</v>
      </c>
      <c r="AF12" s="39">
        <v>-1.2309025641025599</v>
      </c>
      <c r="AG12" s="39">
        <v>0</v>
      </c>
    </row>
    <row r="13" spans="1:33" ht="15.75" customHeight="1" x14ac:dyDescent="0.2">
      <c r="A13" s="28" t="s">
        <v>50</v>
      </c>
      <c r="B13" s="28" t="s">
        <v>388</v>
      </c>
      <c r="C13" s="15">
        <f t="shared" si="4"/>
        <v>10.865</v>
      </c>
      <c r="D13" s="29">
        <v>2</v>
      </c>
      <c r="E13" s="29">
        <v>0</v>
      </c>
      <c r="F13" s="32">
        <v>21.73</v>
      </c>
      <c r="G13" s="30">
        <v>-21.419999999999998</v>
      </c>
      <c r="H13" s="31">
        <f t="shared" si="1"/>
        <v>0.9857340082834789</v>
      </c>
      <c r="I13" s="31">
        <f t="shared" si="2"/>
        <v>-0.571948918545789</v>
      </c>
      <c r="J13" s="32">
        <f t="shared" si="5"/>
        <v>-12.428449999999996</v>
      </c>
      <c r="K13" s="32">
        <f t="shared" si="3"/>
        <v>-6.2142249999999981</v>
      </c>
      <c r="L13" s="29">
        <v>16</v>
      </c>
      <c r="M13" s="33">
        <f t="shared" si="6"/>
        <v>0.125</v>
      </c>
      <c r="N13" s="29">
        <v>196</v>
      </c>
      <c r="O13" s="34">
        <f t="shared" ref="O13:P13" si="21">D13/7</f>
        <v>0.2857142857142857</v>
      </c>
      <c r="P13" s="34">
        <f t="shared" si="21"/>
        <v>0</v>
      </c>
      <c r="Q13" s="29">
        <f t="shared" si="8"/>
        <v>686</v>
      </c>
      <c r="R13" s="29"/>
      <c r="S13" s="35">
        <v>0.99074074074074003</v>
      </c>
      <c r="T13" s="28">
        <v>100</v>
      </c>
      <c r="U13" s="36" t="s">
        <v>33</v>
      </c>
      <c r="V13" s="37" t="s">
        <v>33</v>
      </c>
      <c r="W13" s="28">
        <v>1</v>
      </c>
      <c r="X13" s="38">
        <f t="shared" si="9"/>
        <v>0.5</v>
      </c>
      <c r="Y13" s="39">
        <f t="shared" si="10"/>
        <v>21.419999999999998</v>
      </c>
      <c r="Z13" s="28">
        <v>0</v>
      </c>
      <c r="AA13" s="28" t="s">
        <v>34</v>
      </c>
      <c r="AB13" s="40">
        <f t="shared" si="11"/>
        <v>-0.69</v>
      </c>
      <c r="AC13" s="41">
        <v>1.2083333333333333E-2</v>
      </c>
      <c r="AD13" s="39">
        <f t="shared" si="12"/>
        <v>-3.3349999999999998E-2</v>
      </c>
      <c r="AE13" s="39">
        <v>-3.48</v>
      </c>
      <c r="AF13" s="39">
        <v>-1.2427999999999999</v>
      </c>
      <c r="AG13" s="39">
        <v>0</v>
      </c>
    </row>
    <row r="14" spans="1:33" ht="15.75" customHeight="1" x14ac:dyDescent="0.2">
      <c r="A14" s="28" t="s">
        <v>51</v>
      </c>
      <c r="B14" s="28" t="s">
        <v>174</v>
      </c>
      <c r="C14" s="15">
        <f t="shared" si="4"/>
        <v>6.38</v>
      </c>
      <c r="D14" s="29">
        <v>3</v>
      </c>
      <c r="E14" s="29">
        <v>0</v>
      </c>
      <c r="F14" s="32">
        <v>19.14</v>
      </c>
      <c r="G14" s="30">
        <v>0</v>
      </c>
      <c r="H14" s="31">
        <f t="shared" si="1"/>
        <v>0</v>
      </c>
      <c r="I14" s="31">
        <f t="shared" si="2"/>
        <v>0.10713557993730397</v>
      </c>
      <c r="J14" s="32">
        <f t="shared" si="5"/>
        <v>2.050574999999998</v>
      </c>
      <c r="K14" s="32">
        <f t="shared" si="3"/>
        <v>0.68352499999999938</v>
      </c>
      <c r="L14" s="29">
        <v>18</v>
      </c>
      <c r="M14" s="33">
        <f t="shared" si="6"/>
        <v>0.16666666666666666</v>
      </c>
      <c r="N14" s="29">
        <v>191</v>
      </c>
      <c r="O14" s="34">
        <f t="shared" ref="O14:P14" si="22">D14/7</f>
        <v>0.42857142857142855</v>
      </c>
      <c r="P14" s="34">
        <f t="shared" si="22"/>
        <v>0</v>
      </c>
      <c r="Q14" s="29">
        <f t="shared" si="8"/>
        <v>445</v>
      </c>
      <c r="R14" s="29"/>
      <c r="S14" s="35">
        <v>0.88188976377952699</v>
      </c>
      <c r="T14" s="28">
        <v>100</v>
      </c>
      <c r="U14" s="36" t="s">
        <v>33</v>
      </c>
      <c r="V14" s="37" t="s">
        <v>33</v>
      </c>
      <c r="W14" s="28">
        <v>0</v>
      </c>
      <c r="X14" s="38">
        <f t="shared" si="9"/>
        <v>0</v>
      </c>
      <c r="Y14" s="39">
        <f t="shared" si="10"/>
        <v>0</v>
      </c>
      <c r="Z14" s="28">
        <v>0</v>
      </c>
      <c r="AA14" s="28" t="s">
        <v>34</v>
      </c>
      <c r="AB14" s="40">
        <f t="shared" si="11"/>
        <v>-0.69</v>
      </c>
      <c r="AC14" s="41">
        <v>1.2083333333333333E-2</v>
      </c>
      <c r="AD14" s="39">
        <f t="shared" si="12"/>
        <v>-5.0025E-2</v>
      </c>
      <c r="AE14" s="39">
        <v>-3.48</v>
      </c>
      <c r="AF14" s="39">
        <v>-1.2427999999999999</v>
      </c>
      <c r="AG14" s="39">
        <v>0</v>
      </c>
    </row>
    <row r="15" spans="1:33" ht="15.75" customHeight="1" x14ac:dyDescent="0.2">
      <c r="A15" s="28" t="s">
        <v>53</v>
      </c>
      <c r="B15" s="28" t="s">
        <v>389</v>
      </c>
      <c r="C15" s="15">
        <f t="shared" si="4"/>
        <v>9.01</v>
      </c>
      <c r="D15" s="29">
        <v>1</v>
      </c>
      <c r="E15" s="29">
        <v>0</v>
      </c>
      <c r="F15" s="32">
        <v>9.01</v>
      </c>
      <c r="G15" s="30">
        <v>-0.2</v>
      </c>
      <c r="H15" s="31">
        <f t="shared" si="1"/>
        <v>2.2197558268590458E-2</v>
      </c>
      <c r="I15" s="31">
        <f t="shared" si="2"/>
        <v>0.30177857935627067</v>
      </c>
      <c r="J15" s="32">
        <f t="shared" si="5"/>
        <v>2.7190249999999989</v>
      </c>
      <c r="K15" s="32">
        <f t="shared" si="3"/>
        <v>2.7190249999999989</v>
      </c>
      <c r="L15" s="29">
        <v>10</v>
      </c>
      <c r="M15" s="33">
        <f t="shared" si="6"/>
        <v>0.1</v>
      </c>
      <c r="N15" s="29">
        <v>190</v>
      </c>
      <c r="O15" s="34">
        <f t="shared" ref="O15:P15" si="23">D15/7</f>
        <v>0.14285714285714285</v>
      </c>
      <c r="P15" s="34">
        <f t="shared" si="23"/>
        <v>0</v>
      </c>
      <c r="Q15" s="29">
        <f t="shared" si="8"/>
        <v>1330</v>
      </c>
      <c r="R15" s="29"/>
      <c r="S15" s="35">
        <v>0.96932515337423297</v>
      </c>
      <c r="T15" s="28">
        <v>100</v>
      </c>
      <c r="U15" s="36" t="s">
        <v>33</v>
      </c>
      <c r="V15" s="37" t="s">
        <v>33</v>
      </c>
      <c r="W15" s="28">
        <v>0</v>
      </c>
      <c r="X15" s="38">
        <f t="shared" si="9"/>
        <v>0</v>
      </c>
      <c r="Y15" s="39">
        <f t="shared" si="10"/>
        <v>0</v>
      </c>
      <c r="Z15" s="28">
        <v>0</v>
      </c>
      <c r="AA15" s="28" t="s">
        <v>34</v>
      </c>
      <c r="AB15" s="40">
        <f t="shared" si="11"/>
        <v>-0.69</v>
      </c>
      <c r="AC15" s="41">
        <v>1.2083333333333333E-2</v>
      </c>
      <c r="AD15" s="39">
        <f t="shared" si="12"/>
        <v>-1.6674999999999999E-2</v>
      </c>
      <c r="AE15" s="39">
        <v>-3.48</v>
      </c>
      <c r="AF15" s="39">
        <v>-1.2427999999999999</v>
      </c>
      <c r="AG15" s="39">
        <v>0</v>
      </c>
    </row>
    <row r="16" spans="1:33" ht="15.75" customHeight="1" x14ac:dyDescent="0.2">
      <c r="A16" s="28" t="s">
        <v>54</v>
      </c>
      <c r="B16" s="28" t="s">
        <v>47</v>
      </c>
      <c r="C16" s="15">
        <f t="shared" si="4"/>
        <v>7.2528571428571436</v>
      </c>
      <c r="D16" s="29">
        <v>7</v>
      </c>
      <c r="E16" s="29">
        <v>0</v>
      </c>
      <c r="F16" s="32">
        <v>50.77</v>
      </c>
      <c r="G16" s="30">
        <v>-3.79</v>
      </c>
      <c r="H16" s="31">
        <f t="shared" si="1"/>
        <v>7.4650384085089616E-2</v>
      </c>
      <c r="I16" s="31">
        <f t="shared" si="2"/>
        <v>0.12188644869017136</v>
      </c>
      <c r="J16" s="32">
        <f t="shared" si="5"/>
        <v>6.1881750000000002</v>
      </c>
      <c r="K16" s="32">
        <f t="shared" si="3"/>
        <v>0.88402500000000006</v>
      </c>
      <c r="L16" s="29">
        <v>14</v>
      </c>
      <c r="M16" s="33">
        <f t="shared" si="6"/>
        <v>0.5</v>
      </c>
      <c r="N16" s="29">
        <v>183</v>
      </c>
      <c r="O16" s="34">
        <f t="shared" ref="O16:P16" si="24">D16/7</f>
        <v>1</v>
      </c>
      <c r="P16" s="34">
        <f t="shared" si="24"/>
        <v>0</v>
      </c>
      <c r="Q16" s="29">
        <f t="shared" si="8"/>
        <v>183</v>
      </c>
      <c r="R16" s="29"/>
      <c r="S16" s="35">
        <v>1.0440251572327</v>
      </c>
      <c r="T16" s="28">
        <v>100</v>
      </c>
      <c r="U16" s="36" t="s">
        <v>33</v>
      </c>
      <c r="V16" s="37" t="s">
        <v>33</v>
      </c>
      <c r="W16" s="28">
        <v>0</v>
      </c>
      <c r="X16" s="38">
        <f t="shared" si="9"/>
        <v>0</v>
      </c>
      <c r="Y16" s="39">
        <f t="shared" si="10"/>
        <v>1.2633333333333334</v>
      </c>
      <c r="Z16" s="28">
        <v>3</v>
      </c>
      <c r="AA16" s="28" t="s">
        <v>34</v>
      </c>
      <c r="AB16" s="40">
        <f t="shared" si="11"/>
        <v>-0.69</v>
      </c>
      <c r="AC16" s="41">
        <v>1.2083333333333333E-2</v>
      </c>
      <c r="AD16" s="39">
        <f t="shared" si="12"/>
        <v>-0.116725</v>
      </c>
      <c r="AE16" s="39">
        <v>-3.48</v>
      </c>
      <c r="AF16" s="39">
        <v>-1.2427999999999999</v>
      </c>
      <c r="AG16" s="39">
        <v>0</v>
      </c>
    </row>
    <row r="17" spans="1:33" ht="15.75" customHeight="1" x14ac:dyDescent="0.2">
      <c r="A17" s="28" t="s">
        <v>55</v>
      </c>
      <c r="B17" s="28" t="s">
        <v>317</v>
      </c>
      <c r="C17" s="15">
        <f t="shared" si="4"/>
        <v>6.9922222222222228</v>
      </c>
      <c r="D17" s="29">
        <v>9</v>
      </c>
      <c r="E17" s="29">
        <v>0</v>
      </c>
      <c r="F17" s="32">
        <v>62.930000000000007</v>
      </c>
      <c r="G17" s="30">
        <v>-6.6</v>
      </c>
      <c r="H17" s="31">
        <f t="shared" si="1"/>
        <v>0.10487843635785792</v>
      </c>
      <c r="I17" s="31">
        <f t="shared" si="2"/>
        <v>6.7300572064198427E-2</v>
      </c>
      <c r="J17" s="32">
        <f t="shared" si="5"/>
        <v>4.2352250000000078</v>
      </c>
      <c r="K17" s="32">
        <f t="shared" si="3"/>
        <v>0.47058055555555645</v>
      </c>
      <c r="L17" s="29">
        <v>16</v>
      </c>
      <c r="M17" s="33">
        <f t="shared" si="6"/>
        <v>0.5625</v>
      </c>
      <c r="N17" s="29">
        <v>174</v>
      </c>
      <c r="O17" s="34">
        <f t="shared" ref="O17:P17" si="25">D17/7</f>
        <v>1.2857142857142858</v>
      </c>
      <c r="P17" s="34">
        <f t="shared" si="25"/>
        <v>0</v>
      </c>
      <c r="Q17" s="29">
        <f t="shared" si="8"/>
        <v>135</v>
      </c>
      <c r="R17" s="29"/>
      <c r="S17" s="35">
        <v>0.67282809611829897</v>
      </c>
      <c r="T17" s="28">
        <v>100</v>
      </c>
      <c r="U17" s="36" t="s">
        <v>33</v>
      </c>
      <c r="V17" s="37" t="s">
        <v>33</v>
      </c>
      <c r="W17" s="28">
        <v>1</v>
      </c>
      <c r="X17" s="38">
        <f t="shared" si="9"/>
        <v>0.1111111111111111</v>
      </c>
      <c r="Y17" s="39">
        <f t="shared" si="10"/>
        <v>6.6</v>
      </c>
      <c r="Z17" s="28">
        <v>0</v>
      </c>
      <c r="AA17" s="28" t="s">
        <v>34</v>
      </c>
      <c r="AB17" s="40">
        <f t="shared" si="11"/>
        <v>-0.69</v>
      </c>
      <c r="AC17" s="41">
        <v>1.2083333333333333E-2</v>
      </c>
      <c r="AD17" s="39">
        <f t="shared" si="12"/>
        <v>-0.15007499999999999</v>
      </c>
      <c r="AE17" s="39">
        <v>-3.48</v>
      </c>
      <c r="AF17" s="39">
        <v>-1.2427999999999999</v>
      </c>
      <c r="AG17" s="39">
        <v>0</v>
      </c>
    </row>
    <row r="18" spans="1:33" ht="15.75" customHeight="1" x14ac:dyDescent="0.2">
      <c r="A18" s="28" t="s">
        <v>56</v>
      </c>
      <c r="B18" s="28" t="s">
        <v>390</v>
      </c>
      <c r="C18" s="15" t="str">
        <f t="shared" si="4"/>
        <v xml:space="preserve"> - </v>
      </c>
      <c r="D18" s="29">
        <v>0</v>
      </c>
      <c r="E18" s="29">
        <v>0</v>
      </c>
      <c r="F18" s="32">
        <v>0</v>
      </c>
      <c r="G18" s="30">
        <v>-3</v>
      </c>
      <c r="H18" s="31" t="e">
        <f t="shared" si="1"/>
        <v>#DIV/0!</v>
      </c>
      <c r="I18" s="31" t="e">
        <f t="shared" si="2"/>
        <v>#DIV/0!</v>
      </c>
      <c r="J18" s="32">
        <f t="shared" si="5"/>
        <v>-3</v>
      </c>
      <c r="K18" s="32" t="e">
        <f t="shared" si="3"/>
        <v>#DIV/0!</v>
      </c>
      <c r="L18" s="29">
        <v>0</v>
      </c>
      <c r="M18" s="33" t="str">
        <f t="shared" si="6"/>
        <v>-</v>
      </c>
      <c r="N18" s="29">
        <v>174</v>
      </c>
      <c r="O18" s="34">
        <f t="shared" ref="O18:P18" si="26">D18/7</f>
        <v>0</v>
      </c>
      <c r="P18" s="34">
        <f t="shared" si="26"/>
        <v>0</v>
      </c>
      <c r="Q18" s="29" t="e">
        <f t="shared" si="8"/>
        <v>#DIV/0!</v>
      </c>
      <c r="R18" s="29"/>
      <c r="S18" s="35">
        <v>0.631178707224334</v>
      </c>
      <c r="T18" s="28">
        <v>100</v>
      </c>
      <c r="U18" s="36">
        <v>0</v>
      </c>
      <c r="V18" s="37" t="s">
        <v>391</v>
      </c>
      <c r="W18" s="28">
        <v>0</v>
      </c>
      <c r="X18" s="38">
        <f t="shared" si="9"/>
        <v>0</v>
      </c>
      <c r="Y18" s="39">
        <f t="shared" si="10"/>
        <v>3</v>
      </c>
      <c r="Z18" s="28">
        <v>1</v>
      </c>
      <c r="AA18" s="28" t="s">
        <v>34</v>
      </c>
      <c r="AB18" s="40">
        <f t="shared" si="11"/>
        <v>-0.69</v>
      </c>
      <c r="AC18" s="41">
        <v>1.2083333333333333E-2</v>
      </c>
      <c r="AD18" s="39">
        <f t="shared" si="12"/>
        <v>0</v>
      </c>
      <c r="AE18" s="39">
        <v>-3.48</v>
      </c>
      <c r="AF18" s="39">
        <v>-1.2427999999999999</v>
      </c>
      <c r="AG18" s="39">
        <v>0</v>
      </c>
    </row>
    <row r="19" spans="1:33" ht="15.75" customHeight="1" x14ac:dyDescent="0.2">
      <c r="A19" s="28" t="s">
        <v>57</v>
      </c>
      <c r="B19" s="28" t="s">
        <v>47</v>
      </c>
      <c r="C19" s="15">
        <f t="shared" si="4"/>
        <v>6.9900000000000011</v>
      </c>
      <c r="D19" s="29">
        <v>25</v>
      </c>
      <c r="E19" s="29">
        <v>0</v>
      </c>
      <c r="F19" s="32">
        <v>174.75000000000003</v>
      </c>
      <c r="G19" s="30">
        <v>0</v>
      </c>
      <c r="H19" s="31">
        <f t="shared" si="1"/>
        <v>0</v>
      </c>
      <c r="I19" s="31">
        <f t="shared" si="2"/>
        <v>0.16373748211731057</v>
      </c>
      <c r="J19" s="32">
        <f t="shared" si="5"/>
        <v>28.613125000000029</v>
      </c>
      <c r="K19" s="32">
        <f t="shared" si="3"/>
        <v>1.1445250000000011</v>
      </c>
      <c r="L19" s="29">
        <v>8</v>
      </c>
      <c r="M19" s="33">
        <f t="shared" si="6"/>
        <v>3.125</v>
      </c>
      <c r="N19" s="29">
        <v>151</v>
      </c>
      <c r="O19" s="34">
        <f t="shared" ref="O19:P19" si="27">D19/7</f>
        <v>3.5714285714285716</v>
      </c>
      <c r="P19" s="34">
        <f t="shared" si="27"/>
        <v>0</v>
      </c>
      <c r="Q19" s="29">
        <f t="shared" si="8"/>
        <v>42</v>
      </c>
      <c r="R19" s="29"/>
      <c r="S19" s="35">
        <v>0.5</v>
      </c>
      <c r="T19" s="28">
        <v>100</v>
      </c>
      <c r="U19" s="36">
        <v>100</v>
      </c>
      <c r="V19" s="37" t="s">
        <v>392</v>
      </c>
      <c r="W19" s="28">
        <v>0</v>
      </c>
      <c r="X19" s="38">
        <f t="shared" si="9"/>
        <v>0</v>
      </c>
      <c r="Y19" s="39">
        <f t="shared" si="10"/>
        <v>0</v>
      </c>
      <c r="Z19" s="28">
        <v>0</v>
      </c>
      <c r="AA19" s="28" t="s">
        <v>34</v>
      </c>
      <c r="AB19" s="40">
        <f t="shared" si="11"/>
        <v>-0.69</v>
      </c>
      <c r="AC19" s="41">
        <v>1.2083333333333333E-2</v>
      </c>
      <c r="AD19" s="39">
        <f t="shared" si="12"/>
        <v>-0.416875</v>
      </c>
      <c r="AE19" s="39">
        <v>-3.48</v>
      </c>
      <c r="AF19" s="39">
        <v>-1.3003</v>
      </c>
      <c r="AG19" s="39">
        <v>0</v>
      </c>
    </row>
    <row r="20" spans="1:33" ht="15.75" customHeight="1" x14ac:dyDescent="0.2">
      <c r="A20" s="28" t="s">
        <v>58</v>
      </c>
      <c r="B20" s="28" t="s">
        <v>393</v>
      </c>
      <c r="C20" s="15">
        <f t="shared" si="4"/>
        <v>6.9900000000000011</v>
      </c>
      <c r="D20" s="29">
        <v>6</v>
      </c>
      <c r="E20" s="29">
        <v>0</v>
      </c>
      <c r="F20" s="32">
        <v>41.940000000000005</v>
      </c>
      <c r="G20" s="30">
        <v>-0.08</v>
      </c>
      <c r="H20" s="31">
        <f t="shared" si="1"/>
        <v>1.9074868860276585E-3</v>
      </c>
      <c r="I20" s="31">
        <f t="shared" si="2"/>
        <v>0.16182999523128283</v>
      </c>
      <c r="J20" s="32">
        <f t="shared" si="5"/>
        <v>6.7871500000000031</v>
      </c>
      <c r="K20" s="32">
        <f t="shared" si="3"/>
        <v>1.1311916666666673</v>
      </c>
      <c r="L20" s="29">
        <v>16</v>
      </c>
      <c r="M20" s="33">
        <f t="shared" si="6"/>
        <v>0.375</v>
      </c>
      <c r="N20" s="29">
        <v>144</v>
      </c>
      <c r="O20" s="34">
        <f t="shared" ref="O20:P20" si="28">D20/7</f>
        <v>0.8571428571428571</v>
      </c>
      <c r="P20" s="34">
        <f t="shared" si="28"/>
        <v>0</v>
      </c>
      <c r="Q20" s="29">
        <f t="shared" si="8"/>
        <v>168</v>
      </c>
      <c r="R20" s="29"/>
      <c r="S20" s="35">
        <v>0.77725118483412303</v>
      </c>
      <c r="T20" s="28">
        <v>100</v>
      </c>
      <c r="U20" s="36">
        <v>100</v>
      </c>
      <c r="V20" s="37" t="s">
        <v>394</v>
      </c>
      <c r="W20" s="28">
        <v>0</v>
      </c>
      <c r="X20" s="38">
        <f t="shared" si="9"/>
        <v>0</v>
      </c>
      <c r="Y20" s="39">
        <f t="shared" si="10"/>
        <v>0</v>
      </c>
      <c r="Z20" s="28">
        <v>0</v>
      </c>
      <c r="AA20" s="28" t="s">
        <v>34</v>
      </c>
      <c r="AB20" s="40">
        <f t="shared" si="11"/>
        <v>-0.69</v>
      </c>
      <c r="AC20" s="41">
        <v>1.2083333333333333E-2</v>
      </c>
      <c r="AD20" s="39">
        <f t="shared" si="12"/>
        <v>-0.10005</v>
      </c>
      <c r="AE20" s="39">
        <v>-3.48</v>
      </c>
      <c r="AF20" s="39">
        <v>-1.3003</v>
      </c>
      <c r="AG20" s="39">
        <v>0</v>
      </c>
    </row>
    <row r="21" spans="1:33" ht="15.75" customHeight="1" x14ac:dyDescent="0.2">
      <c r="A21" s="28" t="s">
        <v>59</v>
      </c>
      <c r="B21" s="28" t="s">
        <v>47</v>
      </c>
      <c r="C21" s="15">
        <f t="shared" si="4"/>
        <v>7.99</v>
      </c>
      <c r="D21" s="29">
        <v>13</v>
      </c>
      <c r="E21" s="29">
        <v>0</v>
      </c>
      <c r="F21" s="32">
        <v>103.87</v>
      </c>
      <c r="G21" s="30">
        <v>0</v>
      </c>
      <c r="H21" s="31">
        <f t="shared" si="1"/>
        <v>0</v>
      </c>
      <c r="I21" s="31">
        <f t="shared" si="2"/>
        <v>0.24962765957446817</v>
      </c>
      <c r="J21" s="32">
        <f t="shared" si="5"/>
        <v>25.92882500000001</v>
      </c>
      <c r="K21" s="32">
        <f t="shared" si="3"/>
        <v>1.9945250000000008</v>
      </c>
      <c r="L21" s="29">
        <v>7</v>
      </c>
      <c r="M21" s="33">
        <f t="shared" si="6"/>
        <v>1.8571428571428572</v>
      </c>
      <c r="N21" s="29">
        <v>131</v>
      </c>
      <c r="O21" s="34">
        <f t="shared" ref="O21:P21" si="29">D21/7</f>
        <v>1.8571428571428572</v>
      </c>
      <c r="P21" s="34">
        <f t="shared" si="29"/>
        <v>0</v>
      </c>
      <c r="Q21" s="29">
        <f t="shared" si="8"/>
        <v>70</v>
      </c>
      <c r="R21" s="29"/>
      <c r="S21" s="35">
        <v>0.60759493670886</v>
      </c>
      <c r="T21" s="28">
        <v>100</v>
      </c>
      <c r="U21" s="36">
        <v>100</v>
      </c>
      <c r="V21" s="37" t="s">
        <v>395</v>
      </c>
      <c r="W21" s="28">
        <v>0</v>
      </c>
      <c r="X21" s="38">
        <f t="shared" si="9"/>
        <v>0</v>
      </c>
      <c r="Y21" s="39">
        <f t="shared" si="10"/>
        <v>0</v>
      </c>
      <c r="Z21" s="28">
        <v>0</v>
      </c>
      <c r="AA21" s="28" t="s">
        <v>34</v>
      </c>
      <c r="AB21" s="40">
        <f t="shared" si="11"/>
        <v>-0.69</v>
      </c>
      <c r="AC21" s="41">
        <v>1.2083333333333333E-2</v>
      </c>
      <c r="AD21" s="39">
        <f t="shared" si="12"/>
        <v>-0.216775</v>
      </c>
      <c r="AE21" s="39">
        <v>-3.48</v>
      </c>
      <c r="AF21" s="39">
        <v>-1.3003</v>
      </c>
      <c r="AG21" s="39">
        <v>0</v>
      </c>
    </row>
    <row r="22" spans="1:33" ht="15.75" customHeight="1" x14ac:dyDescent="0.2">
      <c r="A22" s="28" t="s">
        <v>60</v>
      </c>
      <c r="B22" s="28" t="s">
        <v>396</v>
      </c>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131</v>
      </c>
      <c r="O22" s="34">
        <f t="shared" ref="O22:P22" si="30">D22/7</f>
        <v>0</v>
      </c>
      <c r="P22" s="34">
        <f t="shared" si="30"/>
        <v>0</v>
      </c>
      <c r="Q22" s="29" t="e">
        <f t="shared" si="8"/>
        <v>#DIV/0!</v>
      </c>
      <c r="R22" s="29"/>
      <c r="S22" s="35">
        <v>0.60509554140127297</v>
      </c>
      <c r="T22" s="28">
        <v>175</v>
      </c>
      <c r="U22" s="36">
        <v>100</v>
      </c>
      <c r="V22" s="37" t="s">
        <v>395</v>
      </c>
      <c r="W22" s="28">
        <v>0</v>
      </c>
      <c r="X22" s="38">
        <f t="shared" si="9"/>
        <v>0</v>
      </c>
      <c r="Y22" s="39">
        <f t="shared" si="10"/>
        <v>0</v>
      </c>
      <c r="Z22" s="28">
        <v>0</v>
      </c>
      <c r="AA22" s="28" t="s">
        <v>34</v>
      </c>
      <c r="AB22" s="40">
        <f t="shared" si="11"/>
        <v>-0.69</v>
      </c>
      <c r="AC22" s="41">
        <v>1.2083333333333333E-2</v>
      </c>
      <c r="AD22" s="39">
        <f t="shared" si="12"/>
        <v>0</v>
      </c>
      <c r="AE22" s="39">
        <v>-3.48</v>
      </c>
      <c r="AF22" s="39">
        <v>-1.3003</v>
      </c>
      <c r="AG22" s="39">
        <v>0</v>
      </c>
    </row>
    <row r="23" spans="1:33" ht="15.75" customHeight="1" x14ac:dyDescent="0.2">
      <c r="A23" s="28" t="s">
        <v>62</v>
      </c>
      <c r="B23" s="28" t="s">
        <v>397</v>
      </c>
      <c r="C23" s="15">
        <f t="shared" si="4"/>
        <v>7.9200000000000008</v>
      </c>
      <c r="D23" s="29">
        <v>3</v>
      </c>
      <c r="E23" s="29">
        <v>0</v>
      </c>
      <c r="F23" s="32">
        <v>23.76</v>
      </c>
      <c r="G23" s="30">
        <v>0</v>
      </c>
      <c r="H23" s="31">
        <f t="shared" si="1"/>
        <v>0</v>
      </c>
      <c r="I23" s="31">
        <f t="shared" si="2"/>
        <v>0.24432133838383846</v>
      </c>
      <c r="J23" s="32">
        <f t="shared" si="5"/>
        <v>5.8050750000000022</v>
      </c>
      <c r="K23" s="32">
        <f t="shared" si="3"/>
        <v>1.9350250000000007</v>
      </c>
      <c r="L23" s="29">
        <v>10</v>
      </c>
      <c r="M23" s="33">
        <f t="shared" si="6"/>
        <v>0.3</v>
      </c>
      <c r="N23" s="29">
        <v>129</v>
      </c>
      <c r="O23" s="34">
        <f t="shared" ref="O23:P23" si="31">D23/7</f>
        <v>0.42857142857142855</v>
      </c>
      <c r="P23" s="34">
        <f t="shared" si="31"/>
        <v>0</v>
      </c>
      <c r="Q23" s="29">
        <f t="shared" si="8"/>
        <v>301</v>
      </c>
      <c r="R23" s="29"/>
      <c r="S23" s="35">
        <v>0.6</v>
      </c>
      <c r="T23" s="28">
        <v>175</v>
      </c>
      <c r="U23" s="36">
        <v>100</v>
      </c>
      <c r="V23" s="37" t="s">
        <v>395</v>
      </c>
      <c r="W23" s="28">
        <v>0</v>
      </c>
      <c r="X23" s="38">
        <f t="shared" si="9"/>
        <v>0</v>
      </c>
      <c r="Y23" s="39">
        <f t="shared" si="10"/>
        <v>0</v>
      </c>
      <c r="Z23" s="28">
        <v>0</v>
      </c>
      <c r="AA23" s="28" t="s">
        <v>34</v>
      </c>
      <c r="AB23" s="40">
        <f t="shared" si="11"/>
        <v>-0.69</v>
      </c>
      <c r="AC23" s="41">
        <v>1.2083333333333333E-2</v>
      </c>
      <c r="AD23" s="39">
        <f t="shared" si="12"/>
        <v>-5.0025E-2</v>
      </c>
      <c r="AE23" s="39">
        <v>-3.48</v>
      </c>
      <c r="AF23" s="39">
        <v>-1.3003</v>
      </c>
      <c r="AG23" s="39">
        <v>0</v>
      </c>
    </row>
    <row r="24" spans="1:33" ht="15.75" customHeight="1" x14ac:dyDescent="0.2">
      <c r="A24" s="28" t="s">
        <v>64</v>
      </c>
      <c r="B24" s="28"/>
      <c r="C24" s="15" t="str">
        <f t="shared" si="4"/>
        <v xml:space="preserve"> - </v>
      </c>
      <c r="D24" s="29">
        <v>0</v>
      </c>
      <c r="E24" s="29">
        <v>0</v>
      </c>
      <c r="F24" s="32">
        <v>0</v>
      </c>
      <c r="G24" s="32">
        <v>-0.24</v>
      </c>
      <c r="H24" s="31" t="e">
        <f t="shared" si="1"/>
        <v>#DIV/0!</v>
      </c>
      <c r="I24" s="31" t="e">
        <f t="shared" si="2"/>
        <v>#DIV/0!</v>
      </c>
      <c r="J24" s="32">
        <f t="shared" si="5"/>
        <v>-0.24</v>
      </c>
      <c r="K24" s="32" t="e">
        <f t="shared" si="3"/>
        <v>#DIV/0!</v>
      </c>
      <c r="L24" s="29">
        <v>0</v>
      </c>
      <c r="M24" s="33" t="str">
        <f t="shared" si="6"/>
        <v>-</v>
      </c>
      <c r="N24" s="29">
        <v>129</v>
      </c>
      <c r="O24" s="34">
        <f t="shared" ref="O24:P24" si="32">D24/7</f>
        <v>0</v>
      </c>
      <c r="P24" s="34">
        <f t="shared" si="32"/>
        <v>0</v>
      </c>
      <c r="Q24" s="29" t="e">
        <f t="shared" si="8"/>
        <v>#DIV/0!</v>
      </c>
      <c r="R24" s="29"/>
      <c r="S24" s="35">
        <v>0.611510791366906</v>
      </c>
      <c r="T24" s="28">
        <v>175</v>
      </c>
      <c r="U24" s="36">
        <v>100</v>
      </c>
      <c r="V24" s="37" t="s">
        <v>398</v>
      </c>
      <c r="W24" s="28">
        <v>0</v>
      </c>
      <c r="X24" s="38">
        <f t="shared" si="9"/>
        <v>0</v>
      </c>
      <c r="Y24" s="39">
        <f t="shared" si="10"/>
        <v>0</v>
      </c>
      <c r="Z24" s="28">
        <v>0</v>
      </c>
      <c r="AA24" s="28" t="s">
        <v>34</v>
      </c>
      <c r="AB24" s="40">
        <f t="shared" si="11"/>
        <v>-0.69</v>
      </c>
      <c r="AC24" s="41">
        <v>1.2083333333333333E-2</v>
      </c>
      <c r="AD24" s="39">
        <f t="shared" si="12"/>
        <v>0</v>
      </c>
      <c r="AE24" s="39">
        <v>-3.48</v>
      </c>
      <c r="AF24" s="39">
        <v>-1.3003</v>
      </c>
      <c r="AG24" s="39">
        <v>0</v>
      </c>
    </row>
    <row r="25" spans="1:33" ht="15.75" customHeight="1" x14ac:dyDescent="0.2">
      <c r="A25" s="28" t="s">
        <v>65</v>
      </c>
      <c r="B25" s="14" t="s">
        <v>178</v>
      </c>
      <c r="C25" s="15">
        <f t="shared" si="4"/>
        <v>7.08</v>
      </c>
      <c r="D25" s="29">
        <v>10</v>
      </c>
      <c r="E25" s="29">
        <v>0</v>
      </c>
      <c r="F25" s="32">
        <v>70.8</v>
      </c>
      <c r="G25" s="32">
        <v>0</v>
      </c>
      <c r="H25" s="31">
        <f t="shared" si="1"/>
        <v>0</v>
      </c>
      <c r="I25" s="31">
        <f t="shared" si="2"/>
        <v>0.17250353107344626</v>
      </c>
      <c r="J25" s="32">
        <f t="shared" si="5"/>
        <v>12.213249999999995</v>
      </c>
      <c r="K25" s="32">
        <f t="shared" si="3"/>
        <v>1.2213249999999995</v>
      </c>
      <c r="L25" s="29">
        <v>8</v>
      </c>
      <c r="M25" s="33">
        <f t="shared" si="6"/>
        <v>1.25</v>
      </c>
      <c r="N25" s="29">
        <v>119</v>
      </c>
      <c r="O25" s="34">
        <f t="shared" ref="O25:P25" si="33">D25/7</f>
        <v>1.4285714285714286</v>
      </c>
      <c r="P25" s="34">
        <f t="shared" si="33"/>
        <v>0</v>
      </c>
      <c r="Q25" s="29">
        <f t="shared" si="8"/>
        <v>83</v>
      </c>
      <c r="R25" s="29"/>
      <c r="S25" s="35">
        <v>0.5374280230326296</v>
      </c>
      <c r="T25" s="28">
        <v>175</v>
      </c>
      <c r="U25" s="36">
        <v>100</v>
      </c>
      <c r="V25" s="37" t="s">
        <v>399</v>
      </c>
      <c r="W25" s="14">
        <v>0</v>
      </c>
      <c r="X25" s="38">
        <f t="shared" si="9"/>
        <v>0</v>
      </c>
      <c r="Y25" s="39">
        <f t="shared" si="10"/>
        <v>0</v>
      </c>
      <c r="Z25" s="14">
        <v>0</v>
      </c>
      <c r="AA25" s="28" t="s">
        <v>34</v>
      </c>
      <c r="AB25" s="40">
        <f t="shared" si="11"/>
        <v>-0.69</v>
      </c>
      <c r="AC25" s="41">
        <v>1.2083333333333333E-2</v>
      </c>
      <c r="AD25" s="39">
        <f t="shared" si="12"/>
        <v>-0.16674999999999998</v>
      </c>
      <c r="AE25" s="39">
        <v>-3.48</v>
      </c>
      <c r="AF25" s="39">
        <v>-1.3</v>
      </c>
      <c r="AG25" s="39">
        <v>0</v>
      </c>
    </row>
    <row r="26" spans="1:33" ht="15.75" customHeight="1" x14ac:dyDescent="0.2">
      <c r="A26" s="14" t="s">
        <v>67</v>
      </c>
      <c r="B26" s="14" t="s">
        <v>400</v>
      </c>
      <c r="C26" s="15">
        <f t="shared" si="4"/>
        <v>7.08</v>
      </c>
      <c r="D26" s="16">
        <v>1</v>
      </c>
      <c r="E26" s="16">
        <v>1</v>
      </c>
      <c r="F26" s="17">
        <v>7.08</v>
      </c>
      <c r="G26" s="17">
        <v>-0.08</v>
      </c>
      <c r="H26" s="31">
        <f t="shared" si="1"/>
        <v>1.1299435028248588E-2</v>
      </c>
      <c r="I26" s="31">
        <f t="shared" si="2"/>
        <v>0.13790748587570612</v>
      </c>
      <c r="J26" s="32">
        <f t="shared" si="5"/>
        <v>0.97638499999999939</v>
      </c>
      <c r="K26" s="32">
        <f t="shared" si="3"/>
        <v>0.97638499999999939</v>
      </c>
      <c r="L26" s="16">
        <v>4</v>
      </c>
      <c r="M26" s="33">
        <f t="shared" si="6"/>
        <v>0.25</v>
      </c>
      <c r="N26" s="16">
        <v>118</v>
      </c>
      <c r="O26" s="34">
        <f t="shared" ref="O26:P26" si="34">D26/7</f>
        <v>0.14285714285714285</v>
      </c>
      <c r="P26" s="34">
        <f t="shared" si="34"/>
        <v>0.14285714285714285</v>
      </c>
      <c r="Q26" s="29">
        <f t="shared" si="8"/>
        <v>413</v>
      </c>
      <c r="R26" s="29"/>
      <c r="S26" s="21">
        <v>0.48148148148148151</v>
      </c>
      <c r="T26" s="28">
        <v>75</v>
      </c>
      <c r="U26" s="36" t="s">
        <v>33</v>
      </c>
      <c r="V26" s="37" t="s">
        <v>33</v>
      </c>
      <c r="W26" s="14">
        <v>0</v>
      </c>
      <c r="X26" s="38">
        <f t="shared" si="9"/>
        <v>0</v>
      </c>
      <c r="Y26" s="39">
        <f t="shared" si="10"/>
        <v>0</v>
      </c>
      <c r="Z26" s="14">
        <v>0</v>
      </c>
      <c r="AA26" s="28" t="s">
        <v>34</v>
      </c>
      <c r="AB26" s="40">
        <f t="shared" si="11"/>
        <v>-0.69</v>
      </c>
      <c r="AC26" s="41">
        <v>1.2083333333333333E-2</v>
      </c>
      <c r="AD26" s="39">
        <f t="shared" si="12"/>
        <v>-1.6674999999999999E-2</v>
      </c>
      <c r="AE26" s="25">
        <v>-3.64</v>
      </c>
      <c r="AF26" s="25">
        <v>-1.30494</v>
      </c>
      <c r="AG26" s="25">
        <v>0</v>
      </c>
    </row>
    <row r="27" spans="1:33" ht="15.75" customHeight="1" x14ac:dyDescent="0.2">
      <c r="A27" s="14" t="s">
        <v>69</v>
      </c>
      <c r="B27" s="14" t="s">
        <v>401</v>
      </c>
      <c r="C27" s="15">
        <f t="shared" si="4"/>
        <v>7.99</v>
      </c>
      <c r="D27" s="16">
        <v>2</v>
      </c>
      <c r="E27" s="16">
        <v>0</v>
      </c>
      <c r="F27" s="17">
        <v>15.98</v>
      </c>
      <c r="G27" s="17">
        <v>-0.08</v>
      </c>
      <c r="H27" s="31">
        <f t="shared" si="1"/>
        <v>5.0062578222778474E-3</v>
      </c>
      <c r="I27" s="31">
        <f t="shared" si="2"/>
        <v>0.20036107634543174</v>
      </c>
      <c r="J27" s="32">
        <f t="shared" si="5"/>
        <v>3.2017699999999993</v>
      </c>
      <c r="K27" s="32">
        <f t="shared" si="3"/>
        <v>1.6008849999999997</v>
      </c>
      <c r="L27" s="16">
        <v>8</v>
      </c>
      <c r="M27" s="33">
        <f t="shared" si="6"/>
        <v>0.25</v>
      </c>
      <c r="N27" s="16">
        <v>216</v>
      </c>
      <c r="O27" s="34">
        <f t="shared" ref="O27:P27" si="35">D27/7</f>
        <v>0.2857142857142857</v>
      </c>
      <c r="P27" s="34">
        <f t="shared" si="35"/>
        <v>0</v>
      </c>
      <c r="Q27" s="29">
        <f t="shared" si="8"/>
        <v>756</v>
      </c>
      <c r="R27" s="29"/>
      <c r="S27" s="21">
        <v>0.42219215155615702</v>
      </c>
      <c r="T27" s="28">
        <v>75</v>
      </c>
      <c r="U27" s="36" t="s">
        <v>33</v>
      </c>
      <c r="V27" s="37" t="s">
        <v>33</v>
      </c>
      <c r="W27" s="14">
        <v>0</v>
      </c>
      <c r="X27" s="38">
        <f t="shared" si="9"/>
        <v>0</v>
      </c>
      <c r="Y27" s="39">
        <f t="shared" si="10"/>
        <v>0</v>
      </c>
      <c r="Z27" s="14">
        <v>0</v>
      </c>
      <c r="AA27" s="28" t="s">
        <v>34</v>
      </c>
      <c r="AB27" s="40">
        <f t="shared" si="11"/>
        <v>-0.69</v>
      </c>
      <c r="AC27" s="41">
        <v>1.2083333333333333E-2</v>
      </c>
      <c r="AD27" s="39">
        <f t="shared" si="12"/>
        <v>-3.3349999999999998E-2</v>
      </c>
      <c r="AE27" s="25">
        <v>-3.64</v>
      </c>
      <c r="AF27" s="25">
        <v>-1.49394</v>
      </c>
      <c r="AG27" s="25">
        <v>0</v>
      </c>
    </row>
    <row r="28" spans="1:33" ht="15.75" customHeight="1" x14ac:dyDescent="0.2">
      <c r="A28" s="14" t="s">
        <v>71</v>
      </c>
      <c r="B28" s="14" t="s">
        <v>47</v>
      </c>
      <c r="C28" s="15">
        <f t="shared" si="4"/>
        <v>6.6566666666666663</v>
      </c>
      <c r="D28" s="16">
        <v>3</v>
      </c>
      <c r="E28" s="16">
        <v>0</v>
      </c>
      <c r="F28" s="17">
        <v>19.97</v>
      </c>
      <c r="G28" s="17">
        <v>-0.11</v>
      </c>
      <c r="H28" s="31">
        <f t="shared" si="1"/>
        <v>5.5082623935903859E-3</v>
      </c>
      <c r="I28" s="31">
        <f t="shared" si="2"/>
        <v>7.0738858287431178E-2</v>
      </c>
      <c r="J28" s="32">
        <f t="shared" si="5"/>
        <v>1.4126550000000007</v>
      </c>
      <c r="K28" s="32">
        <f t="shared" si="3"/>
        <v>0.47088500000000022</v>
      </c>
      <c r="L28" s="16">
        <v>10</v>
      </c>
      <c r="M28" s="33">
        <f t="shared" si="6"/>
        <v>0.3</v>
      </c>
      <c r="N28" s="16">
        <v>213</v>
      </c>
      <c r="O28" s="34">
        <f t="shared" ref="O28:P28" si="36">D28/7</f>
        <v>0.42857142857142855</v>
      </c>
      <c r="P28" s="34">
        <f t="shared" si="36"/>
        <v>0</v>
      </c>
      <c r="Q28" s="29">
        <f t="shared" si="8"/>
        <v>497</v>
      </c>
      <c r="R28" s="29"/>
      <c r="S28" s="21">
        <v>0.44569816643159382</v>
      </c>
      <c r="T28" s="28">
        <v>75</v>
      </c>
      <c r="U28" s="36" t="s">
        <v>33</v>
      </c>
      <c r="V28" s="37" t="s">
        <v>33</v>
      </c>
      <c r="W28" s="14">
        <v>0</v>
      </c>
      <c r="X28" s="38">
        <f t="shared" si="9"/>
        <v>0</v>
      </c>
      <c r="Y28" s="39">
        <f t="shared" si="10"/>
        <v>0</v>
      </c>
      <c r="Z28" s="14">
        <v>0</v>
      </c>
      <c r="AA28" s="28" t="s">
        <v>34</v>
      </c>
      <c r="AB28" s="40">
        <f t="shared" si="11"/>
        <v>-0.69</v>
      </c>
      <c r="AC28" s="41">
        <v>1.2083333333333333E-2</v>
      </c>
      <c r="AD28" s="39">
        <f t="shared" si="12"/>
        <v>-5.0025E-2</v>
      </c>
      <c r="AE28" s="25">
        <v>-3.64</v>
      </c>
      <c r="AF28" s="25">
        <v>-1.49394</v>
      </c>
      <c r="AG28" s="25">
        <v>0</v>
      </c>
    </row>
    <row r="29" spans="1:33" ht="15.75" customHeight="1" x14ac:dyDescent="0.2">
      <c r="A29" s="28" t="s">
        <v>72</v>
      </c>
      <c r="B29" s="28" t="s">
        <v>402</v>
      </c>
      <c r="C29" s="15">
        <f t="shared" si="4"/>
        <v>5.99</v>
      </c>
      <c r="D29" s="29">
        <v>26</v>
      </c>
      <c r="E29" s="29">
        <v>1</v>
      </c>
      <c r="F29" s="32">
        <v>155.74</v>
      </c>
      <c r="G29" s="32">
        <v>0</v>
      </c>
      <c r="H29" s="31">
        <f t="shared" si="1"/>
        <v>0</v>
      </c>
      <c r="I29" s="31">
        <f t="shared" si="2"/>
        <v>-9.8689482470785943E-3</v>
      </c>
      <c r="J29" s="32">
        <f t="shared" si="5"/>
        <v>-1.5369900000000203</v>
      </c>
      <c r="K29" s="32">
        <f t="shared" si="3"/>
        <v>-5.9115000000000778E-2</v>
      </c>
      <c r="L29" s="29">
        <v>15</v>
      </c>
      <c r="M29" s="33">
        <f t="shared" si="6"/>
        <v>1.7333333333333334</v>
      </c>
      <c r="N29" s="16">
        <v>186</v>
      </c>
      <c r="O29" s="34">
        <f t="shared" ref="O29:P29" si="37">D29/7</f>
        <v>3.7142857142857144</v>
      </c>
      <c r="P29" s="34">
        <f t="shared" si="37"/>
        <v>0.14285714285714285</v>
      </c>
      <c r="Q29" s="29">
        <f t="shared" si="8"/>
        <v>48</v>
      </c>
      <c r="R29" s="29"/>
      <c r="S29" s="21">
        <v>0.47024673439767778</v>
      </c>
      <c r="T29" s="28">
        <v>75</v>
      </c>
      <c r="U29" s="36" t="s">
        <v>33</v>
      </c>
      <c r="V29" s="37" t="s">
        <v>33</v>
      </c>
      <c r="W29" s="14">
        <v>0</v>
      </c>
      <c r="X29" s="38">
        <f t="shared" si="9"/>
        <v>0</v>
      </c>
      <c r="Y29" s="39">
        <f t="shared" si="10"/>
        <v>0</v>
      </c>
      <c r="Z29" s="14">
        <v>0</v>
      </c>
      <c r="AA29" s="28" t="s">
        <v>34</v>
      </c>
      <c r="AB29" s="40">
        <f t="shared" si="11"/>
        <v>-0.69</v>
      </c>
      <c r="AC29" s="41">
        <v>1.2083333333333333E-2</v>
      </c>
      <c r="AD29" s="39">
        <f t="shared" si="12"/>
        <v>-0.43354999999999999</v>
      </c>
      <c r="AE29" s="39">
        <v>-3.64</v>
      </c>
      <c r="AF29" s="25">
        <v>-1.49394</v>
      </c>
      <c r="AG29" s="39">
        <v>0</v>
      </c>
    </row>
    <row r="30" spans="1:33" ht="15.75" customHeight="1" x14ac:dyDescent="0.2">
      <c r="A30" s="14" t="s">
        <v>74</v>
      </c>
      <c r="B30" s="14" t="s">
        <v>47</v>
      </c>
      <c r="C30" s="15">
        <f t="shared" si="4"/>
        <v>5.9899999999999993</v>
      </c>
      <c r="D30" s="16">
        <v>23</v>
      </c>
      <c r="E30" s="16">
        <v>0</v>
      </c>
      <c r="F30" s="17">
        <v>137.76999999999998</v>
      </c>
      <c r="G30" s="17">
        <v>-0.08</v>
      </c>
      <c r="H30" s="31">
        <f t="shared" si="1"/>
        <v>5.8067794149669748E-4</v>
      </c>
      <c r="I30" s="31">
        <f t="shared" si="2"/>
        <v>-7.6133912904116459E-3</v>
      </c>
      <c r="J30" s="32">
        <f t="shared" si="5"/>
        <v>-1.0488969180800123</v>
      </c>
      <c r="K30" s="32">
        <f t="shared" si="3"/>
        <v>-4.5604213829565754E-2</v>
      </c>
      <c r="L30" s="16">
        <v>8</v>
      </c>
      <c r="M30" s="33">
        <f t="shared" si="6"/>
        <v>2.875</v>
      </c>
      <c r="N30" s="16">
        <v>163</v>
      </c>
      <c r="O30" s="34">
        <f t="shared" ref="O30:P30" si="38">D30/7</f>
        <v>3.2857142857142856</v>
      </c>
      <c r="P30" s="34">
        <f t="shared" si="38"/>
        <v>0</v>
      </c>
      <c r="Q30" s="29">
        <f t="shared" si="8"/>
        <v>49</v>
      </c>
      <c r="R30" s="29"/>
      <c r="S30" s="21">
        <v>0.43582089552238812</v>
      </c>
      <c r="T30" s="28">
        <v>75</v>
      </c>
      <c r="U30" s="36" t="s">
        <v>33</v>
      </c>
      <c r="V30" s="37" t="s">
        <v>33</v>
      </c>
      <c r="W30" s="14">
        <v>0</v>
      </c>
      <c r="X30" s="38">
        <f t="shared" si="9"/>
        <v>0</v>
      </c>
      <c r="Y30" s="39">
        <f t="shared" si="10"/>
        <v>0</v>
      </c>
      <c r="Z30" s="14">
        <v>0</v>
      </c>
      <c r="AA30" s="28" t="s">
        <v>34</v>
      </c>
      <c r="AB30" s="40">
        <f t="shared" si="11"/>
        <v>-0.69</v>
      </c>
      <c r="AC30" s="41">
        <v>1.2083333333333333E-2</v>
      </c>
      <c r="AD30" s="39">
        <f t="shared" si="12"/>
        <v>-0.38352499999999995</v>
      </c>
      <c r="AE30" s="25">
        <v>-3.64</v>
      </c>
      <c r="AF30" s="25">
        <v>-1.47695095296</v>
      </c>
      <c r="AG30" s="25">
        <v>0</v>
      </c>
    </row>
    <row r="31" spans="1:33" ht="15.75" customHeight="1" x14ac:dyDescent="0.2">
      <c r="A31" s="14" t="s">
        <v>75</v>
      </c>
      <c r="B31" s="14"/>
      <c r="C31" s="15">
        <f t="shared" si="4"/>
        <v>5.99</v>
      </c>
      <c r="D31" s="16">
        <v>4</v>
      </c>
      <c r="E31" s="16">
        <v>0</v>
      </c>
      <c r="F31" s="17">
        <v>23.96</v>
      </c>
      <c r="G31" s="42">
        <v>0</v>
      </c>
      <c r="H31" s="31">
        <f t="shared" si="1"/>
        <v>0</v>
      </c>
      <c r="I31" s="31">
        <f t="shared" si="2"/>
        <v>-7.0327133489149303E-3</v>
      </c>
      <c r="J31" s="32">
        <f t="shared" si="5"/>
        <v>-0.16850381184000174</v>
      </c>
      <c r="K31" s="32">
        <f t="shared" si="3"/>
        <v>-4.2125952960000435E-2</v>
      </c>
      <c r="L31" s="16">
        <v>23</v>
      </c>
      <c r="M31" s="33">
        <f t="shared" si="6"/>
        <v>0.17391304347826086</v>
      </c>
      <c r="N31" s="16">
        <v>159</v>
      </c>
      <c r="O31" s="34">
        <f t="shared" ref="O31:P32" si="39">D31/7</f>
        <v>0.5714285714285714</v>
      </c>
      <c r="P31" s="34">
        <f t="shared" si="39"/>
        <v>0</v>
      </c>
      <c r="Q31" s="29">
        <f t="shared" si="8"/>
        <v>278</v>
      </c>
      <c r="R31" s="29"/>
      <c r="S31" s="21">
        <v>0.75409836065573699</v>
      </c>
      <c r="T31" s="14">
        <v>75</v>
      </c>
      <c r="U31" s="22" t="s">
        <v>33</v>
      </c>
      <c r="V31" s="1" t="s">
        <v>958</v>
      </c>
      <c r="W31" s="14">
        <v>0</v>
      </c>
      <c r="X31" s="38">
        <f t="shared" si="9"/>
        <v>0</v>
      </c>
      <c r="Y31" s="39">
        <f t="shared" si="10"/>
        <v>0</v>
      </c>
      <c r="Z31" s="14">
        <v>0</v>
      </c>
      <c r="AA31" s="14" t="s">
        <v>34</v>
      </c>
      <c r="AB31" s="40">
        <f t="shared" si="11"/>
        <v>-0.69</v>
      </c>
      <c r="AC31" s="27">
        <v>1.2083333333333333E-2</v>
      </c>
      <c r="AD31" s="39">
        <f t="shared" si="12"/>
        <v>-6.6699999999999995E-2</v>
      </c>
      <c r="AE31" s="43">
        <v>-3.64</v>
      </c>
      <c r="AF31" s="43">
        <v>-1.47695095296</v>
      </c>
      <c r="AG31" s="25">
        <v>0</v>
      </c>
    </row>
    <row r="32" spans="1:33" s="51" customFormat="1" ht="15.75" customHeight="1" x14ac:dyDescent="0.2">
      <c r="A32" s="51" t="s">
        <v>934</v>
      </c>
      <c r="C32" s="15">
        <f t="shared" si="4"/>
        <v>5.99</v>
      </c>
      <c r="D32" s="52">
        <v>13</v>
      </c>
      <c r="E32" s="52">
        <v>0</v>
      </c>
      <c r="F32" s="53">
        <v>77.87</v>
      </c>
      <c r="G32" s="53">
        <v>-0.03</v>
      </c>
      <c r="H32" s="31">
        <f t="shared" si="1"/>
        <v>3.8525748041607803E-4</v>
      </c>
      <c r="I32" s="31">
        <f t="shared" si="2"/>
        <v>-7.4179708293310399E-3</v>
      </c>
      <c r="J32" s="32">
        <f t="shared" si="5"/>
        <v>-0.57763738848000812</v>
      </c>
      <c r="K32" s="32">
        <f t="shared" si="3"/>
        <v>-4.4433645267692931E-2</v>
      </c>
      <c r="L32" s="52">
        <v>12</v>
      </c>
      <c r="M32" s="33">
        <f t="shared" si="6"/>
        <v>1.0833333333333333</v>
      </c>
      <c r="N32" s="52">
        <v>146</v>
      </c>
      <c r="O32" s="34">
        <f t="shared" si="39"/>
        <v>1.8571428571428572</v>
      </c>
      <c r="P32" s="34">
        <f t="shared" si="39"/>
        <v>0</v>
      </c>
      <c r="Q32" s="29">
        <f t="shared" si="8"/>
        <v>78</v>
      </c>
      <c r="R32" s="29" t="str">
        <f ca="1">IFERROR(VLOOKUP($B$2,IMPORTRANGE("https://docs.google.com/spreadsheets/d/1KiWZV1ko8G7lnRucBRBd29jj3Be6ltMfljMDqzOkQmI/edit#gid=1381463014","Lookup!A:F"),6,FALSE),"")</f>
        <v/>
      </c>
      <c r="S32" s="54">
        <v>0.64360902255639096</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1.2083333333333333E-2</v>
      </c>
      <c r="AD32" s="39">
        <f t="shared" si="12"/>
        <v>-0.216775</v>
      </c>
      <c r="AE32" s="58">
        <v>-3.64</v>
      </c>
      <c r="AF32" s="58">
        <v>-1.47695095296</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0.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53.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AWG Replacement Power Cord with Open End - 10 Ft Black Extension Cable, 16/3 SJT, NEMA 5-15P")</f>
        <v>16 AWG Replacement Power Cord with Open End - 10 Ft Black Extension Cable, 16/3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Info!B1:BJ5000""),2,FALSE),"""")"),"B082FKJJPG")</f>
        <v>B082FKJJPG</v>
      </c>
      <c r="B2" s="3" t="s">
        <v>403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46.5" customHeight="1" x14ac:dyDescent="0.2">
      <c r="A3" s="76" t="s">
        <v>30</v>
      </c>
      <c r="B3" s="77"/>
      <c r="C3" s="47">
        <f>((AE32+AF32)/0.85)*-1</f>
        <v>6.614481110588236</v>
      </c>
      <c r="D3" s="5">
        <f>SUM(D4:D99765)</f>
        <v>240</v>
      </c>
      <c r="E3" s="5"/>
      <c r="F3" s="6">
        <f t="shared" ref="F3:G3" si="0">SUM(F4:F99765)</f>
        <v>2154.19</v>
      </c>
      <c r="G3" s="6">
        <f t="shared" si="0"/>
        <v>-241.62</v>
      </c>
      <c r="H3" s="7">
        <f t="shared" ref="H3:H32" si="1">G3/F3*-1</f>
        <v>0.11216280829453298</v>
      </c>
      <c r="I3" s="8">
        <f t="shared" ref="I3:I32" si="2">J3/F3</f>
        <v>0.12010652891296807</v>
      </c>
      <c r="J3" s="6">
        <f>SUM(J4:J99765)</f>
        <v>258.73228351902668</v>
      </c>
      <c r="K3" s="6">
        <f t="shared" ref="K3:K32" si="3">J3/D3</f>
        <v>1.0780511813292779</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QTY-25")</f>
        <v>US QTY-25</v>
      </c>
      <c r="V3" s="13" t="str">
        <f ca="1">IFERROR(__xludf.DUMMYFUNCTION("CONCATENATE(""In Transit"", ""-"",IFERROR(VLOOKUP($B$2,IMPORTRANGE(""https://docs.google.com/spreadsheets/d/11afDUGgwIurytGWIAj1e7JPdtkZEoccxCski0CJdjqQ/edit#gid=1950799886"",""US Storage!a1:AD5000""),3,FALSE),""""))"),"In Transit-0")</f>
        <v>In Transit-0</v>
      </c>
      <c r="W3" s="5">
        <f>SUM(W4:W99765)</f>
        <v>41</v>
      </c>
      <c r="X3" s="7">
        <f>W3/D3</f>
        <v>0.17083333333333334</v>
      </c>
      <c r="Y3" s="6"/>
      <c r="Z3" s="5"/>
      <c r="AA3" s="5"/>
      <c r="AB3" s="5"/>
      <c r="AC3" s="5"/>
      <c r="AD3" s="6">
        <f>SUM(AD4:AD99765)</f>
        <v>-13.065494662306877</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Info!B2:BZ7000""),37,FALSE)),"""")*-1"),-1.982308944)</f>
        <v>-1.9823089439999999</v>
      </c>
      <c r="AG3" s="6">
        <f>SUM(AG4:AG99765)</f>
        <v>-4</v>
      </c>
    </row>
    <row r="4" spans="1:33" ht="15.75" customHeight="1" x14ac:dyDescent="0.2">
      <c r="A4" s="14" t="s">
        <v>31</v>
      </c>
      <c r="B4" s="14" t="s">
        <v>194</v>
      </c>
      <c r="C4" s="15">
        <f t="shared" ref="C4:C32" si="4">IFERROR(F4/D4," - ")</f>
        <v>8.9949999999999992</v>
      </c>
      <c r="D4" s="16">
        <v>6</v>
      </c>
      <c r="E4" s="16">
        <v>0</v>
      </c>
      <c r="F4" s="17">
        <v>53.97</v>
      </c>
      <c r="G4" s="17">
        <v>-0.25</v>
      </c>
      <c r="H4" s="18">
        <f t="shared" si="1"/>
        <v>4.6322030757828423E-3</v>
      </c>
      <c r="I4" s="18">
        <f t="shared" si="2"/>
        <v>0.18487800236242358</v>
      </c>
      <c r="J4" s="17">
        <f t="shared" ref="J4:J32" si="5">F4*0.85+G4+AF4*D4+D4*AE4+AG4+AD4</f>
        <v>9.9778657875000007</v>
      </c>
      <c r="K4" s="17">
        <f t="shared" si="3"/>
        <v>1.6629776312500002</v>
      </c>
      <c r="L4" s="16">
        <v>20</v>
      </c>
      <c r="M4" s="19">
        <f t="shared" ref="M4:M32" si="6">IFERROR(D4/L4,"-")</f>
        <v>0.3</v>
      </c>
      <c r="N4" s="16">
        <v>11</v>
      </c>
      <c r="O4" s="20">
        <f t="shared" ref="O4:P4" si="7">D4/7</f>
        <v>0.8571428571428571</v>
      </c>
      <c r="P4" s="20">
        <f t="shared" si="7"/>
        <v>0</v>
      </c>
      <c r="Q4" s="16">
        <f t="shared" ref="Q4:Q32" si="8">ROUNDDOWN(N4/(O4+P4),0)</f>
        <v>12</v>
      </c>
      <c r="R4" s="16"/>
      <c r="S4" s="21">
        <v>2.1714285714285699</v>
      </c>
      <c r="T4" s="14">
        <v>300</v>
      </c>
      <c r="U4" s="22">
        <v>75</v>
      </c>
      <c r="V4" s="23" t="s">
        <v>404</v>
      </c>
      <c r="W4" s="14">
        <v>1</v>
      </c>
      <c r="X4" s="24">
        <f t="shared" ref="X4:X32" si="9">IFERROR(W4/D4,0)</f>
        <v>0.16666666666666666</v>
      </c>
      <c r="Y4" s="25">
        <f t="shared" ref="Y4:Y32" si="10">IFERROR(G4/(W4+Z4)*-1,0)</f>
        <v>0.25</v>
      </c>
      <c r="Z4" s="14">
        <v>0</v>
      </c>
      <c r="AA4" s="2" t="s">
        <v>34</v>
      </c>
      <c r="AB4" s="26">
        <f t="shared" ref="AB4:AB32" si="11">IF(OR(AA4="UsLargeStandardSize",AA4="UsSmallStandardSize"),-0.69,-0.48)</f>
        <v>-0.69</v>
      </c>
      <c r="AC4" s="27">
        <v>3.9448576388888892E-2</v>
      </c>
      <c r="AD4" s="25">
        <f t="shared" ref="AD4:AD32" si="12">IFERROR(AB4*AC4*D4*2,0)</f>
        <v>-0.32663421250000002</v>
      </c>
      <c r="AE4" s="25">
        <v>-3.48</v>
      </c>
      <c r="AF4" s="25">
        <v>-1.74</v>
      </c>
      <c r="AG4" s="25">
        <v>-4</v>
      </c>
    </row>
    <row r="5" spans="1:33" ht="15.75" customHeight="1" x14ac:dyDescent="0.2">
      <c r="A5" s="28" t="s">
        <v>35</v>
      </c>
      <c r="B5" s="28" t="s">
        <v>194</v>
      </c>
      <c r="C5" s="15">
        <f t="shared" si="4"/>
        <v>8.99</v>
      </c>
      <c r="D5" s="29">
        <v>2</v>
      </c>
      <c r="E5" s="29">
        <v>0</v>
      </c>
      <c r="F5" s="30">
        <v>17.98</v>
      </c>
      <c r="G5" s="30">
        <v>-0.08</v>
      </c>
      <c r="H5" s="31">
        <f t="shared" si="1"/>
        <v>4.4493882091212458E-3</v>
      </c>
      <c r="I5" s="31">
        <f t="shared" si="2"/>
        <v>0.25884292362957673</v>
      </c>
      <c r="J5" s="32">
        <f t="shared" si="5"/>
        <v>4.65399576685979</v>
      </c>
      <c r="K5" s="32">
        <f t="shared" si="3"/>
        <v>2.326997883429895</v>
      </c>
      <c r="L5" s="29">
        <v>32</v>
      </c>
      <c r="M5" s="33">
        <f t="shared" si="6"/>
        <v>6.25E-2</v>
      </c>
      <c r="N5" s="29">
        <v>9</v>
      </c>
      <c r="O5" s="34">
        <f t="shared" ref="O5:P5" si="13">D5/7</f>
        <v>0.2857142857142857</v>
      </c>
      <c r="P5" s="34">
        <f t="shared" si="13"/>
        <v>0</v>
      </c>
      <c r="Q5" s="29">
        <f t="shared" si="8"/>
        <v>31</v>
      </c>
      <c r="R5" s="29"/>
      <c r="S5" s="35">
        <v>2.4144144144144102</v>
      </c>
      <c r="T5" s="28">
        <v>300</v>
      </c>
      <c r="U5" s="36">
        <v>75</v>
      </c>
      <c r="V5" s="37" t="s">
        <v>405</v>
      </c>
      <c r="W5" s="28">
        <v>0</v>
      </c>
      <c r="X5" s="38">
        <f t="shared" si="9"/>
        <v>0</v>
      </c>
      <c r="Y5" s="39">
        <f t="shared" si="10"/>
        <v>0</v>
      </c>
      <c r="Z5" s="28">
        <v>0</v>
      </c>
      <c r="AA5" s="28" t="s">
        <v>34</v>
      </c>
      <c r="AB5" s="40">
        <f t="shared" si="11"/>
        <v>-0.69</v>
      </c>
      <c r="AC5" s="41">
        <v>3.9494287369640793E-2</v>
      </c>
      <c r="AD5" s="39">
        <f t="shared" si="12"/>
        <v>-0.10900423314020859</v>
      </c>
      <c r="AE5" s="39">
        <v>-3.48</v>
      </c>
      <c r="AF5" s="39">
        <v>-1.74</v>
      </c>
      <c r="AG5" s="39">
        <v>0</v>
      </c>
    </row>
    <row r="6" spans="1:33" ht="15.75" customHeight="1" x14ac:dyDescent="0.2">
      <c r="A6" s="28" t="s">
        <v>37</v>
      </c>
      <c r="B6" s="28" t="s">
        <v>194</v>
      </c>
      <c r="C6" s="15">
        <f t="shared" si="4"/>
        <v>8.99</v>
      </c>
      <c r="D6" s="29">
        <v>6</v>
      </c>
      <c r="E6" s="29">
        <v>1</v>
      </c>
      <c r="F6" s="30">
        <v>53.940000000000005</v>
      </c>
      <c r="G6" s="30">
        <v>0</v>
      </c>
      <c r="H6" s="31">
        <f t="shared" si="1"/>
        <v>0</v>
      </c>
      <c r="I6" s="31">
        <f t="shared" si="2"/>
        <v>0.26329932865220623</v>
      </c>
      <c r="J6" s="32">
        <f t="shared" si="5"/>
        <v>14.202365787500007</v>
      </c>
      <c r="K6" s="32">
        <f t="shared" si="3"/>
        <v>2.3670609645833345</v>
      </c>
      <c r="L6" s="29">
        <v>30</v>
      </c>
      <c r="M6" s="33">
        <f t="shared" si="6"/>
        <v>0.2</v>
      </c>
      <c r="N6" s="29">
        <v>4</v>
      </c>
      <c r="O6" s="34">
        <f t="shared" ref="O6:P6" si="14">D6/7</f>
        <v>0.8571428571428571</v>
      </c>
      <c r="P6" s="34">
        <f t="shared" si="14"/>
        <v>0.14285714285714285</v>
      </c>
      <c r="Q6" s="29">
        <f t="shared" si="8"/>
        <v>4</v>
      </c>
      <c r="R6" s="29"/>
      <c r="S6" s="35">
        <v>2.7103825136611999</v>
      </c>
      <c r="T6" s="28">
        <v>300</v>
      </c>
      <c r="U6" s="36">
        <v>75</v>
      </c>
      <c r="V6" s="37" t="s">
        <v>231</v>
      </c>
      <c r="W6" s="28">
        <v>0</v>
      </c>
      <c r="X6" s="38">
        <f t="shared" si="9"/>
        <v>0</v>
      </c>
      <c r="Y6" s="39">
        <f t="shared" si="10"/>
        <v>0</v>
      </c>
      <c r="Z6" s="28">
        <v>0</v>
      </c>
      <c r="AA6" s="28" t="s">
        <v>34</v>
      </c>
      <c r="AB6" s="40">
        <f t="shared" si="11"/>
        <v>-0.69</v>
      </c>
      <c r="AC6" s="41">
        <v>3.9448576388888892E-2</v>
      </c>
      <c r="AD6" s="39">
        <f t="shared" si="12"/>
        <v>-0.32663421250000002</v>
      </c>
      <c r="AE6" s="39">
        <v>-3.48</v>
      </c>
      <c r="AF6" s="39">
        <v>-1.74</v>
      </c>
      <c r="AG6" s="39">
        <v>0</v>
      </c>
    </row>
    <row r="7" spans="1:33" ht="15.75" customHeight="1" x14ac:dyDescent="0.2">
      <c r="A7" s="28" t="s">
        <v>40</v>
      </c>
      <c r="B7" s="28" t="s">
        <v>131</v>
      </c>
      <c r="C7" s="15">
        <f t="shared" si="4"/>
        <v>8.99</v>
      </c>
      <c r="D7" s="29">
        <v>2</v>
      </c>
      <c r="E7" s="29">
        <v>0</v>
      </c>
      <c r="F7" s="30">
        <v>17.98</v>
      </c>
      <c r="G7" s="30">
        <v>0</v>
      </c>
      <c r="H7" s="31">
        <f t="shared" si="1"/>
        <v>0</v>
      </c>
      <c r="I7" s="31">
        <f t="shared" si="2"/>
        <v>0.26329932865220607</v>
      </c>
      <c r="J7" s="32">
        <f t="shared" si="5"/>
        <v>4.7341219291666654</v>
      </c>
      <c r="K7" s="32">
        <f t="shared" si="3"/>
        <v>2.3670609645833327</v>
      </c>
      <c r="L7" s="29">
        <v>8</v>
      </c>
      <c r="M7" s="33">
        <f t="shared" si="6"/>
        <v>0.25</v>
      </c>
      <c r="N7" s="29">
        <v>0</v>
      </c>
      <c r="O7" s="34">
        <f t="shared" ref="O7:P7" si="15">D7/7</f>
        <v>0.2857142857142857</v>
      </c>
      <c r="P7" s="34">
        <f t="shared" si="15"/>
        <v>0</v>
      </c>
      <c r="Q7" s="29">
        <f t="shared" si="8"/>
        <v>0</v>
      </c>
      <c r="R7" s="29"/>
      <c r="S7" s="35" t="e">
        <v>#N/A</v>
      </c>
      <c r="T7" s="28">
        <v>300</v>
      </c>
      <c r="U7" s="36">
        <v>75</v>
      </c>
      <c r="V7" s="37" t="s">
        <v>406</v>
      </c>
      <c r="W7" s="28">
        <v>0</v>
      </c>
      <c r="X7" s="38">
        <f t="shared" si="9"/>
        <v>0</v>
      </c>
      <c r="Y7" s="39">
        <f t="shared" si="10"/>
        <v>0</v>
      </c>
      <c r="Z7" s="28">
        <v>0</v>
      </c>
      <c r="AA7" s="28" t="s">
        <v>34</v>
      </c>
      <c r="AB7" s="40">
        <f t="shared" si="11"/>
        <v>-0.69</v>
      </c>
      <c r="AC7" s="41">
        <v>3.9448576388888892E-2</v>
      </c>
      <c r="AD7" s="39">
        <f t="shared" si="12"/>
        <v>-0.10887807083333334</v>
      </c>
      <c r="AE7" s="39">
        <v>-3.48</v>
      </c>
      <c r="AF7" s="39">
        <v>-1.74</v>
      </c>
      <c r="AG7" s="39">
        <v>0</v>
      </c>
    </row>
    <row r="8" spans="1:33" ht="15.75" customHeight="1" x14ac:dyDescent="0.2">
      <c r="A8" s="28" t="s">
        <v>42</v>
      </c>
      <c r="B8" s="28" t="s">
        <v>407</v>
      </c>
      <c r="C8" s="15">
        <f t="shared" si="4"/>
        <v>8.99</v>
      </c>
      <c r="D8" s="29">
        <v>1</v>
      </c>
      <c r="E8" s="29">
        <v>0</v>
      </c>
      <c r="F8" s="30">
        <v>8.99</v>
      </c>
      <c r="G8" s="30">
        <v>0</v>
      </c>
      <c r="H8" s="31">
        <f t="shared" si="1"/>
        <v>0</v>
      </c>
      <c r="I8" s="31">
        <f t="shared" si="2"/>
        <v>0.26329932865220607</v>
      </c>
      <c r="J8" s="32">
        <f t="shared" si="5"/>
        <v>2.3670609645833327</v>
      </c>
      <c r="K8" s="32">
        <f t="shared" si="3"/>
        <v>2.3670609645833327</v>
      </c>
      <c r="L8" s="29">
        <v>0</v>
      </c>
      <c r="M8" s="33" t="str">
        <f t="shared" si="6"/>
        <v>-</v>
      </c>
      <c r="N8" s="29">
        <v>124</v>
      </c>
      <c r="O8" s="34">
        <f t="shared" ref="O8:P8" si="16">D8/7</f>
        <v>0.14285714285714285</v>
      </c>
      <c r="P8" s="34">
        <f t="shared" si="16"/>
        <v>0</v>
      </c>
      <c r="Q8" s="29">
        <f t="shared" si="8"/>
        <v>868</v>
      </c>
      <c r="R8" s="29"/>
      <c r="S8" s="35">
        <v>1.2347826086956499</v>
      </c>
      <c r="T8" s="28">
        <v>225</v>
      </c>
      <c r="U8" s="36">
        <v>175</v>
      </c>
      <c r="V8" s="37" t="s">
        <v>408</v>
      </c>
      <c r="W8" s="28">
        <v>0</v>
      </c>
      <c r="X8" s="38">
        <f t="shared" si="9"/>
        <v>0</v>
      </c>
      <c r="Y8" s="39">
        <f t="shared" si="10"/>
        <v>0</v>
      </c>
      <c r="Z8" s="28">
        <v>0</v>
      </c>
      <c r="AA8" s="28" t="s">
        <v>34</v>
      </c>
      <c r="AB8" s="40">
        <f t="shared" si="11"/>
        <v>-0.69</v>
      </c>
      <c r="AC8" s="41">
        <v>3.9448576388888892E-2</v>
      </c>
      <c r="AD8" s="39">
        <f t="shared" si="12"/>
        <v>-5.443903541666667E-2</v>
      </c>
      <c r="AE8" s="39">
        <v>-3.48</v>
      </c>
      <c r="AF8" s="39">
        <v>-1.74</v>
      </c>
      <c r="AG8" s="39">
        <v>0</v>
      </c>
    </row>
    <row r="9" spans="1:33" ht="15.75" customHeight="1" x14ac:dyDescent="0.2">
      <c r="A9" s="28" t="s">
        <v>44</v>
      </c>
      <c r="B9" s="28" t="s">
        <v>409</v>
      </c>
      <c r="C9" s="15">
        <f t="shared" si="4"/>
        <v>8.99</v>
      </c>
      <c r="D9" s="29">
        <v>5</v>
      </c>
      <c r="E9" s="29">
        <v>0</v>
      </c>
      <c r="F9" s="30">
        <v>44.95</v>
      </c>
      <c r="G9" s="30">
        <v>-0.08</v>
      </c>
      <c r="H9" s="31">
        <f t="shared" si="1"/>
        <v>1.7797552836484982E-3</v>
      </c>
      <c r="I9" s="31">
        <f t="shared" si="2"/>
        <v>0.2615195733685578</v>
      </c>
      <c r="J9" s="32">
        <f t="shared" si="5"/>
        <v>11.755304822916674</v>
      </c>
      <c r="K9" s="32">
        <f t="shared" si="3"/>
        <v>2.3510609645833349</v>
      </c>
      <c r="L9" s="29">
        <v>30</v>
      </c>
      <c r="M9" s="33">
        <f t="shared" si="6"/>
        <v>0.16666666666666666</v>
      </c>
      <c r="N9" s="29">
        <v>120</v>
      </c>
      <c r="O9" s="34">
        <f t="shared" ref="O9:P9" si="17">D9/7</f>
        <v>0.7142857142857143</v>
      </c>
      <c r="P9" s="34">
        <f t="shared" si="17"/>
        <v>0</v>
      </c>
      <c r="Q9" s="29">
        <f t="shared" si="8"/>
        <v>168</v>
      </c>
      <c r="R9" s="29"/>
      <c r="S9" s="35">
        <v>1.2190476190476101</v>
      </c>
      <c r="T9" s="28">
        <v>225</v>
      </c>
      <c r="U9" s="36">
        <v>175</v>
      </c>
      <c r="V9" s="37" t="s">
        <v>410</v>
      </c>
      <c r="W9" s="28">
        <v>0</v>
      </c>
      <c r="X9" s="38">
        <f t="shared" si="9"/>
        <v>0</v>
      </c>
      <c r="Y9" s="39">
        <f t="shared" si="10"/>
        <v>0</v>
      </c>
      <c r="Z9" s="28">
        <v>0</v>
      </c>
      <c r="AA9" s="28" t="s">
        <v>34</v>
      </c>
      <c r="AB9" s="40">
        <f t="shared" si="11"/>
        <v>-0.69</v>
      </c>
      <c r="AC9" s="41">
        <v>3.9448576388888892E-2</v>
      </c>
      <c r="AD9" s="39">
        <f t="shared" si="12"/>
        <v>-0.27219517708333335</v>
      </c>
      <c r="AE9" s="39">
        <v>-3.48</v>
      </c>
      <c r="AF9" s="39">
        <v>-1.74</v>
      </c>
      <c r="AG9" s="39">
        <v>0</v>
      </c>
    </row>
    <row r="10" spans="1:33" ht="15.75" customHeight="1" x14ac:dyDescent="0.2">
      <c r="A10" s="28" t="s">
        <v>46</v>
      </c>
      <c r="B10" s="28" t="s">
        <v>383</v>
      </c>
      <c r="C10" s="15">
        <f t="shared" si="4"/>
        <v>8.9988888888888905</v>
      </c>
      <c r="D10" s="29">
        <v>9</v>
      </c>
      <c r="E10" s="29">
        <v>0</v>
      </c>
      <c r="F10" s="30">
        <v>80.990000000000009</v>
      </c>
      <c r="G10" s="30">
        <v>-35.15</v>
      </c>
      <c r="H10" s="31">
        <f t="shared" si="1"/>
        <v>0.43400419804914181</v>
      </c>
      <c r="I10" s="31">
        <f t="shared" si="2"/>
        <v>-0.18423078551364314</v>
      </c>
      <c r="J10" s="32">
        <f t="shared" si="5"/>
        <v>-14.920851318749959</v>
      </c>
      <c r="K10" s="32">
        <f t="shared" si="3"/>
        <v>-1.6578723687499954</v>
      </c>
      <c r="L10" s="29">
        <v>39</v>
      </c>
      <c r="M10" s="33">
        <f t="shared" si="6"/>
        <v>0.23076923076923078</v>
      </c>
      <c r="N10" s="29">
        <v>61</v>
      </c>
      <c r="O10" s="34">
        <f t="shared" ref="O10:P10" si="18">D10/7</f>
        <v>1.2857142857142858</v>
      </c>
      <c r="P10" s="34">
        <f t="shared" si="18"/>
        <v>0</v>
      </c>
      <c r="Q10" s="29">
        <f t="shared" si="8"/>
        <v>47</v>
      </c>
      <c r="R10" s="29"/>
      <c r="S10" s="35">
        <v>2.03125</v>
      </c>
      <c r="T10" s="28">
        <v>225</v>
      </c>
      <c r="U10" s="36">
        <v>175</v>
      </c>
      <c r="V10" s="37" t="s">
        <v>411</v>
      </c>
      <c r="W10" s="28">
        <v>6</v>
      </c>
      <c r="X10" s="38">
        <f t="shared" si="9"/>
        <v>0.66666666666666663</v>
      </c>
      <c r="Y10" s="39">
        <f t="shared" si="10"/>
        <v>5.0214285714285714</v>
      </c>
      <c r="Z10" s="28">
        <v>1</v>
      </c>
      <c r="AA10" s="28" t="s">
        <v>34</v>
      </c>
      <c r="AB10" s="40">
        <f t="shared" si="11"/>
        <v>-0.69</v>
      </c>
      <c r="AC10" s="41">
        <v>3.9448576388888892E-2</v>
      </c>
      <c r="AD10" s="39">
        <f t="shared" si="12"/>
        <v>-0.48995131875000003</v>
      </c>
      <c r="AE10" s="39">
        <v>-3.48</v>
      </c>
      <c r="AF10" s="39">
        <v>-1.86693333333333</v>
      </c>
      <c r="AG10" s="39">
        <v>0</v>
      </c>
    </row>
    <row r="11" spans="1:33" ht="15.75" customHeight="1" x14ac:dyDescent="0.2">
      <c r="A11" s="28" t="s">
        <v>48</v>
      </c>
      <c r="B11" s="28" t="s">
        <v>47</v>
      </c>
      <c r="C11" s="15">
        <f t="shared" si="4"/>
        <v>8.9899999999999984</v>
      </c>
      <c r="D11" s="29">
        <v>10</v>
      </c>
      <c r="E11" s="29">
        <v>0</v>
      </c>
      <c r="F11" s="30">
        <v>89.899999999999991</v>
      </c>
      <c r="G11" s="30">
        <v>-24</v>
      </c>
      <c r="H11" s="31">
        <f t="shared" si="1"/>
        <v>0.2669632925472748</v>
      </c>
      <c r="I11" s="31">
        <f t="shared" si="2"/>
        <v>-1.778335581201302E-2</v>
      </c>
      <c r="J11" s="32">
        <f t="shared" si="5"/>
        <v>-1.5987236874999704</v>
      </c>
      <c r="K11" s="32">
        <f t="shared" si="3"/>
        <v>-0.15987236874999705</v>
      </c>
      <c r="L11" s="29">
        <v>19</v>
      </c>
      <c r="M11" s="33">
        <f t="shared" si="6"/>
        <v>0.52631578947368418</v>
      </c>
      <c r="N11" s="29">
        <v>51</v>
      </c>
      <c r="O11" s="34">
        <f t="shared" ref="O11:P11" si="19">D11/7</f>
        <v>1.4285714285714286</v>
      </c>
      <c r="P11" s="34">
        <f t="shared" si="19"/>
        <v>0</v>
      </c>
      <c r="Q11" s="29">
        <f t="shared" si="8"/>
        <v>35</v>
      </c>
      <c r="R11" s="29"/>
      <c r="S11" s="35">
        <v>2.2857142857142798</v>
      </c>
      <c r="T11" s="28">
        <v>225</v>
      </c>
      <c r="U11" s="36">
        <v>175</v>
      </c>
      <c r="V11" s="37" t="s">
        <v>412</v>
      </c>
      <c r="W11" s="28">
        <v>4</v>
      </c>
      <c r="X11" s="38">
        <f t="shared" si="9"/>
        <v>0.4</v>
      </c>
      <c r="Y11" s="39">
        <f t="shared" si="10"/>
        <v>6</v>
      </c>
      <c r="Z11" s="28">
        <v>0</v>
      </c>
      <c r="AA11" s="28" t="s">
        <v>34</v>
      </c>
      <c r="AB11" s="40">
        <f t="shared" si="11"/>
        <v>-0.69</v>
      </c>
      <c r="AC11" s="41">
        <v>3.9448576388888892E-2</v>
      </c>
      <c r="AD11" s="39">
        <f t="shared" si="12"/>
        <v>-0.5443903541666667</v>
      </c>
      <c r="AE11" s="39">
        <v>-3.48</v>
      </c>
      <c r="AF11" s="39">
        <v>-1.86693333333333</v>
      </c>
      <c r="AG11" s="39">
        <v>0</v>
      </c>
    </row>
    <row r="12" spans="1:33" ht="1.5" customHeight="1" x14ac:dyDescent="0.2">
      <c r="A12" s="28" t="s">
        <v>49</v>
      </c>
      <c r="B12" s="28" t="s">
        <v>290</v>
      </c>
      <c r="C12" s="15">
        <f t="shared" si="4"/>
        <v>9.0256250000000016</v>
      </c>
      <c r="D12" s="29">
        <v>16</v>
      </c>
      <c r="E12" s="29">
        <v>0</v>
      </c>
      <c r="F12" s="30">
        <v>144.41000000000003</v>
      </c>
      <c r="G12" s="30">
        <v>-22.749999999999996</v>
      </c>
      <c r="H12" s="31">
        <f t="shared" si="1"/>
        <v>0.15753756665050891</v>
      </c>
      <c r="I12" s="31">
        <f t="shared" si="2"/>
        <v>9.4013863998338554E-2</v>
      </c>
      <c r="J12" s="32">
        <f t="shared" si="5"/>
        <v>13.576542100000072</v>
      </c>
      <c r="K12" s="32">
        <f t="shared" si="3"/>
        <v>0.84853388125000451</v>
      </c>
      <c r="L12" s="29">
        <v>30</v>
      </c>
      <c r="M12" s="33">
        <f t="shared" si="6"/>
        <v>0.53333333333333333</v>
      </c>
      <c r="N12" s="29">
        <v>35</v>
      </c>
      <c r="O12" s="34">
        <f t="shared" ref="O12:P12" si="20">D12/7</f>
        <v>2.2857142857142856</v>
      </c>
      <c r="P12" s="34">
        <f t="shared" si="20"/>
        <v>0</v>
      </c>
      <c r="Q12" s="29">
        <f t="shared" si="8"/>
        <v>15</v>
      </c>
      <c r="R12" s="29"/>
      <c r="S12" s="35">
        <v>3.44303797468354</v>
      </c>
      <c r="T12" s="28">
        <v>50</v>
      </c>
      <c r="U12" s="36">
        <v>50</v>
      </c>
      <c r="V12" s="37" t="s">
        <v>269</v>
      </c>
      <c r="W12" s="28">
        <v>4</v>
      </c>
      <c r="X12" s="38">
        <f t="shared" si="9"/>
        <v>0.25</v>
      </c>
      <c r="Y12" s="39">
        <f t="shared" si="10"/>
        <v>3.2499999999999996</v>
      </c>
      <c r="Z12" s="28">
        <v>3</v>
      </c>
      <c r="AA12" s="28" t="s">
        <v>34</v>
      </c>
      <c r="AB12" s="40">
        <f t="shared" si="11"/>
        <v>-0.69</v>
      </c>
      <c r="AC12" s="41">
        <v>3.9448576388888892E-2</v>
      </c>
      <c r="AD12" s="39">
        <f t="shared" si="12"/>
        <v>-0.87102456666666672</v>
      </c>
      <c r="AE12" s="39">
        <v>-3.48</v>
      </c>
      <c r="AF12" s="39">
        <v>-1.86693333333333</v>
      </c>
      <c r="AG12" s="39">
        <v>0</v>
      </c>
    </row>
    <row r="13" spans="1:33" ht="15.75" customHeight="1" x14ac:dyDescent="0.2">
      <c r="A13" s="28" t="s">
        <v>50</v>
      </c>
      <c r="B13" s="28" t="s">
        <v>413</v>
      </c>
      <c r="C13" s="15">
        <f t="shared" si="4"/>
        <v>9.99</v>
      </c>
      <c r="D13" s="29">
        <v>10</v>
      </c>
      <c r="E13" s="29">
        <v>0</v>
      </c>
      <c r="F13" s="32">
        <v>99.9</v>
      </c>
      <c r="G13" s="30">
        <v>-23.24</v>
      </c>
      <c r="H13" s="31">
        <f t="shared" si="1"/>
        <v>0.23263263263263259</v>
      </c>
      <c r="I13" s="31">
        <f t="shared" si="2"/>
        <v>7.4820917375709242E-2</v>
      </c>
      <c r="J13" s="32">
        <f t="shared" si="5"/>
        <v>7.4746096458333531</v>
      </c>
      <c r="K13" s="32">
        <f t="shared" si="3"/>
        <v>0.74746096458333533</v>
      </c>
      <c r="L13" s="29">
        <v>26</v>
      </c>
      <c r="M13" s="33">
        <f t="shared" si="6"/>
        <v>0.38461538461538464</v>
      </c>
      <c r="N13" s="29">
        <v>200</v>
      </c>
      <c r="O13" s="34">
        <f t="shared" ref="O13:P13" si="21">D13/7</f>
        <v>1.4285714285714286</v>
      </c>
      <c r="P13" s="34">
        <f t="shared" si="21"/>
        <v>0</v>
      </c>
      <c r="Q13" s="29">
        <f t="shared" si="8"/>
        <v>140</v>
      </c>
      <c r="R13" s="29"/>
      <c r="S13" s="35">
        <v>0.73315363881401596</v>
      </c>
      <c r="T13" s="28">
        <v>50</v>
      </c>
      <c r="U13" s="36">
        <v>50</v>
      </c>
      <c r="V13" s="37" t="s">
        <v>269</v>
      </c>
      <c r="W13" s="28">
        <v>1</v>
      </c>
      <c r="X13" s="38">
        <f t="shared" si="9"/>
        <v>0.1</v>
      </c>
      <c r="Y13" s="39">
        <f t="shared" si="10"/>
        <v>11.62</v>
      </c>
      <c r="Z13" s="28">
        <v>1</v>
      </c>
      <c r="AA13" s="28" t="s">
        <v>34</v>
      </c>
      <c r="AB13" s="40">
        <f t="shared" si="11"/>
        <v>-0.69</v>
      </c>
      <c r="AC13" s="41">
        <v>3.9448576388888892E-2</v>
      </c>
      <c r="AD13" s="39">
        <f t="shared" si="12"/>
        <v>-0.5443903541666667</v>
      </c>
      <c r="AE13" s="39">
        <v>-3.48</v>
      </c>
      <c r="AF13" s="39">
        <v>-1.8855999999999999</v>
      </c>
      <c r="AG13" s="39">
        <v>0</v>
      </c>
    </row>
    <row r="14" spans="1:33" ht="15.75" customHeight="1" x14ac:dyDescent="0.2">
      <c r="A14" s="28" t="s">
        <v>51</v>
      </c>
      <c r="B14" s="28" t="s">
        <v>414</v>
      </c>
      <c r="C14" s="15">
        <f t="shared" si="4"/>
        <v>9.6264285714285727</v>
      </c>
      <c r="D14" s="29">
        <v>14</v>
      </c>
      <c r="E14" s="29">
        <v>0</v>
      </c>
      <c r="F14" s="32">
        <v>134.77000000000001</v>
      </c>
      <c r="G14" s="30">
        <v>-24.05</v>
      </c>
      <c r="H14" s="31">
        <f t="shared" si="1"/>
        <v>0.17845217778437336</v>
      </c>
      <c r="I14" s="31">
        <f t="shared" si="2"/>
        <v>0.10851045116989448</v>
      </c>
      <c r="J14" s="32">
        <f t="shared" si="5"/>
        <v>14.62395350416668</v>
      </c>
      <c r="K14" s="32">
        <f t="shared" si="3"/>
        <v>1.0445681074404771</v>
      </c>
      <c r="L14" s="29">
        <v>44</v>
      </c>
      <c r="M14" s="33">
        <f t="shared" si="6"/>
        <v>0.31818181818181818</v>
      </c>
      <c r="N14" s="29">
        <v>188</v>
      </c>
      <c r="O14" s="34">
        <f t="shared" ref="O14:P14" si="22">D14/7</f>
        <v>2</v>
      </c>
      <c r="P14" s="34">
        <f t="shared" si="22"/>
        <v>0</v>
      </c>
      <c r="Q14" s="29">
        <f t="shared" si="8"/>
        <v>94</v>
      </c>
      <c r="R14" s="29"/>
      <c r="S14" s="35">
        <v>1.1756272401433601</v>
      </c>
      <c r="T14" s="28">
        <v>50</v>
      </c>
      <c r="U14" s="36">
        <v>50</v>
      </c>
      <c r="V14" s="37" t="s">
        <v>269</v>
      </c>
      <c r="W14" s="28">
        <v>1</v>
      </c>
      <c r="X14" s="38">
        <f t="shared" si="9"/>
        <v>7.1428571428571425E-2</v>
      </c>
      <c r="Y14" s="39">
        <f t="shared" si="10"/>
        <v>12.025</v>
      </c>
      <c r="Z14" s="28">
        <v>1</v>
      </c>
      <c r="AA14" s="28" t="s">
        <v>34</v>
      </c>
      <c r="AB14" s="40">
        <f t="shared" si="11"/>
        <v>-0.69</v>
      </c>
      <c r="AC14" s="41">
        <v>3.9448576388888892E-2</v>
      </c>
      <c r="AD14" s="39">
        <f t="shared" si="12"/>
        <v>-0.76214649583333338</v>
      </c>
      <c r="AE14" s="39">
        <v>-3.48</v>
      </c>
      <c r="AF14" s="39">
        <v>-1.8855999999999999</v>
      </c>
      <c r="AG14" s="39">
        <v>0</v>
      </c>
    </row>
    <row r="15" spans="1:33" ht="15.75" customHeight="1" x14ac:dyDescent="0.2">
      <c r="A15" s="28" t="s">
        <v>53</v>
      </c>
      <c r="B15" s="28" t="s">
        <v>47</v>
      </c>
      <c r="C15" s="15">
        <f t="shared" si="4"/>
        <v>9.0366666666666671</v>
      </c>
      <c r="D15" s="29">
        <v>6</v>
      </c>
      <c r="E15" s="29">
        <v>0</v>
      </c>
      <c r="F15" s="32">
        <v>54.22</v>
      </c>
      <c r="G15" s="30">
        <v>-10.050000000000001</v>
      </c>
      <c r="H15" s="31">
        <f t="shared" si="1"/>
        <v>0.18535595721136114</v>
      </c>
      <c r="I15" s="31">
        <f t="shared" si="2"/>
        <v>5.9328030016598941E-2</v>
      </c>
      <c r="J15" s="32">
        <f t="shared" si="5"/>
        <v>3.2167657874999946</v>
      </c>
      <c r="K15" s="32">
        <f t="shared" si="3"/>
        <v>0.53612763124999907</v>
      </c>
      <c r="L15" s="29">
        <v>14</v>
      </c>
      <c r="M15" s="33">
        <f t="shared" si="6"/>
        <v>0.42857142857142855</v>
      </c>
      <c r="N15" s="29">
        <v>156</v>
      </c>
      <c r="O15" s="34">
        <f t="shared" ref="O15:P15" si="23">D15/7</f>
        <v>0.8571428571428571</v>
      </c>
      <c r="P15" s="34">
        <f t="shared" si="23"/>
        <v>0</v>
      </c>
      <c r="Q15" s="29">
        <f t="shared" si="8"/>
        <v>182</v>
      </c>
      <c r="R15" s="29"/>
      <c r="S15" s="35">
        <v>1.71980676328502</v>
      </c>
      <c r="T15" s="28">
        <v>50</v>
      </c>
      <c r="U15" s="36">
        <v>50</v>
      </c>
      <c r="V15" s="37" t="s">
        <v>269</v>
      </c>
      <c r="W15" s="28">
        <v>1</v>
      </c>
      <c r="X15" s="38">
        <f t="shared" si="9"/>
        <v>0.16666666666666666</v>
      </c>
      <c r="Y15" s="39">
        <f t="shared" si="10"/>
        <v>5.0250000000000004</v>
      </c>
      <c r="Z15" s="28">
        <v>1</v>
      </c>
      <c r="AA15" s="28" t="s">
        <v>34</v>
      </c>
      <c r="AB15" s="40">
        <f t="shared" si="11"/>
        <v>-0.69</v>
      </c>
      <c r="AC15" s="41">
        <v>3.9448576388888892E-2</v>
      </c>
      <c r="AD15" s="39">
        <f t="shared" si="12"/>
        <v>-0.32663421250000002</v>
      </c>
      <c r="AE15" s="39">
        <v>-3.48</v>
      </c>
      <c r="AF15" s="39">
        <v>-1.9356</v>
      </c>
      <c r="AG15" s="39">
        <v>0</v>
      </c>
    </row>
    <row r="16" spans="1:33" ht="15.75" customHeight="1" x14ac:dyDescent="0.2">
      <c r="A16" s="28" t="s">
        <v>54</v>
      </c>
      <c r="B16" s="28" t="s">
        <v>47</v>
      </c>
      <c r="C16" s="15">
        <f t="shared" si="4"/>
        <v>9.0139999999999993</v>
      </c>
      <c r="D16" s="29">
        <v>10</v>
      </c>
      <c r="E16" s="29">
        <v>0</v>
      </c>
      <c r="F16" s="32">
        <v>90.14</v>
      </c>
      <c r="G16" s="30">
        <v>-0.08</v>
      </c>
      <c r="H16" s="31">
        <f t="shared" si="1"/>
        <v>8.8750832039050369E-4</v>
      </c>
      <c r="I16" s="31">
        <f t="shared" si="2"/>
        <v>0.24227434708046747</v>
      </c>
      <c r="J16" s="32">
        <f t="shared" si="5"/>
        <v>21.838609645833337</v>
      </c>
      <c r="K16" s="32">
        <f t="shared" si="3"/>
        <v>2.1838609645833338</v>
      </c>
      <c r="L16" s="29">
        <v>19</v>
      </c>
      <c r="M16" s="33">
        <f t="shared" si="6"/>
        <v>0.52631578947368418</v>
      </c>
      <c r="N16" s="29">
        <v>171</v>
      </c>
      <c r="O16" s="34">
        <f t="shared" ref="O16:P16" si="24">D16/7</f>
        <v>1.4285714285714286</v>
      </c>
      <c r="P16" s="34">
        <f t="shared" si="24"/>
        <v>0</v>
      </c>
      <c r="Q16" s="29">
        <f t="shared" si="8"/>
        <v>119</v>
      </c>
      <c r="R16" s="29"/>
      <c r="S16" s="35">
        <v>1.6923076923076901</v>
      </c>
      <c r="T16" s="28">
        <v>50</v>
      </c>
      <c r="U16" s="36">
        <v>50</v>
      </c>
      <c r="V16" s="37" t="s">
        <v>269</v>
      </c>
      <c r="W16" s="28">
        <v>3</v>
      </c>
      <c r="X16" s="38">
        <f t="shared" si="9"/>
        <v>0.3</v>
      </c>
      <c r="Y16" s="39">
        <f t="shared" si="10"/>
        <v>2.6666666666666668E-2</v>
      </c>
      <c r="Z16" s="28">
        <v>0</v>
      </c>
      <c r="AA16" s="28" t="s">
        <v>34</v>
      </c>
      <c r="AB16" s="40">
        <f t="shared" si="11"/>
        <v>-0.69</v>
      </c>
      <c r="AC16" s="41">
        <v>3.9448576388888892E-2</v>
      </c>
      <c r="AD16" s="39">
        <f t="shared" si="12"/>
        <v>-0.5443903541666667</v>
      </c>
      <c r="AE16" s="39">
        <v>-3.48</v>
      </c>
      <c r="AF16" s="39">
        <v>-1.9356</v>
      </c>
      <c r="AG16" s="39">
        <v>0</v>
      </c>
    </row>
    <row r="17" spans="1:33" ht="15.75" customHeight="1" x14ac:dyDescent="0.2">
      <c r="A17" s="28" t="s">
        <v>55</v>
      </c>
      <c r="B17" s="28" t="s">
        <v>47</v>
      </c>
      <c r="C17" s="15">
        <f t="shared" si="4"/>
        <v>8.99</v>
      </c>
      <c r="D17" s="29">
        <v>5</v>
      </c>
      <c r="E17" s="29">
        <v>0</v>
      </c>
      <c r="F17" s="32">
        <v>44.95</v>
      </c>
      <c r="G17" s="30">
        <v>0</v>
      </c>
      <c r="H17" s="31">
        <f t="shared" si="1"/>
        <v>0</v>
      </c>
      <c r="I17" s="31">
        <f t="shared" si="2"/>
        <v>0.24154182030960333</v>
      </c>
      <c r="J17" s="32">
        <f t="shared" si="5"/>
        <v>10.857304822916671</v>
      </c>
      <c r="K17" s="32">
        <f t="shared" si="3"/>
        <v>2.1714609645833343</v>
      </c>
      <c r="L17" s="29">
        <v>16</v>
      </c>
      <c r="M17" s="33">
        <f t="shared" si="6"/>
        <v>0.3125</v>
      </c>
      <c r="N17" s="29">
        <v>166</v>
      </c>
      <c r="O17" s="34">
        <f t="shared" ref="O17:P17" si="25">D17/7</f>
        <v>0.7142857142857143</v>
      </c>
      <c r="P17" s="34">
        <f t="shared" si="25"/>
        <v>0</v>
      </c>
      <c r="Q17" s="29">
        <f t="shared" si="8"/>
        <v>232</v>
      </c>
      <c r="R17" s="29"/>
      <c r="S17" s="35">
        <v>0.74708171206225604</v>
      </c>
      <c r="T17" s="28">
        <v>50</v>
      </c>
      <c r="U17" s="36">
        <v>50</v>
      </c>
      <c r="V17" s="37" t="s">
        <v>269</v>
      </c>
      <c r="W17" s="28">
        <v>0</v>
      </c>
      <c r="X17" s="38">
        <f t="shared" si="9"/>
        <v>0</v>
      </c>
      <c r="Y17" s="39">
        <f t="shared" si="10"/>
        <v>0</v>
      </c>
      <c r="Z17" s="28">
        <v>0</v>
      </c>
      <c r="AA17" s="28" t="s">
        <v>34</v>
      </c>
      <c r="AB17" s="40">
        <f t="shared" si="11"/>
        <v>-0.69</v>
      </c>
      <c r="AC17" s="41">
        <v>3.9448576388888892E-2</v>
      </c>
      <c r="AD17" s="39">
        <f t="shared" si="12"/>
        <v>-0.27219517708333335</v>
      </c>
      <c r="AE17" s="39">
        <v>-3.48</v>
      </c>
      <c r="AF17" s="39">
        <v>-1.9356</v>
      </c>
      <c r="AG17" s="39">
        <v>0</v>
      </c>
    </row>
    <row r="18" spans="1:33" ht="15.75" customHeight="1" x14ac:dyDescent="0.2">
      <c r="A18" s="28" t="s">
        <v>56</v>
      </c>
      <c r="B18" s="28" t="s">
        <v>47</v>
      </c>
      <c r="C18" s="15">
        <f t="shared" si="4"/>
        <v>8.99</v>
      </c>
      <c r="D18" s="29">
        <v>7</v>
      </c>
      <c r="E18" s="29">
        <v>0</v>
      </c>
      <c r="F18" s="32">
        <v>62.930000000000007</v>
      </c>
      <c r="G18" s="30">
        <v>0</v>
      </c>
      <c r="H18" s="31">
        <f t="shared" si="1"/>
        <v>0</v>
      </c>
      <c r="I18" s="31">
        <f t="shared" si="2"/>
        <v>0.24154182030960331</v>
      </c>
      <c r="J18" s="32">
        <f t="shared" si="5"/>
        <v>15.200226752083339</v>
      </c>
      <c r="K18" s="32">
        <f t="shared" si="3"/>
        <v>2.1714609645833343</v>
      </c>
      <c r="L18" s="29">
        <v>15</v>
      </c>
      <c r="M18" s="33">
        <f t="shared" si="6"/>
        <v>0.46666666666666667</v>
      </c>
      <c r="N18" s="29">
        <v>162</v>
      </c>
      <c r="O18" s="34">
        <f t="shared" ref="O18:P18" si="26">D18/7</f>
        <v>1</v>
      </c>
      <c r="P18" s="34">
        <f t="shared" si="26"/>
        <v>0</v>
      </c>
      <c r="Q18" s="29">
        <f t="shared" si="8"/>
        <v>162</v>
      </c>
      <c r="R18" s="29"/>
      <c r="S18" s="35">
        <v>0.85161290322580596</v>
      </c>
      <c r="T18" s="28">
        <v>0</v>
      </c>
      <c r="U18" s="36">
        <v>0</v>
      </c>
      <c r="V18" s="37" t="s">
        <v>33</v>
      </c>
      <c r="W18" s="28">
        <v>0</v>
      </c>
      <c r="X18" s="38">
        <f t="shared" si="9"/>
        <v>0</v>
      </c>
      <c r="Y18" s="39">
        <f t="shared" si="10"/>
        <v>0</v>
      </c>
      <c r="Z18" s="28">
        <v>0</v>
      </c>
      <c r="AA18" s="28" t="s">
        <v>34</v>
      </c>
      <c r="AB18" s="40">
        <f t="shared" si="11"/>
        <v>-0.69</v>
      </c>
      <c r="AC18" s="41">
        <v>3.9448576388888892E-2</v>
      </c>
      <c r="AD18" s="39">
        <f t="shared" si="12"/>
        <v>-0.38107324791666669</v>
      </c>
      <c r="AE18" s="39">
        <v>-3.48</v>
      </c>
      <c r="AF18" s="39">
        <v>-1.9356</v>
      </c>
      <c r="AG18" s="39">
        <v>0</v>
      </c>
    </row>
    <row r="19" spans="1:33" ht="15.75" customHeight="1" x14ac:dyDescent="0.2">
      <c r="A19" s="28" t="s">
        <v>57</v>
      </c>
      <c r="B19" s="28" t="s">
        <v>47</v>
      </c>
      <c r="C19" s="15">
        <f t="shared" si="4"/>
        <v>8.9899999999999984</v>
      </c>
      <c r="D19" s="29">
        <v>11</v>
      </c>
      <c r="E19" s="29">
        <v>0</v>
      </c>
      <c r="F19" s="32">
        <v>98.889999999999986</v>
      </c>
      <c r="G19" s="30">
        <v>0</v>
      </c>
      <c r="H19" s="31">
        <f t="shared" si="1"/>
        <v>0</v>
      </c>
      <c r="I19" s="31">
        <f t="shared" si="2"/>
        <v>0.23158631419169437</v>
      </c>
      <c r="J19" s="32">
        <f t="shared" si="5"/>
        <v>22.901570610416652</v>
      </c>
      <c r="K19" s="32">
        <f t="shared" si="3"/>
        <v>2.0819609645833319</v>
      </c>
      <c r="L19" s="29">
        <v>25</v>
      </c>
      <c r="M19" s="33">
        <f t="shared" si="6"/>
        <v>0.44</v>
      </c>
      <c r="N19" s="29">
        <v>150</v>
      </c>
      <c r="O19" s="34">
        <f t="shared" ref="O19:P19" si="27">D19/7</f>
        <v>1.5714285714285714</v>
      </c>
      <c r="P19" s="34">
        <f t="shared" si="27"/>
        <v>0</v>
      </c>
      <c r="Q19" s="29">
        <f t="shared" si="8"/>
        <v>95</v>
      </c>
      <c r="R19" s="29"/>
      <c r="S19" s="35">
        <v>1.05418719211822</v>
      </c>
      <c r="T19" s="28">
        <v>0</v>
      </c>
      <c r="U19" s="36" t="s">
        <v>33</v>
      </c>
      <c r="V19" s="37" t="s">
        <v>33</v>
      </c>
      <c r="W19" s="28">
        <v>0</v>
      </c>
      <c r="X19" s="38">
        <f t="shared" si="9"/>
        <v>0</v>
      </c>
      <c r="Y19" s="39">
        <f t="shared" si="10"/>
        <v>0</v>
      </c>
      <c r="Z19" s="28">
        <v>0</v>
      </c>
      <c r="AA19" s="28" t="s">
        <v>34</v>
      </c>
      <c r="AB19" s="40">
        <f t="shared" si="11"/>
        <v>-0.69</v>
      </c>
      <c r="AC19" s="41">
        <v>3.9448576388888892E-2</v>
      </c>
      <c r="AD19" s="39">
        <f t="shared" si="12"/>
        <v>-0.59882938958333343</v>
      </c>
      <c r="AE19" s="39">
        <v>-3.48</v>
      </c>
      <c r="AF19" s="39">
        <v>-2.0251000000000001</v>
      </c>
      <c r="AG19" s="39">
        <v>0</v>
      </c>
    </row>
    <row r="20" spans="1:33" ht="15.75" customHeight="1" x14ac:dyDescent="0.2">
      <c r="A20" s="28" t="s">
        <v>58</v>
      </c>
      <c r="B20" s="28" t="s">
        <v>47</v>
      </c>
      <c r="C20" s="15">
        <f t="shared" si="4"/>
        <v>8.99</v>
      </c>
      <c r="D20" s="29">
        <v>6</v>
      </c>
      <c r="E20" s="29">
        <v>1</v>
      </c>
      <c r="F20" s="32">
        <v>53.940000000000005</v>
      </c>
      <c r="G20" s="30">
        <v>0</v>
      </c>
      <c r="H20" s="31">
        <f t="shared" si="1"/>
        <v>0</v>
      </c>
      <c r="I20" s="31">
        <f t="shared" si="2"/>
        <v>0.23158631419169459</v>
      </c>
      <c r="J20" s="32">
        <f t="shared" si="5"/>
        <v>12.491765787500007</v>
      </c>
      <c r="K20" s="32">
        <f t="shared" si="3"/>
        <v>2.0819609645833346</v>
      </c>
      <c r="L20" s="29">
        <v>24</v>
      </c>
      <c r="M20" s="33">
        <f t="shared" si="6"/>
        <v>0.25</v>
      </c>
      <c r="N20" s="29">
        <v>143</v>
      </c>
      <c r="O20" s="34">
        <f t="shared" ref="O20:P20" si="28">D20/7</f>
        <v>0.8571428571428571</v>
      </c>
      <c r="P20" s="34">
        <f t="shared" si="28"/>
        <v>0.14285714285714285</v>
      </c>
      <c r="Q20" s="29">
        <f t="shared" si="8"/>
        <v>143</v>
      </c>
      <c r="R20" s="29"/>
      <c r="S20" s="35">
        <v>1.1474530831099099</v>
      </c>
      <c r="T20" s="28">
        <v>0</v>
      </c>
      <c r="U20" s="36" t="s">
        <v>33</v>
      </c>
      <c r="V20" s="37" t="s">
        <v>33</v>
      </c>
      <c r="W20" s="28">
        <v>0</v>
      </c>
      <c r="X20" s="38">
        <f t="shared" si="9"/>
        <v>0</v>
      </c>
      <c r="Y20" s="39">
        <f t="shared" si="10"/>
        <v>0</v>
      </c>
      <c r="Z20" s="28">
        <v>0</v>
      </c>
      <c r="AA20" s="28" t="s">
        <v>34</v>
      </c>
      <c r="AB20" s="40">
        <f t="shared" si="11"/>
        <v>-0.69</v>
      </c>
      <c r="AC20" s="41">
        <v>3.9448576388888892E-2</v>
      </c>
      <c r="AD20" s="39">
        <f t="shared" si="12"/>
        <v>-0.32663421250000002</v>
      </c>
      <c r="AE20" s="39">
        <v>-3.48</v>
      </c>
      <c r="AF20" s="39">
        <v>-2.0251000000000001</v>
      </c>
      <c r="AG20" s="39">
        <v>0</v>
      </c>
    </row>
    <row r="21" spans="1:33" ht="15.75" customHeight="1" x14ac:dyDescent="0.2">
      <c r="A21" s="28" t="s">
        <v>59</v>
      </c>
      <c r="B21" s="28" t="s">
        <v>290</v>
      </c>
      <c r="C21" s="15">
        <f t="shared" si="4"/>
        <v>9.0857142857142872</v>
      </c>
      <c r="D21" s="29">
        <v>21</v>
      </c>
      <c r="E21" s="29">
        <v>1</v>
      </c>
      <c r="F21" s="32">
        <v>190.80000000000004</v>
      </c>
      <c r="G21" s="30">
        <v>0</v>
      </c>
      <c r="H21" s="31">
        <f t="shared" si="1"/>
        <v>0</v>
      </c>
      <c r="I21" s="31">
        <f t="shared" si="2"/>
        <v>0.23810104956105882</v>
      </c>
      <c r="J21" s="32">
        <f t="shared" si="5"/>
        <v>45.42968025625003</v>
      </c>
      <c r="K21" s="32">
        <f t="shared" si="3"/>
        <v>2.1633181074404777</v>
      </c>
      <c r="L21" s="29">
        <v>9</v>
      </c>
      <c r="M21" s="33">
        <f t="shared" si="6"/>
        <v>2.3333333333333335</v>
      </c>
      <c r="N21" s="29">
        <v>121</v>
      </c>
      <c r="O21" s="34">
        <f t="shared" ref="O21:P21" si="29">D21/7</f>
        <v>3</v>
      </c>
      <c r="P21" s="34">
        <f t="shared" si="29"/>
        <v>0.14285714285714285</v>
      </c>
      <c r="Q21" s="29">
        <f t="shared" si="8"/>
        <v>38</v>
      </c>
      <c r="R21" s="29"/>
      <c r="S21" s="35">
        <v>0.84345047923322602</v>
      </c>
      <c r="T21" s="28">
        <v>0</v>
      </c>
      <c r="U21" s="36" t="s">
        <v>33</v>
      </c>
      <c r="V21" s="37" t="s">
        <v>33</v>
      </c>
      <c r="W21" s="28">
        <v>0</v>
      </c>
      <c r="X21" s="38">
        <f t="shared" si="9"/>
        <v>0</v>
      </c>
      <c r="Y21" s="39">
        <f t="shared" si="10"/>
        <v>0</v>
      </c>
      <c r="Z21" s="28">
        <v>0</v>
      </c>
      <c r="AA21" s="28" t="s">
        <v>34</v>
      </c>
      <c r="AB21" s="40">
        <f t="shared" si="11"/>
        <v>-0.69</v>
      </c>
      <c r="AC21" s="41">
        <v>3.9448576388888892E-2</v>
      </c>
      <c r="AD21" s="39">
        <f t="shared" si="12"/>
        <v>-1.14321974375</v>
      </c>
      <c r="AE21" s="39">
        <v>-3.48</v>
      </c>
      <c r="AF21" s="39">
        <v>-2.0251000000000001</v>
      </c>
      <c r="AG21" s="39">
        <v>0</v>
      </c>
    </row>
    <row r="22" spans="1:33" ht="15.75" customHeight="1" x14ac:dyDescent="0.2">
      <c r="A22" s="28" t="s">
        <v>60</v>
      </c>
      <c r="B22" s="28" t="s">
        <v>415</v>
      </c>
      <c r="C22" s="15">
        <f t="shared" si="4"/>
        <v>9.6107692307692307</v>
      </c>
      <c r="D22" s="29">
        <v>13</v>
      </c>
      <c r="E22" s="29">
        <v>0</v>
      </c>
      <c r="F22" s="30">
        <v>124.94</v>
      </c>
      <c r="G22" s="30">
        <v>0</v>
      </c>
      <c r="H22" s="31">
        <f t="shared" si="1"/>
        <v>0</v>
      </c>
      <c r="I22" s="31">
        <f t="shared" si="2"/>
        <v>0.27153027484859393</v>
      </c>
      <c r="J22" s="32">
        <f t="shared" si="5"/>
        <v>33.924992539583329</v>
      </c>
      <c r="K22" s="32">
        <f t="shared" si="3"/>
        <v>2.6096148107371793</v>
      </c>
      <c r="L22" s="29">
        <v>12</v>
      </c>
      <c r="M22" s="33">
        <f t="shared" si="6"/>
        <v>1.0833333333333333</v>
      </c>
      <c r="N22" s="29">
        <v>110</v>
      </c>
      <c r="O22" s="34">
        <f t="shared" ref="O22:P22" si="30">D22/7</f>
        <v>1.8571428571428572</v>
      </c>
      <c r="P22" s="34">
        <f t="shared" si="30"/>
        <v>0</v>
      </c>
      <c r="Q22" s="29">
        <f t="shared" si="8"/>
        <v>59</v>
      </c>
      <c r="R22" s="29"/>
      <c r="S22" s="35">
        <v>0.93802345058626402</v>
      </c>
      <c r="T22" s="28">
        <v>0</v>
      </c>
      <c r="U22" s="36" t="s">
        <v>33</v>
      </c>
      <c r="V22" s="37" t="s">
        <v>33</v>
      </c>
      <c r="W22" s="28">
        <v>0</v>
      </c>
      <c r="X22" s="38">
        <f t="shared" si="9"/>
        <v>0</v>
      </c>
      <c r="Y22" s="39">
        <f t="shared" si="10"/>
        <v>0</v>
      </c>
      <c r="Z22" s="28">
        <v>0</v>
      </c>
      <c r="AA22" s="28" t="s">
        <v>34</v>
      </c>
      <c r="AB22" s="40">
        <f t="shared" si="11"/>
        <v>-0.69</v>
      </c>
      <c r="AC22" s="41">
        <v>3.9448576388888892E-2</v>
      </c>
      <c r="AD22" s="39">
        <f t="shared" si="12"/>
        <v>-0.70770746041666666</v>
      </c>
      <c r="AE22" s="39">
        <v>-3.48</v>
      </c>
      <c r="AF22" s="39">
        <v>-2.0251000000000001</v>
      </c>
      <c r="AG22" s="39">
        <v>0</v>
      </c>
    </row>
    <row r="23" spans="1:33" ht="15.75" customHeight="1" x14ac:dyDescent="0.2">
      <c r="A23" s="28" t="s">
        <v>62</v>
      </c>
      <c r="B23" s="28" t="s">
        <v>416</v>
      </c>
      <c r="C23" s="15">
        <f t="shared" si="4"/>
        <v>9.99</v>
      </c>
      <c r="D23" s="29">
        <v>4</v>
      </c>
      <c r="E23" s="29">
        <v>0</v>
      </c>
      <c r="F23" s="32">
        <v>39.96</v>
      </c>
      <c r="G23" s="30">
        <v>0</v>
      </c>
      <c r="H23" s="31">
        <f t="shared" si="1"/>
        <v>0</v>
      </c>
      <c r="I23" s="31">
        <f t="shared" si="2"/>
        <v>0.29348958604437769</v>
      </c>
      <c r="J23" s="32">
        <f t="shared" si="5"/>
        <v>11.727843858333333</v>
      </c>
      <c r="K23" s="32">
        <f t="shared" si="3"/>
        <v>2.9319609645833333</v>
      </c>
      <c r="L23" s="29">
        <v>16</v>
      </c>
      <c r="M23" s="33">
        <f t="shared" si="6"/>
        <v>0.25</v>
      </c>
      <c r="N23" s="29">
        <v>104</v>
      </c>
      <c r="O23" s="34">
        <f t="shared" ref="O23:P23" si="31">D23/7</f>
        <v>0.5714285714285714</v>
      </c>
      <c r="P23" s="34">
        <f t="shared" si="31"/>
        <v>0</v>
      </c>
      <c r="Q23" s="29">
        <f t="shared" si="8"/>
        <v>182</v>
      </c>
      <c r="R23" s="29"/>
      <c r="S23" s="35">
        <v>1.05304518664047</v>
      </c>
      <c r="T23" s="28">
        <v>0</v>
      </c>
      <c r="U23" s="36" t="s">
        <v>33</v>
      </c>
      <c r="V23" s="37" t="s">
        <v>33</v>
      </c>
      <c r="W23" s="28">
        <v>0</v>
      </c>
      <c r="X23" s="38">
        <f t="shared" si="9"/>
        <v>0</v>
      </c>
      <c r="Y23" s="39">
        <f t="shared" si="10"/>
        <v>0</v>
      </c>
      <c r="Z23" s="28">
        <v>0</v>
      </c>
      <c r="AA23" s="28" t="s">
        <v>34</v>
      </c>
      <c r="AB23" s="40">
        <f t="shared" si="11"/>
        <v>-0.69</v>
      </c>
      <c r="AC23" s="41">
        <v>3.9448576388888892E-2</v>
      </c>
      <c r="AD23" s="39">
        <f t="shared" si="12"/>
        <v>-0.21775614166666668</v>
      </c>
      <c r="AE23" s="39">
        <v>-3.48</v>
      </c>
      <c r="AF23" s="39">
        <v>-2.0251000000000001</v>
      </c>
      <c r="AG23" s="39">
        <v>0</v>
      </c>
    </row>
    <row r="24" spans="1:33" ht="15.75" customHeight="1" x14ac:dyDescent="0.2">
      <c r="A24" s="28" t="s">
        <v>64</v>
      </c>
      <c r="B24" s="28" t="s">
        <v>417</v>
      </c>
      <c r="C24" s="15">
        <f t="shared" si="4"/>
        <v>9.24</v>
      </c>
      <c r="D24" s="29">
        <v>1</v>
      </c>
      <c r="E24" s="29">
        <v>0</v>
      </c>
      <c r="F24" s="32">
        <v>9.24</v>
      </c>
      <c r="G24" s="32">
        <v>-0.06</v>
      </c>
      <c r="H24" s="31">
        <f t="shared" si="1"/>
        <v>6.4935064935064931E-3</v>
      </c>
      <c r="I24" s="31">
        <f t="shared" si="2"/>
        <v>0.24182477971681099</v>
      </c>
      <c r="J24" s="32">
        <f t="shared" si="5"/>
        <v>2.2344609645833335</v>
      </c>
      <c r="K24" s="32">
        <f t="shared" si="3"/>
        <v>2.2344609645833335</v>
      </c>
      <c r="L24" s="29">
        <v>14</v>
      </c>
      <c r="M24" s="33">
        <f t="shared" si="6"/>
        <v>7.1428571428571425E-2</v>
      </c>
      <c r="N24" s="29">
        <v>103</v>
      </c>
      <c r="O24" s="34">
        <f t="shared" ref="O24:P24" si="32">D24/7</f>
        <v>0.14285714285714285</v>
      </c>
      <c r="P24" s="34">
        <f t="shared" si="32"/>
        <v>0</v>
      </c>
      <c r="Q24" s="29">
        <f t="shared" si="8"/>
        <v>721</v>
      </c>
      <c r="R24" s="29"/>
      <c r="S24" s="35">
        <v>1.10967741935483</v>
      </c>
      <c r="T24" s="28">
        <v>0</v>
      </c>
      <c r="U24" s="36" t="s">
        <v>33</v>
      </c>
      <c r="V24" s="37" t="s">
        <v>33</v>
      </c>
      <c r="W24" s="28">
        <v>0</v>
      </c>
      <c r="X24" s="38">
        <f t="shared" si="9"/>
        <v>0</v>
      </c>
      <c r="Y24" s="39">
        <f t="shared" si="10"/>
        <v>0</v>
      </c>
      <c r="Z24" s="28">
        <v>0</v>
      </c>
      <c r="AA24" s="28" t="s">
        <v>34</v>
      </c>
      <c r="AB24" s="40">
        <f t="shared" si="11"/>
        <v>-0.69</v>
      </c>
      <c r="AC24" s="41">
        <v>3.9448576388888892E-2</v>
      </c>
      <c r="AD24" s="39">
        <f t="shared" si="12"/>
        <v>-5.443903541666667E-2</v>
      </c>
      <c r="AE24" s="39">
        <v>-3.48</v>
      </c>
      <c r="AF24" s="39">
        <v>-2.0251000000000001</v>
      </c>
      <c r="AG24" s="39">
        <v>0</v>
      </c>
    </row>
    <row r="25" spans="1:33" ht="15.75" customHeight="1" x14ac:dyDescent="0.2">
      <c r="A25" s="28" t="s">
        <v>65</v>
      </c>
      <c r="B25" s="14" t="s">
        <v>47</v>
      </c>
      <c r="C25" s="15">
        <f t="shared" si="4"/>
        <v>8.99</v>
      </c>
      <c r="D25" s="29">
        <v>5</v>
      </c>
      <c r="E25" s="29">
        <v>2</v>
      </c>
      <c r="F25" s="32">
        <v>44.95</v>
      </c>
      <c r="G25" s="32">
        <v>-20.94</v>
      </c>
      <c r="H25" s="31">
        <f t="shared" si="1"/>
        <v>0.46585094549499445</v>
      </c>
      <c r="I25" s="31">
        <f t="shared" si="2"/>
        <v>-0.23480968135891611</v>
      </c>
      <c r="J25" s="32">
        <f t="shared" si="5"/>
        <v>-10.55469517708328</v>
      </c>
      <c r="K25" s="32">
        <f t="shared" si="3"/>
        <v>-2.110939035416656</v>
      </c>
      <c r="L25" s="29">
        <v>25</v>
      </c>
      <c r="M25" s="33">
        <f t="shared" si="6"/>
        <v>0.2</v>
      </c>
      <c r="N25" s="29">
        <v>95</v>
      </c>
      <c r="O25" s="34">
        <f t="shared" ref="O25:P25" si="33">D25/7</f>
        <v>0.7142857142857143</v>
      </c>
      <c r="P25" s="34">
        <f t="shared" si="33"/>
        <v>0.2857142857142857</v>
      </c>
      <c r="Q25" s="29">
        <f t="shared" si="8"/>
        <v>95</v>
      </c>
      <c r="R25" s="29"/>
      <c r="S25" s="35">
        <v>1.1002331002331001</v>
      </c>
      <c r="T25" s="28">
        <v>100</v>
      </c>
      <c r="U25" s="36" t="s">
        <v>33</v>
      </c>
      <c r="V25" s="37" t="s">
        <v>33</v>
      </c>
      <c r="W25" s="14">
        <v>2</v>
      </c>
      <c r="X25" s="38">
        <f t="shared" si="9"/>
        <v>0.4</v>
      </c>
      <c r="Y25" s="39">
        <f t="shared" si="10"/>
        <v>10.47</v>
      </c>
      <c r="Z25" s="14">
        <v>0</v>
      </c>
      <c r="AA25" s="28" t="s">
        <v>34</v>
      </c>
      <c r="AB25" s="40">
        <f t="shared" si="11"/>
        <v>-0.69</v>
      </c>
      <c r="AC25" s="41">
        <v>3.9448576388888892E-2</v>
      </c>
      <c r="AD25" s="39">
        <f t="shared" si="12"/>
        <v>-0.27219517708333335</v>
      </c>
      <c r="AE25" s="39">
        <v>-3.48</v>
      </c>
      <c r="AF25" s="39">
        <v>-2.02999999999999</v>
      </c>
      <c r="AG25" s="39">
        <v>0</v>
      </c>
    </row>
    <row r="26" spans="1:33" ht="15.75" customHeight="1" x14ac:dyDescent="0.2">
      <c r="A26" s="14" t="s">
        <v>67</v>
      </c>
      <c r="B26" s="14" t="s">
        <v>418</v>
      </c>
      <c r="C26" s="15">
        <f t="shared" si="4"/>
        <v>8.99</v>
      </c>
      <c r="D26" s="16">
        <v>9</v>
      </c>
      <c r="E26" s="16">
        <v>1</v>
      </c>
      <c r="F26" s="17">
        <v>80.91</v>
      </c>
      <c r="G26" s="17">
        <v>-7.48</v>
      </c>
      <c r="H26" s="31">
        <f t="shared" si="1"/>
        <v>9.2448399456185895E-2</v>
      </c>
      <c r="I26" s="31">
        <f t="shared" si="2"/>
        <v>0.12053057324496347</v>
      </c>
      <c r="J26" s="32">
        <f t="shared" si="5"/>
        <v>9.7521286812499941</v>
      </c>
      <c r="K26" s="32">
        <f t="shared" si="3"/>
        <v>1.0835698534722216</v>
      </c>
      <c r="L26" s="16">
        <v>25</v>
      </c>
      <c r="M26" s="33">
        <f t="shared" si="6"/>
        <v>0.36</v>
      </c>
      <c r="N26" s="16">
        <v>86</v>
      </c>
      <c r="O26" s="34">
        <f t="shared" ref="O26:P26" si="34">D26/7</f>
        <v>1.2857142857142858</v>
      </c>
      <c r="P26" s="34">
        <f t="shared" si="34"/>
        <v>0.14285714285714285</v>
      </c>
      <c r="Q26" s="29">
        <f t="shared" si="8"/>
        <v>60</v>
      </c>
      <c r="R26" s="29"/>
      <c r="S26" s="21">
        <v>0.79722703639514736</v>
      </c>
      <c r="T26" s="28">
        <v>100</v>
      </c>
      <c r="U26" s="36" t="s">
        <v>33</v>
      </c>
      <c r="V26" s="37" t="s">
        <v>33</v>
      </c>
      <c r="W26" s="14">
        <v>0</v>
      </c>
      <c r="X26" s="38">
        <f t="shared" si="9"/>
        <v>0</v>
      </c>
      <c r="Y26" s="39">
        <f t="shared" si="10"/>
        <v>0</v>
      </c>
      <c r="Z26" s="14">
        <v>0</v>
      </c>
      <c r="AA26" s="28" t="s">
        <v>34</v>
      </c>
      <c r="AB26" s="40">
        <f t="shared" si="11"/>
        <v>-0.69</v>
      </c>
      <c r="AC26" s="41">
        <v>3.9448576388888892E-2</v>
      </c>
      <c r="AD26" s="39">
        <f t="shared" si="12"/>
        <v>-0.48995131875000003</v>
      </c>
      <c r="AE26" s="25">
        <v>-3.64</v>
      </c>
      <c r="AF26" s="25">
        <v>-2.0323799999999999</v>
      </c>
      <c r="AG26" s="25">
        <v>0</v>
      </c>
    </row>
    <row r="27" spans="1:33" ht="15.75" customHeight="1" x14ac:dyDescent="0.2">
      <c r="A27" s="14" t="s">
        <v>69</v>
      </c>
      <c r="B27" s="14" t="s">
        <v>419</v>
      </c>
      <c r="C27" s="15">
        <f t="shared" si="4"/>
        <v>8.9971428571428564</v>
      </c>
      <c r="D27" s="16">
        <v>14</v>
      </c>
      <c r="E27" s="16">
        <v>0</v>
      </c>
      <c r="F27" s="17">
        <v>125.96</v>
      </c>
      <c r="G27" s="17">
        <v>-0.09</v>
      </c>
      <c r="H27" s="31">
        <f t="shared" si="1"/>
        <v>7.1451254366465544E-4</v>
      </c>
      <c r="I27" s="31">
        <f t="shared" si="2"/>
        <v>0.2127701929514659</v>
      </c>
      <c r="J27" s="32">
        <f t="shared" si="5"/>
        <v>26.800533504166644</v>
      </c>
      <c r="K27" s="32">
        <f t="shared" si="3"/>
        <v>1.9143238217261889</v>
      </c>
      <c r="L27" s="16">
        <v>19</v>
      </c>
      <c r="M27" s="33">
        <f t="shared" si="6"/>
        <v>0.73684210526315785</v>
      </c>
      <c r="N27" s="16">
        <v>71</v>
      </c>
      <c r="O27" s="34">
        <f t="shared" ref="O27:P27" si="35">D27/7</f>
        <v>2</v>
      </c>
      <c r="P27" s="34">
        <f t="shared" si="35"/>
        <v>0</v>
      </c>
      <c r="Q27" s="29">
        <f t="shared" si="8"/>
        <v>35</v>
      </c>
      <c r="R27" s="29"/>
      <c r="S27" s="21">
        <v>0.91187739463601536</v>
      </c>
      <c r="T27" s="28">
        <v>100</v>
      </c>
      <c r="U27" s="36" t="s">
        <v>33</v>
      </c>
      <c r="V27" s="37" t="s">
        <v>33</v>
      </c>
      <c r="W27" s="14">
        <v>1</v>
      </c>
      <c r="X27" s="38">
        <f t="shared" si="9"/>
        <v>7.1428571428571425E-2</v>
      </c>
      <c r="Y27" s="39">
        <f t="shared" si="10"/>
        <v>0.09</v>
      </c>
      <c r="Z27" s="14">
        <v>0</v>
      </c>
      <c r="AA27" s="28" t="s">
        <v>34</v>
      </c>
      <c r="AB27" s="40">
        <f t="shared" si="11"/>
        <v>-0.69</v>
      </c>
      <c r="AC27" s="41">
        <v>3.9448576388888892E-2</v>
      </c>
      <c r="AD27" s="39">
        <f t="shared" si="12"/>
        <v>-0.76214649583333338</v>
      </c>
      <c r="AE27" s="25">
        <v>-3.64</v>
      </c>
      <c r="AF27" s="25">
        <v>-2.0323799999999999</v>
      </c>
      <c r="AG27" s="25">
        <v>0</v>
      </c>
    </row>
    <row r="28" spans="1:33" ht="15.75" customHeight="1" x14ac:dyDescent="0.2">
      <c r="A28" s="14" t="s">
        <v>71</v>
      </c>
      <c r="B28" s="14" t="s">
        <v>47</v>
      </c>
      <c r="C28" s="15">
        <f t="shared" si="4"/>
        <v>9.0612499999999994</v>
      </c>
      <c r="D28" s="16">
        <v>8</v>
      </c>
      <c r="E28" s="16">
        <v>1</v>
      </c>
      <c r="F28" s="17">
        <v>72.489999999999995</v>
      </c>
      <c r="G28" s="17">
        <v>-0.1</v>
      </c>
      <c r="H28" s="31">
        <f t="shared" si="1"/>
        <v>1.3795006207752796E-3</v>
      </c>
      <c r="I28" s="31">
        <f t="shared" si="2"/>
        <v>0.21660846622522639</v>
      </c>
      <c r="J28" s="32">
        <f t="shared" si="5"/>
        <v>15.701947716666661</v>
      </c>
      <c r="K28" s="32">
        <f t="shared" si="3"/>
        <v>1.9627434645833326</v>
      </c>
      <c r="L28" s="16">
        <v>19</v>
      </c>
      <c r="M28" s="33">
        <f t="shared" si="6"/>
        <v>0.42105263157894735</v>
      </c>
      <c r="N28" s="16">
        <v>62</v>
      </c>
      <c r="O28" s="34">
        <f t="shared" ref="O28:P28" si="36">D28/7</f>
        <v>1.1428571428571428</v>
      </c>
      <c r="P28" s="34">
        <f t="shared" si="36"/>
        <v>0.14285714285714285</v>
      </c>
      <c r="Q28" s="29">
        <f t="shared" si="8"/>
        <v>48</v>
      </c>
      <c r="R28" s="29"/>
      <c r="S28" s="21">
        <v>1.075555555555556</v>
      </c>
      <c r="T28" s="28">
        <v>100</v>
      </c>
      <c r="U28" s="36" t="s">
        <v>33</v>
      </c>
      <c r="V28" s="37" t="s">
        <v>33</v>
      </c>
      <c r="W28" s="14">
        <v>0</v>
      </c>
      <c r="X28" s="38">
        <f t="shared" si="9"/>
        <v>0</v>
      </c>
      <c r="Y28" s="39">
        <f t="shared" si="10"/>
        <v>0</v>
      </c>
      <c r="Z28" s="14">
        <v>0</v>
      </c>
      <c r="AA28" s="28" t="s">
        <v>34</v>
      </c>
      <c r="AB28" s="40">
        <f t="shared" si="11"/>
        <v>-0.69</v>
      </c>
      <c r="AC28" s="41">
        <v>3.9448576388888892E-2</v>
      </c>
      <c r="AD28" s="39">
        <f t="shared" si="12"/>
        <v>-0.43551228333333336</v>
      </c>
      <c r="AE28" s="25">
        <v>-3.64</v>
      </c>
      <c r="AF28" s="25">
        <v>-2.0323799999999999</v>
      </c>
      <c r="AG28" s="25">
        <v>0</v>
      </c>
    </row>
    <row r="29" spans="1:33" ht="15.75" customHeight="1" x14ac:dyDescent="0.2">
      <c r="A29" s="28" t="s">
        <v>72</v>
      </c>
      <c r="B29" s="28" t="s">
        <v>47</v>
      </c>
      <c r="C29" s="15">
        <f t="shared" si="4"/>
        <v>8.06</v>
      </c>
      <c r="D29" s="29">
        <v>6</v>
      </c>
      <c r="E29" s="29">
        <v>0</v>
      </c>
      <c r="F29" s="32">
        <v>48.36</v>
      </c>
      <c r="G29" s="32">
        <v>0</v>
      </c>
      <c r="H29" s="31">
        <f t="shared" si="1"/>
        <v>0</v>
      </c>
      <c r="I29" s="31">
        <f t="shared" si="2"/>
        <v>0.13947654647435903</v>
      </c>
      <c r="J29" s="32">
        <f t="shared" si="5"/>
        <v>6.7450857875000025</v>
      </c>
      <c r="K29" s="32">
        <f t="shared" si="3"/>
        <v>1.1241809645833338</v>
      </c>
      <c r="L29" s="29">
        <v>26</v>
      </c>
      <c r="M29" s="33">
        <f t="shared" si="6"/>
        <v>0.23076923076923078</v>
      </c>
      <c r="N29" s="16">
        <v>59</v>
      </c>
      <c r="O29" s="34">
        <f t="shared" ref="O29:P29" si="37">D29/7</f>
        <v>0.8571428571428571</v>
      </c>
      <c r="P29" s="34">
        <f t="shared" si="37"/>
        <v>0</v>
      </c>
      <c r="Q29" s="29">
        <f t="shared" si="8"/>
        <v>68</v>
      </c>
      <c r="R29" s="29"/>
      <c r="S29" s="21">
        <v>0.95966029723991508</v>
      </c>
      <c r="T29" s="28">
        <v>100</v>
      </c>
      <c r="U29" s="36" t="s">
        <v>33</v>
      </c>
      <c r="V29" s="37" t="s">
        <v>33</v>
      </c>
      <c r="W29" s="14">
        <v>0</v>
      </c>
      <c r="X29" s="38">
        <f t="shared" si="9"/>
        <v>0</v>
      </c>
      <c r="Y29" s="39">
        <f t="shared" si="10"/>
        <v>0</v>
      </c>
      <c r="Z29" s="14">
        <v>0</v>
      </c>
      <c r="AA29" s="28" t="s">
        <v>34</v>
      </c>
      <c r="AB29" s="40">
        <f t="shared" si="11"/>
        <v>-0.69</v>
      </c>
      <c r="AC29" s="41">
        <v>3.9448576388888892E-2</v>
      </c>
      <c r="AD29" s="39">
        <f t="shared" si="12"/>
        <v>-0.32663421250000002</v>
      </c>
      <c r="AE29" s="39">
        <v>-3.64</v>
      </c>
      <c r="AF29" s="25">
        <v>-2.0323799999999999</v>
      </c>
      <c r="AG29" s="39">
        <v>0</v>
      </c>
    </row>
    <row r="30" spans="1:33" ht="15.75" customHeight="1" x14ac:dyDescent="0.2">
      <c r="A30" s="14" t="s">
        <v>74</v>
      </c>
      <c r="B30" s="14" t="s">
        <v>420</v>
      </c>
      <c r="C30" s="15">
        <f t="shared" si="4"/>
        <v>7.99</v>
      </c>
      <c r="D30" s="16">
        <v>1</v>
      </c>
      <c r="E30" s="16">
        <v>0</v>
      </c>
      <c r="F30" s="17">
        <v>7.99</v>
      </c>
      <c r="G30" s="17">
        <v>0</v>
      </c>
      <c r="H30" s="31">
        <f t="shared" si="1"/>
        <v>0</v>
      </c>
      <c r="I30" s="31">
        <f t="shared" si="2"/>
        <v>0.13951840057363374</v>
      </c>
      <c r="J30" s="32">
        <f t="shared" si="5"/>
        <v>1.1147520205833337</v>
      </c>
      <c r="K30" s="32">
        <f t="shared" si="3"/>
        <v>1.1147520205833337</v>
      </c>
      <c r="L30" s="16">
        <v>15</v>
      </c>
      <c r="M30" s="33">
        <f t="shared" si="6"/>
        <v>6.6666666666666666E-2</v>
      </c>
      <c r="N30" s="16">
        <v>56</v>
      </c>
      <c r="O30" s="34">
        <f t="shared" ref="O30:P30" si="38">D30/7</f>
        <v>0.14285714285714285</v>
      </c>
      <c r="P30" s="34">
        <f t="shared" si="38"/>
        <v>0</v>
      </c>
      <c r="Q30" s="29">
        <f t="shared" si="8"/>
        <v>392</v>
      </c>
      <c r="R30" s="29"/>
      <c r="S30" s="21">
        <v>1.022421524663677</v>
      </c>
      <c r="T30" s="28">
        <v>100</v>
      </c>
      <c r="U30" s="36" t="s">
        <v>33</v>
      </c>
      <c r="V30" s="37" t="s">
        <v>33</v>
      </c>
      <c r="W30" s="14">
        <v>0</v>
      </c>
      <c r="X30" s="38">
        <f t="shared" si="9"/>
        <v>0</v>
      </c>
      <c r="Y30" s="39">
        <f t="shared" si="10"/>
        <v>0</v>
      </c>
      <c r="Z30" s="14">
        <v>0</v>
      </c>
      <c r="AA30" s="28" t="s">
        <v>34</v>
      </c>
      <c r="AB30" s="40">
        <f t="shared" si="11"/>
        <v>-0.69</v>
      </c>
      <c r="AC30" s="41">
        <v>3.9448576388888892E-2</v>
      </c>
      <c r="AD30" s="39">
        <f t="shared" si="12"/>
        <v>-5.443903541666667E-2</v>
      </c>
      <c r="AE30" s="25">
        <v>-3.64</v>
      </c>
      <c r="AF30" s="25">
        <v>-1.9823089439999999</v>
      </c>
      <c r="AG30" s="25">
        <v>0</v>
      </c>
    </row>
    <row r="31" spans="1:33" ht="15.75" customHeight="1" x14ac:dyDescent="0.2">
      <c r="A31" s="14" t="s">
        <v>75</v>
      </c>
      <c r="B31" s="14"/>
      <c r="C31" s="15">
        <f t="shared" si="4"/>
        <v>7.99</v>
      </c>
      <c r="D31" s="16">
        <v>11</v>
      </c>
      <c r="E31" s="16">
        <v>0</v>
      </c>
      <c r="F31" s="17">
        <v>87.89</v>
      </c>
      <c r="G31" s="42">
        <v>-45.5</v>
      </c>
      <c r="H31" s="31">
        <f t="shared" si="1"/>
        <v>0.51769257025827742</v>
      </c>
      <c r="I31" s="31">
        <f t="shared" si="2"/>
        <v>-0.37817416968464362</v>
      </c>
      <c r="J31" s="32">
        <f t="shared" si="5"/>
        <v>-33.23772777358333</v>
      </c>
      <c r="K31" s="32">
        <f t="shared" si="3"/>
        <v>-3.0216116157803028</v>
      </c>
      <c r="L31" s="16">
        <v>37</v>
      </c>
      <c r="M31" s="33">
        <f t="shared" si="6"/>
        <v>0.29729729729729731</v>
      </c>
      <c r="N31" s="16">
        <v>45</v>
      </c>
      <c r="O31" s="34">
        <f t="shared" ref="O31:P32" si="39">D31/7</f>
        <v>1.5714285714285714</v>
      </c>
      <c r="P31" s="34">
        <f t="shared" si="39"/>
        <v>0</v>
      </c>
      <c r="Q31" s="29">
        <f t="shared" si="8"/>
        <v>28</v>
      </c>
      <c r="R31" s="29"/>
      <c r="S31" s="21">
        <v>1.10948905109489</v>
      </c>
      <c r="T31" s="14" t="s">
        <v>33</v>
      </c>
      <c r="U31" s="22" t="s">
        <v>33</v>
      </c>
      <c r="V31" s="1" t="s">
        <v>957</v>
      </c>
      <c r="W31" s="14">
        <v>6</v>
      </c>
      <c r="X31" s="38">
        <f t="shared" si="9"/>
        <v>0.54545454545454541</v>
      </c>
      <c r="Y31" s="39">
        <f t="shared" si="10"/>
        <v>4.1363636363636367</v>
      </c>
      <c r="Z31" s="14">
        <v>5</v>
      </c>
      <c r="AA31" s="14" t="s">
        <v>34</v>
      </c>
      <c r="AB31" s="40">
        <f t="shared" si="11"/>
        <v>-0.69</v>
      </c>
      <c r="AC31" s="27">
        <v>3.9448576388888892E-2</v>
      </c>
      <c r="AD31" s="39">
        <f t="shared" si="12"/>
        <v>-0.59882938958333343</v>
      </c>
      <c r="AE31" s="43">
        <v>-3.64</v>
      </c>
      <c r="AF31" s="43">
        <v>-1.9823089440000001</v>
      </c>
      <c r="AG31" s="25">
        <v>0</v>
      </c>
    </row>
    <row r="32" spans="1:33" s="51" customFormat="1" ht="15.75" customHeight="1" x14ac:dyDescent="0.2">
      <c r="A32" s="51" t="s">
        <v>934</v>
      </c>
      <c r="C32" s="15">
        <f t="shared" si="4"/>
        <v>7.9928571428571429</v>
      </c>
      <c r="D32" s="52">
        <v>21</v>
      </c>
      <c r="E32" s="52">
        <v>0</v>
      </c>
      <c r="F32" s="53">
        <v>167.85</v>
      </c>
      <c r="G32" s="53">
        <v>-27.72</v>
      </c>
      <c r="H32" s="31">
        <f t="shared" si="1"/>
        <v>0.16514745308310991</v>
      </c>
      <c r="I32" s="31">
        <f t="shared" si="2"/>
        <v>-2.5375082322013714E-2</v>
      </c>
      <c r="J32" s="32">
        <f t="shared" si="5"/>
        <v>-4.2592075677500016</v>
      </c>
      <c r="K32" s="32">
        <f t="shared" si="3"/>
        <v>-0.20281940798809531</v>
      </c>
      <c r="L32" s="52">
        <v>27</v>
      </c>
      <c r="M32" s="33">
        <f t="shared" si="6"/>
        <v>0.77777777777777779</v>
      </c>
      <c r="N32" s="52">
        <v>27</v>
      </c>
      <c r="O32" s="34">
        <f t="shared" si="39"/>
        <v>3</v>
      </c>
      <c r="P32" s="34">
        <f t="shared" si="39"/>
        <v>0</v>
      </c>
      <c r="Q32" s="29">
        <f t="shared" si="8"/>
        <v>9</v>
      </c>
      <c r="R32" s="29" t="str">
        <f ca="1">IFERROR(VLOOKUP($B$2,IMPORTRANGE("https://docs.google.com/spreadsheets/d/1KiWZV1ko8G7lnRucBRBd29jj3Be6ltMfljMDqzOkQmI/edit#gid=1381463014","Lookup!A:F"),6,FALSE),"")</f>
        <v/>
      </c>
      <c r="S32" s="54">
        <v>1.429394812680115</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11</v>
      </c>
      <c r="X32" s="38">
        <f t="shared" si="9"/>
        <v>0.52380952380952384</v>
      </c>
      <c r="Y32" s="39">
        <f t="shared" si="10"/>
        <v>2.132307692307692</v>
      </c>
      <c r="Z32" s="51">
        <v>2</v>
      </c>
      <c r="AA32" s="51" t="s">
        <v>34</v>
      </c>
      <c r="AB32" s="40">
        <f t="shared" si="11"/>
        <v>-0.69</v>
      </c>
      <c r="AC32" s="57">
        <v>3.9448576388888892E-2</v>
      </c>
      <c r="AD32" s="39">
        <f t="shared" si="12"/>
        <v>-1.14321974375</v>
      </c>
      <c r="AE32" s="58">
        <v>-3.64</v>
      </c>
      <c r="AF32" s="58">
        <v>-1.9823089439999999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33"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78.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Info!B1:BJ5000""),3,FALSE),"""")"),"18 AWG Replacement Power Cord with Open End - 6 Ft Black Extension Cable, 18/2 SJT")</f>
        <v>18 AWG Replacement Power Cord with Open End - 6 Ft Black Extension Cable, 18/2 SJT</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Info!B1:BJ5000""),2,FALSE),"""")"),"B08LHCF37D")</f>
        <v>B08LHCF37D</v>
      </c>
      <c r="B2" s="3" t="s">
        <v>421</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28.5" customHeight="1" x14ac:dyDescent="0.2">
      <c r="A3" s="76" t="s">
        <v>30</v>
      </c>
      <c r="B3" s="77"/>
      <c r="C3" s="47">
        <f>((AE32+AF32)/0.85)*-1</f>
        <v>5.4041176470588246</v>
      </c>
      <c r="D3" s="5">
        <f>SUM(D4:D99765)</f>
        <v>150</v>
      </c>
      <c r="E3" s="5"/>
      <c r="F3" s="6">
        <f t="shared" ref="F3:G3" si="0">SUM(F4:F99765)</f>
        <v>1091.1100000000001</v>
      </c>
      <c r="G3" s="6">
        <f t="shared" si="0"/>
        <v>-273.08000000000004</v>
      </c>
      <c r="H3" s="7">
        <f>G3/F3*-1</f>
        <v>0.25027724060818801</v>
      </c>
      <c r="I3" s="8">
        <f>J3/F3</f>
        <v>-3.4416720772353873E-2</v>
      </c>
      <c r="J3" s="6">
        <f>SUM(J4:J99765)</f>
        <v>-37.552428201923036</v>
      </c>
      <c r="K3" s="6">
        <f>J3/D3</f>
        <v>-0.25034952134615357</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37</v>
      </c>
      <c r="X3" s="7">
        <f>W3/D3</f>
        <v>0.24666666666666667</v>
      </c>
      <c r="Y3" s="6"/>
      <c r="Z3" s="5"/>
      <c r="AA3" s="5"/>
      <c r="AB3" s="5"/>
      <c r="AC3" s="5"/>
      <c r="AD3" s="6">
        <f>SUM(AD4:AD99765)</f>
        <v>-10.471713125000001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Info!B2:BZ7000""),37,FALSE)),"""")*-1"),-1.1235)</f>
        <v>-1.1234999999999999</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customHeight="1" x14ac:dyDescent="0.2">
      <c r="A10" s="28" t="s">
        <v>46</v>
      </c>
      <c r="B10" s="28" t="s">
        <v>422</v>
      </c>
      <c r="C10" s="15">
        <f t="shared" ref="C10:C32" si="1">IFERROR(F10/D10," - ")</f>
        <v>6.9899999999999993</v>
      </c>
      <c r="D10" s="29">
        <v>3</v>
      </c>
      <c r="E10" s="29">
        <v>0</v>
      </c>
      <c r="F10" s="30">
        <v>20.97</v>
      </c>
      <c r="G10" s="30">
        <v>-17.510000000000002</v>
      </c>
      <c r="H10" s="31">
        <f t="shared" ref="H10:H32" si="2">G10/F10*-1</f>
        <v>0.83500238435860763</v>
      </c>
      <c r="I10" s="31">
        <f t="shared" ref="I10:I32" si="3">J10/F10</f>
        <v>-0.58245759661237684</v>
      </c>
      <c r="J10" s="32">
        <f t="shared" ref="J10:J32" si="4">F10*0.85+G10+AF10*D10+D10*AE10+AG10+AD10</f>
        <v>-12.214135800961541</v>
      </c>
      <c r="K10" s="32">
        <f t="shared" ref="K10:K32" si="5">J10/D10</f>
        <v>-4.0713786003205135</v>
      </c>
      <c r="L10" s="29">
        <v>20</v>
      </c>
      <c r="M10" s="33">
        <f t="shared" ref="M10:M32" si="6">IFERROR(D10/L10,"-")</f>
        <v>0.15</v>
      </c>
      <c r="N10" s="29">
        <v>48</v>
      </c>
      <c r="O10" s="34">
        <f t="shared" ref="O10:P10" si="7">D10/7</f>
        <v>0.42857142857142855</v>
      </c>
      <c r="P10" s="34">
        <f t="shared" si="7"/>
        <v>0</v>
      </c>
      <c r="Q10" s="29">
        <f t="shared" ref="Q10:Q32" si="8">ROUNDDOWN(N10/(O10+P10),0)</f>
        <v>112</v>
      </c>
      <c r="R10" s="29"/>
      <c r="S10" s="35">
        <v>0.125</v>
      </c>
      <c r="T10" s="28">
        <v>0</v>
      </c>
      <c r="U10" s="36" t="s">
        <v>33</v>
      </c>
      <c r="V10" s="37" t="s">
        <v>33</v>
      </c>
      <c r="W10" s="28">
        <v>2</v>
      </c>
      <c r="X10" s="38">
        <f t="shared" ref="X10:X32" si="9">IFERROR(W10/D10,0)</f>
        <v>0.66666666666666663</v>
      </c>
      <c r="Y10" s="39">
        <f t="shared" ref="Y10:Y32" si="10">IFERROR(G10/(W10+Z10)*-1,0)</f>
        <v>8.7550000000000008</v>
      </c>
      <c r="Z10" s="28">
        <v>0</v>
      </c>
      <c r="AA10" s="28" t="s">
        <v>34</v>
      </c>
      <c r="AB10" s="40">
        <f t="shared" ref="AB10:AB32" si="11">IF(OR(AA10="UsLargeStandardSize",AA10="UsSmallStandardSize"),-0.69,-0.48)</f>
        <v>-0.69</v>
      </c>
      <c r="AC10" s="41">
        <v>5.0587986111111108E-2</v>
      </c>
      <c r="AD10" s="39">
        <f t="shared" ref="AD10:AD32" si="12">IFERROR(AB10*AC10*D10*2,0)</f>
        <v>-0.20943426249999997</v>
      </c>
      <c r="AE10" s="39">
        <v>-3.31</v>
      </c>
      <c r="AF10" s="39">
        <v>-0.79640051282051205</v>
      </c>
      <c r="AG10" s="39">
        <v>0</v>
      </c>
    </row>
    <row r="11" spans="1:33" ht="15.75" customHeight="1" x14ac:dyDescent="0.2">
      <c r="A11" s="28" t="s">
        <v>48</v>
      </c>
      <c r="B11" s="28" t="s">
        <v>423</v>
      </c>
      <c r="C11" s="15">
        <f t="shared" si="1"/>
        <v>6.99</v>
      </c>
      <c r="D11" s="29">
        <v>1</v>
      </c>
      <c r="E11" s="29">
        <v>2</v>
      </c>
      <c r="F11" s="30">
        <v>6.99</v>
      </c>
      <c r="G11" s="30">
        <v>-0.08</v>
      </c>
      <c r="H11" s="31">
        <f t="shared" si="2"/>
        <v>1.1444921316165951E-2</v>
      </c>
      <c r="I11" s="31">
        <f t="shared" si="3"/>
        <v>0.24109986643006501</v>
      </c>
      <c r="J11" s="32">
        <f t="shared" si="4"/>
        <v>1.6852880663461545</v>
      </c>
      <c r="K11" s="32">
        <f t="shared" si="5"/>
        <v>1.6852880663461545</v>
      </c>
      <c r="L11" s="29">
        <v>12</v>
      </c>
      <c r="M11" s="33">
        <f t="shared" si="6"/>
        <v>8.3333333333333329E-2</v>
      </c>
      <c r="N11" s="29">
        <v>171</v>
      </c>
      <c r="O11" s="34">
        <f t="shared" ref="O11:P11" si="13">D11/7</f>
        <v>0.14285714285714285</v>
      </c>
      <c r="P11" s="34">
        <f t="shared" si="13"/>
        <v>0.2857142857142857</v>
      </c>
      <c r="Q11" s="29">
        <f t="shared" si="8"/>
        <v>399</v>
      </c>
      <c r="R11" s="29"/>
      <c r="S11" s="35">
        <v>7.0588235294117604E-2</v>
      </c>
      <c r="T11" s="28">
        <v>0</v>
      </c>
      <c r="U11" s="36" t="s">
        <v>33</v>
      </c>
      <c r="V11" s="37" t="s">
        <v>33</v>
      </c>
      <c r="W11" s="28">
        <v>0</v>
      </c>
      <c r="X11" s="38">
        <f t="shared" si="9"/>
        <v>0</v>
      </c>
      <c r="Y11" s="39">
        <f t="shared" si="10"/>
        <v>0</v>
      </c>
      <c r="Z11" s="28">
        <v>0</v>
      </c>
      <c r="AA11" s="28" t="s">
        <v>34</v>
      </c>
      <c r="AB11" s="40">
        <f t="shared" si="11"/>
        <v>-0.69</v>
      </c>
      <c r="AC11" s="41">
        <v>5.0587986111111108E-2</v>
      </c>
      <c r="AD11" s="39">
        <f t="shared" si="12"/>
        <v>-6.9811420833333318E-2</v>
      </c>
      <c r="AE11" s="39">
        <v>-3.31</v>
      </c>
      <c r="AF11" s="39">
        <v>-0.79640051282051205</v>
      </c>
      <c r="AG11" s="39">
        <v>0</v>
      </c>
    </row>
    <row r="12" spans="1:33" ht="15.75" customHeight="1" x14ac:dyDescent="0.2">
      <c r="A12" s="28" t="s">
        <v>49</v>
      </c>
      <c r="B12" s="28" t="s">
        <v>424</v>
      </c>
      <c r="C12" s="15">
        <f t="shared" si="1"/>
        <v>6.4850000000000003</v>
      </c>
      <c r="D12" s="29">
        <v>2</v>
      </c>
      <c r="E12" s="29">
        <v>0</v>
      </c>
      <c r="F12" s="30">
        <v>12.97</v>
      </c>
      <c r="G12" s="30">
        <v>-69.45</v>
      </c>
      <c r="H12" s="31">
        <f t="shared" si="2"/>
        <v>5.3546646106399383</v>
      </c>
      <c r="I12" s="31">
        <f t="shared" si="3"/>
        <v>-5.1486448625526355</v>
      </c>
      <c r="J12" s="32">
        <f t="shared" si="4"/>
        <v>-66.777923867307692</v>
      </c>
      <c r="K12" s="32">
        <f t="shared" si="5"/>
        <v>-33.388961933653846</v>
      </c>
      <c r="L12" s="29">
        <v>16</v>
      </c>
      <c r="M12" s="33">
        <f t="shared" si="6"/>
        <v>0.125</v>
      </c>
      <c r="N12" s="29">
        <v>217</v>
      </c>
      <c r="O12" s="34">
        <f t="shared" ref="O12:P12" si="14">D12/7</f>
        <v>0.2857142857142857</v>
      </c>
      <c r="P12" s="34">
        <f t="shared" si="14"/>
        <v>0</v>
      </c>
      <c r="Q12" s="29">
        <f t="shared" si="8"/>
        <v>759</v>
      </c>
      <c r="R12" s="29"/>
      <c r="S12" s="35">
        <v>9.6774193548387094E-2</v>
      </c>
      <c r="T12" s="28">
        <v>0</v>
      </c>
      <c r="U12" s="36" t="s">
        <v>33</v>
      </c>
      <c r="V12" s="37" t="s">
        <v>33</v>
      </c>
      <c r="W12" s="28">
        <v>1</v>
      </c>
      <c r="X12" s="38">
        <f t="shared" si="9"/>
        <v>0.5</v>
      </c>
      <c r="Y12" s="39">
        <f t="shared" si="10"/>
        <v>69.45</v>
      </c>
      <c r="Z12" s="28">
        <v>0</v>
      </c>
      <c r="AA12" s="28" t="s">
        <v>34</v>
      </c>
      <c r="AB12" s="40">
        <f t="shared" si="11"/>
        <v>-0.69</v>
      </c>
      <c r="AC12" s="41">
        <v>5.0587986111111108E-2</v>
      </c>
      <c r="AD12" s="39">
        <f t="shared" si="12"/>
        <v>-0.13962284166666664</v>
      </c>
      <c r="AE12" s="39">
        <v>-3.31</v>
      </c>
      <c r="AF12" s="39">
        <v>-0.79640051282051205</v>
      </c>
      <c r="AG12" s="39">
        <v>0</v>
      </c>
    </row>
    <row r="13" spans="1:33" ht="15.75" customHeight="1" x14ac:dyDescent="0.2">
      <c r="A13" s="28" t="s">
        <v>50</v>
      </c>
      <c r="B13" s="28" t="s">
        <v>425</v>
      </c>
      <c r="C13" s="15">
        <f t="shared" si="1"/>
        <v>6.1616666666666662</v>
      </c>
      <c r="D13" s="29">
        <v>6</v>
      </c>
      <c r="E13" s="29">
        <v>0</v>
      </c>
      <c r="F13" s="32">
        <v>36.97</v>
      </c>
      <c r="G13" s="30">
        <v>-8.629999999999999</v>
      </c>
      <c r="H13" s="31">
        <f t="shared" si="2"/>
        <v>0.23343251284825534</v>
      </c>
      <c r="I13" s="31">
        <f t="shared" si="3"/>
        <v>-6.2500636326751235E-2</v>
      </c>
      <c r="J13" s="32">
        <f t="shared" si="4"/>
        <v>-2.3106485249999933</v>
      </c>
      <c r="K13" s="32">
        <f t="shared" si="5"/>
        <v>-0.38510808749999886</v>
      </c>
      <c r="L13" s="29">
        <v>7</v>
      </c>
      <c r="M13" s="33">
        <f t="shared" si="6"/>
        <v>0.8571428571428571</v>
      </c>
      <c r="N13" s="29">
        <v>186</v>
      </c>
      <c r="O13" s="34">
        <f t="shared" ref="O13:P13" si="15">D13/7</f>
        <v>0.8571428571428571</v>
      </c>
      <c r="P13" s="34">
        <f t="shared" si="15"/>
        <v>0</v>
      </c>
      <c r="Q13" s="29">
        <f t="shared" si="8"/>
        <v>217</v>
      </c>
      <c r="R13" s="29"/>
      <c r="S13" s="35">
        <v>0.125</v>
      </c>
      <c r="T13" s="28">
        <v>0</v>
      </c>
      <c r="U13" s="36" t="s">
        <v>33</v>
      </c>
      <c r="V13" s="37" t="s">
        <v>33</v>
      </c>
      <c r="W13" s="28">
        <v>0</v>
      </c>
      <c r="X13" s="38">
        <f t="shared" si="9"/>
        <v>0</v>
      </c>
      <c r="Y13" s="39">
        <f t="shared" si="10"/>
        <v>4.3149999999999995</v>
      </c>
      <c r="Z13" s="28">
        <v>2</v>
      </c>
      <c r="AA13" s="28" t="s">
        <v>34</v>
      </c>
      <c r="AB13" s="40">
        <f t="shared" si="11"/>
        <v>-0.69</v>
      </c>
      <c r="AC13" s="41">
        <v>5.0587986111111108E-2</v>
      </c>
      <c r="AD13" s="39">
        <f t="shared" si="12"/>
        <v>-0.41886852499999994</v>
      </c>
      <c r="AE13" s="39">
        <v>-3.31</v>
      </c>
      <c r="AF13" s="39">
        <v>-0.80437999999999898</v>
      </c>
      <c r="AG13" s="39">
        <v>0</v>
      </c>
    </row>
    <row r="14" spans="1:33" ht="15.75" customHeight="1" x14ac:dyDescent="0.2">
      <c r="A14" s="28" t="s">
        <v>51</v>
      </c>
      <c r="B14" s="28" t="s">
        <v>426</v>
      </c>
      <c r="C14" s="15" t="str">
        <f t="shared" si="1"/>
        <v xml:space="preserve"> - </v>
      </c>
      <c r="D14" s="29">
        <v>0</v>
      </c>
      <c r="E14" s="29">
        <v>0</v>
      </c>
      <c r="F14" s="32">
        <v>0</v>
      </c>
      <c r="G14" s="30">
        <v>-0.25</v>
      </c>
      <c r="H14" s="31" t="e">
        <f t="shared" si="2"/>
        <v>#DIV/0!</v>
      </c>
      <c r="I14" s="31" t="e">
        <f t="shared" si="3"/>
        <v>#DIV/0!</v>
      </c>
      <c r="J14" s="32">
        <f t="shared" si="4"/>
        <v>-0.25</v>
      </c>
      <c r="K14" s="32" t="e">
        <f t="shared" si="5"/>
        <v>#DIV/0!</v>
      </c>
      <c r="L14" s="29">
        <v>0</v>
      </c>
      <c r="M14" s="33" t="str">
        <f t="shared" si="6"/>
        <v>-</v>
      </c>
      <c r="N14" s="29">
        <v>186</v>
      </c>
      <c r="O14" s="34">
        <f t="shared" ref="O14:P14" si="16">D14/7</f>
        <v>0</v>
      </c>
      <c r="P14" s="34">
        <f t="shared" si="16"/>
        <v>0</v>
      </c>
      <c r="Q14" s="29" t="e">
        <f t="shared" si="8"/>
        <v>#DIV/0!</v>
      </c>
      <c r="R14" s="29"/>
      <c r="S14" s="35">
        <v>0.23931623931623899</v>
      </c>
      <c r="T14" s="28">
        <v>0</v>
      </c>
      <c r="U14" s="36" t="s">
        <v>33</v>
      </c>
      <c r="V14" s="37" t="s">
        <v>33</v>
      </c>
      <c r="W14" s="28">
        <v>0</v>
      </c>
      <c r="X14" s="38">
        <f t="shared" si="9"/>
        <v>0</v>
      </c>
      <c r="Y14" s="39">
        <f t="shared" si="10"/>
        <v>0</v>
      </c>
      <c r="Z14" s="28">
        <v>0</v>
      </c>
      <c r="AA14" s="28" t="s">
        <v>34</v>
      </c>
      <c r="AB14" s="40">
        <f t="shared" si="11"/>
        <v>-0.69</v>
      </c>
      <c r="AC14" s="41">
        <v>5.0587986111111108E-2</v>
      </c>
      <c r="AD14" s="39">
        <f t="shared" si="12"/>
        <v>0</v>
      </c>
      <c r="AE14" s="39">
        <v>-3.31</v>
      </c>
      <c r="AF14" s="39">
        <v>-0.80437999999999898</v>
      </c>
      <c r="AG14" s="39">
        <v>0</v>
      </c>
    </row>
    <row r="15" spans="1:33" ht="15.75" customHeight="1" x14ac:dyDescent="0.2">
      <c r="A15" s="28" t="s">
        <v>53</v>
      </c>
      <c r="B15" s="28" t="s">
        <v>47</v>
      </c>
      <c r="C15" s="15">
        <f t="shared" si="1"/>
        <v>7.2733333333333325</v>
      </c>
      <c r="D15" s="29">
        <v>6</v>
      </c>
      <c r="E15" s="29">
        <v>0</v>
      </c>
      <c r="F15" s="32">
        <v>43.639999999999993</v>
      </c>
      <c r="G15" s="30">
        <v>0</v>
      </c>
      <c r="H15" s="31">
        <f t="shared" si="2"/>
        <v>0</v>
      </c>
      <c r="I15" s="31">
        <f t="shared" si="3"/>
        <v>0.22964462591659018</v>
      </c>
      <c r="J15" s="32">
        <f t="shared" si="4"/>
        <v>10.021691474999994</v>
      </c>
      <c r="K15" s="32">
        <f t="shared" si="5"/>
        <v>1.670281912499999</v>
      </c>
      <c r="L15" s="29">
        <v>12</v>
      </c>
      <c r="M15" s="33">
        <f t="shared" si="6"/>
        <v>0.5</v>
      </c>
      <c r="N15" s="29">
        <v>180</v>
      </c>
      <c r="O15" s="34">
        <f t="shared" ref="O15:P15" si="17">D15/7</f>
        <v>0.8571428571428571</v>
      </c>
      <c r="P15" s="34">
        <f t="shared" si="17"/>
        <v>0</v>
      </c>
      <c r="Q15" s="29">
        <f t="shared" si="8"/>
        <v>210</v>
      </c>
      <c r="R15" s="29"/>
      <c r="S15" s="35">
        <v>0.33333333333333298</v>
      </c>
      <c r="T15" s="28">
        <v>0</v>
      </c>
      <c r="U15" s="36" t="s">
        <v>33</v>
      </c>
      <c r="V15" s="37" t="s">
        <v>33</v>
      </c>
      <c r="W15" s="28">
        <v>0</v>
      </c>
      <c r="X15" s="38">
        <f t="shared" si="9"/>
        <v>0</v>
      </c>
      <c r="Y15" s="39">
        <f t="shared" si="10"/>
        <v>0</v>
      </c>
      <c r="Z15" s="28">
        <v>0</v>
      </c>
      <c r="AA15" s="28" t="s">
        <v>34</v>
      </c>
      <c r="AB15" s="40">
        <f t="shared" si="11"/>
        <v>-0.69</v>
      </c>
      <c r="AC15" s="41">
        <v>5.0587986111111108E-2</v>
      </c>
      <c r="AD15" s="39">
        <f t="shared" si="12"/>
        <v>-0.41886852499999994</v>
      </c>
      <c r="AE15" s="39">
        <v>-3.31</v>
      </c>
      <c r="AF15" s="39">
        <v>-1.1322399999999999</v>
      </c>
      <c r="AG15" s="39">
        <v>0</v>
      </c>
    </row>
    <row r="16" spans="1:33" ht="15.75" customHeight="1" x14ac:dyDescent="0.2">
      <c r="A16" s="28" t="s">
        <v>54</v>
      </c>
      <c r="B16" s="28" t="s">
        <v>427</v>
      </c>
      <c r="C16" s="15">
        <f t="shared" si="1"/>
        <v>7.6166666666666663</v>
      </c>
      <c r="D16" s="29">
        <v>3</v>
      </c>
      <c r="E16" s="29">
        <v>0</v>
      </c>
      <c r="F16" s="32">
        <v>22.849999999999998</v>
      </c>
      <c r="G16" s="30">
        <v>-0.35</v>
      </c>
      <c r="H16" s="31">
        <f t="shared" si="2"/>
        <v>1.5317286652078776E-2</v>
      </c>
      <c r="I16" s="31">
        <f t="shared" si="3"/>
        <v>0.24229084190371983</v>
      </c>
      <c r="J16" s="32">
        <f t="shared" si="4"/>
        <v>5.5363457374999978</v>
      </c>
      <c r="K16" s="32">
        <f t="shared" si="5"/>
        <v>1.8454485791666659</v>
      </c>
      <c r="L16" s="29">
        <v>10</v>
      </c>
      <c r="M16" s="33">
        <f t="shared" si="6"/>
        <v>0.3</v>
      </c>
      <c r="N16" s="29">
        <v>177</v>
      </c>
      <c r="O16" s="34">
        <f t="shared" ref="O16:P16" si="18">D16/7</f>
        <v>0.42857142857142855</v>
      </c>
      <c r="P16" s="34">
        <f t="shared" si="18"/>
        <v>0</v>
      </c>
      <c r="Q16" s="29">
        <f t="shared" si="8"/>
        <v>413</v>
      </c>
      <c r="R16" s="29"/>
      <c r="S16" s="35">
        <v>0.274143302180685</v>
      </c>
      <c r="T16" s="28">
        <v>0</v>
      </c>
      <c r="U16" s="36" t="s">
        <v>33</v>
      </c>
      <c r="V16" s="37" t="s">
        <v>33</v>
      </c>
      <c r="W16" s="28">
        <v>0</v>
      </c>
      <c r="X16" s="38">
        <f t="shared" si="9"/>
        <v>0</v>
      </c>
      <c r="Y16" s="39">
        <f t="shared" si="10"/>
        <v>0</v>
      </c>
      <c r="Z16" s="28">
        <v>0</v>
      </c>
      <c r="AA16" s="28" t="s">
        <v>34</v>
      </c>
      <c r="AB16" s="40">
        <f t="shared" si="11"/>
        <v>-0.69</v>
      </c>
      <c r="AC16" s="41">
        <v>5.0587986111111108E-2</v>
      </c>
      <c r="AD16" s="39">
        <f t="shared" si="12"/>
        <v>-0.20943426249999997</v>
      </c>
      <c r="AE16" s="39">
        <v>-3.31</v>
      </c>
      <c r="AF16" s="39">
        <v>-1.1322399999999999</v>
      </c>
      <c r="AG16" s="39">
        <v>0</v>
      </c>
    </row>
    <row r="17" spans="1:33" ht="15.75" customHeight="1" x14ac:dyDescent="0.2">
      <c r="A17" s="28" t="s">
        <v>55</v>
      </c>
      <c r="B17" s="28" t="s">
        <v>316</v>
      </c>
      <c r="C17" s="15">
        <f t="shared" si="1"/>
        <v>8.4675000000000011</v>
      </c>
      <c r="D17" s="29">
        <v>4</v>
      </c>
      <c r="E17" s="29">
        <v>0</v>
      </c>
      <c r="F17" s="32">
        <v>33.870000000000005</v>
      </c>
      <c r="G17" s="30">
        <v>-37.78</v>
      </c>
      <c r="H17" s="31">
        <f t="shared" si="2"/>
        <v>1.1154413935636256</v>
      </c>
      <c r="I17" s="31">
        <f t="shared" si="3"/>
        <v>-0.79830840517665558</v>
      </c>
      <c r="J17" s="32">
        <f t="shared" si="4"/>
        <v>-27.03870568333333</v>
      </c>
      <c r="K17" s="32">
        <f t="shared" si="5"/>
        <v>-6.7596764208333324</v>
      </c>
      <c r="L17" s="29">
        <v>21</v>
      </c>
      <c r="M17" s="33">
        <f t="shared" si="6"/>
        <v>0.19047619047619047</v>
      </c>
      <c r="N17" s="29">
        <v>175</v>
      </c>
      <c r="O17" s="34">
        <f t="shared" ref="O17:P17" si="19">D17/7</f>
        <v>0.5714285714285714</v>
      </c>
      <c r="P17" s="34">
        <f t="shared" si="19"/>
        <v>0</v>
      </c>
      <c r="Q17" s="29">
        <f t="shared" si="8"/>
        <v>306</v>
      </c>
      <c r="R17" s="29"/>
      <c r="S17" s="35">
        <v>0.27397260273972601</v>
      </c>
      <c r="T17" s="28">
        <v>0</v>
      </c>
      <c r="U17" s="36" t="s">
        <v>33</v>
      </c>
      <c r="V17" s="37" t="s">
        <v>33</v>
      </c>
      <c r="W17" s="28">
        <v>2</v>
      </c>
      <c r="X17" s="38">
        <f t="shared" si="9"/>
        <v>0.5</v>
      </c>
      <c r="Y17" s="39">
        <f t="shared" si="10"/>
        <v>2.6985714285714288</v>
      </c>
      <c r="Z17" s="28">
        <v>12</v>
      </c>
      <c r="AA17" s="28" t="s">
        <v>34</v>
      </c>
      <c r="AB17" s="40">
        <f t="shared" si="11"/>
        <v>-0.69</v>
      </c>
      <c r="AC17" s="41">
        <v>5.0587986111111108E-2</v>
      </c>
      <c r="AD17" s="39">
        <f t="shared" si="12"/>
        <v>-0.27924568333333327</v>
      </c>
      <c r="AE17" s="39">
        <v>-3.31</v>
      </c>
      <c r="AF17" s="39">
        <v>-1.1322399999999999</v>
      </c>
      <c r="AG17" s="39">
        <v>0</v>
      </c>
    </row>
    <row r="18" spans="1:33" ht="15.75" customHeight="1" x14ac:dyDescent="0.2">
      <c r="A18" s="28" t="s">
        <v>56</v>
      </c>
      <c r="B18" s="28" t="s">
        <v>428</v>
      </c>
      <c r="C18" s="15">
        <f t="shared" si="1"/>
        <v>6.5166666666666666</v>
      </c>
      <c r="D18" s="29">
        <v>3</v>
      </c>
      <c r="E18" s="29">
        <v>0</v>
      </c>
      <c r="F18" s="32">
        <v>19.55</v>
      </c>
      <c r="G18" s="30">
        <v>-37.479999999999997</v>
      </c>
      <c r="H18" s="31">
        <f t="shared" si="2"/>
        <v>1.9171355498721225</v>
      </c>
      <c r="I18" s="31">
        <f t="shared" si="3"/>
        <v>-1.7595219571611247</v>
      </c>
      <c r="J18" s="32">
        <f t="shared" si="4"/>
        <v>-34.398654262499988</v>
      </c>
      <c r="K18" s="32">
        <f t="shared" si="5"/>
        <v>-11.466218087499996</v>
      </c>
      <c r="L18" s="29">
        <v>25</v>
      </c>
      <c r="M18" s="33">
        <f t="shared" si="6"/>
        <v>0.12</v>
      </c>
      <c r="N18" s="29">
        <v>170</v>
      </c>
      <c r="O18" s="34">
        <f t="shared" ref="O18:P18" si="20">D18/7</f>
        <v>0.42857142857142855</v>
      </c>
      <c r="P18" s="34">
        <f t="shared" si="20"/>
        <v>0</v>
      </c>
      <c r="Q18" s="29">
        <f t="shared" si="8"/>
        <v>396</v>
      </c>
      <c r="R18" s="29"/>
      <c r="S18" s="35">
        <v>0.30366492146596802</v>
      </c>
      <c r="T18" s="28">
        <v>0</v>
      </c>
      <c r="U18" s="36">
        <v>0</v>
      </c>
      <c r="V18" s="37" t="s">
        <v>33</v>
      </c>
      <c r="W18" s="28">
        <v>2</v>
      </c>
      <c r="X18" s="38">
        <f t="shared" si="9"/>
        <v>0.66666666666666663</v>
      </c>
      <c r="Y18" s="39">
        <f t="shared" si="10"/>
        <v>4.6849999999999996</v>
      </c>
      <c r="Z18" s="28">
        <v>6</v>
      </c>
      <c r="AA18" s="28" t="s">
        <v>34</v>
      </c>
      <c r="AB18" s="40">
        <f t="shared" si="11"/>
        <v>-0.69</v>
      </c>
      <c r="AC18" s="41">
        <v>5.0587986111111108E-2</v>
      </c>
      <c r="AD18" s="39">
        <f t="shared" si="12"/>
        <v>-0.20943426249999997</v>
      </c>
      <c r="AE18" s="39">
        <v>-3.31</v>
      </c>
      <c r="AF18" s="39">
        <v>-1.1322399999999999</v>
      </c>
      <c r="AG18" s="39">
        <v>0</v>
      </c>
    </row>
    <row r="19" spans="1:33" ht="15.75" customHeight="1" x14ac:dyDescent="0.2">
      <c r="A19" s="28" t="s">
        <v>57</v>
      </c>
      <c r="B19" s="28"/>
      <c r="C19" s="15" t="str">
        <f t="shared" si="1"/>
        <v xml:space="preserve"> - </v>
      </c>
      <c r="D19" s="29">
        <v>0</v>
      </c>
      <c r="E19" s="29">
        <v>0</v>
      </c>
      <c r="F19" s="32">
        <v>0</v>
      </c>
      <c r="G19" s="30">
        <v>-5.71</v>
      </c>
      <c r="H19" s="31" t="e">
        <f t="shared" si="2"/>
        <v>#DIV/0!</v>
      </c>
      <c r="I19" s="31" t="e">
        <f t="shared" si="3"/>
        <v>#DIV/0!</v>
      </c>
      <c r="J19" s="32">
        <f t="shared" si="4"/>
        <v>-5.71</v>
      </c>
      <c r="K19" s="32" t="e">
        <f t="shared" si="5"/>
        <v>#DIV/0!</v>
      </c>
      <c r="L19" s="29">
        <v>0</v>
      </c>
      <c r="M19" s="33" t="str">
        <f t="shared" si="6"/>
        <v>-</v>
      </c>
      <c r="N19" s="29">
        <v>170</v>
      </c>
      <c r="O19" s="34">
        <f t="shared" ref="O19:P19" si="21">D19/7</f>
        <v>0</v>
      </c>
      <c r="P19" s="34">
        <f t="shared" si="21"/>
        <v>0</v>
      </c>
      <c r="Q19" s="29" t="e">
        <f t="shared" si="8"/>
        <v>#DIV/0!</v>
      </c>
      <c r="R19" s="29"/>
      <c r="S19" s="35">
        <v>0.29850746268656703</v>
      </c>
      <c r="T19" s="28">
        <v>0</v>
      </c>
      <c r="U19" s="36" t="s">
        <v>33</v>
      </c>
      <c r="V19" s="37" t="s">
        <v>33</v>
      </c>
      <c r="W19" s="28">
        <v>0</v>
      </c>
      <c r="X19" s="38">
        <f t="shared" si="9"/>
        <v>0</v>
      </c>
      <c r="Y19" s="39">
        <f t="shared" si="10"/>
        <v>5.71</v>
      </c>
      <c r="Z19" s="28">
        <v>1</v>
      </c>
      <c r="AA19" s="28" t="s">
        <v>34</v>
      </c>
      <c r="AB19" s="40">
        <f t="shared" si="11"/>
        <v>-0.69</v>
      </c>
      <c r="AC19" s="41">
        <v>5.0587986111111108E-2</v>
      </c>
      <c r="AD19" s="39">
        <f t="shared" si="12"/>
        <v>0</v>
      </c>
      <c r="AE19" s="39">
        <v>-3.31</v>
      </c>
      <c r="AF19" s="39">
        <v>-1.1857400000000002</v>
      </c>
      <c r="AG19" s="39">
        <v>0</v>
      </c>
    </row>
    <row r="20" spans="1:33" ht="15.75" customHeight="1" x14ac:dyDescent="0.2">
      <c r="A20" s="28" t="s">
        <v>58</v>
      </c>
      <c r="B20" s="28" t="s">
        <v>429</v>
      </c>
      <c r="C20" s="15">
        <f t="shared" si="1"/>
        <v>6.6</v>
      </c>
      <c r="D20" s="29">
        <v>2</v>
      </c>
      <c r="E20" s="29">
        <v>0</v>
      </c>
      <c r="F20" s="32">
        <v>13.2</v>
      </c>
      <c r="G20" s="30">
        <v>-0.12</v>
      </c>
      <c r="H20" s="31">
        <f t="shared" si="2"/>
        <v>9.0909090909090905E-3</v>
      </c>
      <c r="I20" s="31">
        <f t="shared" si="3"/>
        <v>0.14915887563131311</v>
      </c>
      <c r="J20" s="32">
        <f t="shared" si="4"/>
        <v>1.9688971583333328</v>
      </c>
      <c r="K20" s="32">
        <f t="shared" si="5"/>
        <v>0.98444857916666639</v>
      </c>
      <c r="L20" s="29">
        <v>11</v>
      </c>
      <c r="M20" s="33">
        <f t="shared" si="6"/>
        <v>0.18181818181818182</v>
      </c>
      <c r="N20" s="29">
        <v>168</v>
      </c>
      <c r="O20" s="34">
        <f t="shared" ref="O20:P20" si="22">D20/7</f>
        <v>0.2857142857142857</v>
      </c>
      <c r="P20" s="34">
        <f t="shared" si="22"/>
        <v>0</v>
      </c>
      <c r="Q20" s="29">
        <f t="shared" si="8"/>
        <v>588</v>
      </c>
      <c r="R20" s="29"/>
      <c r="S20" s="35">
        <v>0.23892100192678201</v>
      </c>
      <c r="T20" s="28">
        <v>0</v>
      </c>
      <c r="U20" s="36" t="s">
        <v>33</v>
      </c>
      <c r="V20" s="37" t="s">
        <v>33</v>
      </c>
      <c r="W20" s="28">
        <v>0</v>
      </c>
      <c r="X20" s="38">
        <f t="shared" si="9"/>
        <v>0</v>
      </c>
      <c r="Y20" s="39">
        <f t="shared" si="10"/>
        <v>0</v>
      </c>
      <c r="Z20" s="28">
        <v>0</v>
      </c>
      <c r="AA20" s="28" t="s">
        <v>34</v>
      </c>
      <c r="AB20" s="40">
        <f t="shared" si="11"/>
        <v>-0.69</v>
      </c>
      <c r="AC20" s="41">
        <v>5.0587986111111108E-2</v>
      </c>
      <c r="AD20" s="39">
        <f t="shared" si="12"/>
        <v>-0.13962284166666664</v>
      </c>
      <c r="AE20" s="39">
        <v>-3.31</v>
      </c>
      <c r="AF20" s="39">
        <v>-1.1857400000000002</v>
      </c>
      <c r="AG20" s="39">
        <v>0</v>
      </c>
    </row>
    <row r="21" spans="1:33" ht="15.75" customHeight="1" x14ac:dyDescent="0.2">
      <c r="A21" s="28" t="s">
        <v>59</v>
      </c>
      <c r="B21" s="28" t="s">
        <v>430</v>
      </c>
      <c r="C21" s="15">
        <f t="shared" si="1"/>
        <v>6.2925000000000004</v>
      </c>
      <c r="D21" s="29">
        <v>4</v>
      </c>
      <c r="E21" s="29">
        <v>0</v>
      </c>
      <c r="F21" s="32">
        <v>25.17</v>
      </c>
      <c r="G21" s="30">
        <v>0</v>
      </c>
      <c r="H21" s="31">
        <f t="shared" si="2"/>
        <v>0</v>
      </c>
      <c r="I21" s="31">
        <f t="shared" si="3"/>
        <v>0.12444554297444048</v>
      </c>
      <c r="J21" s="32">
        <f t="shared" si="4"/>
        <v>3.132294316666667</v>
      </c>
      <c r="K21" s="32">
        <f t="shared" si="5"/>
        <v>0.78307357916666676</v>
      </c>
      <c r="L21" s="29">
        <v>7</v>
      </c>
      <c r="M21" s="33">
        <f t="shared" si="6"/>
        <v>0.5714285714285714</v>
      </c>
      <c r="N21" s="29">
        <v>164</v>
      </c>
      <c r="O21" s="34">
        <f t="shared" ref="O21:P21" si="23">D21/7</f>
        <v>0.5714285714285714</v>
      </c>
      <c r="P21" s="34">
        <f t="shared" si="23"/>
        <v>0</v>
      </c>
      <c r="Q21" s="29">
        <f t="shared" si="8"/>
        <v>287</v>
      </c>
      <c r="R21" s="29"/>
      <c r="S21" s="35">
        <v>0.27118644067796599</v>
      </c>
      <c r="T21" s="28">
        <v>0</v>
      </c>
      <c r="U21" s="36" t="s">
        <v>33</v>
      </c>
      <c r="V21" s="37" t="s">
        <v>33</v>
      </c>
      <c r="W21" s="28">
        <v>0</v>
      </c>
      <c r="X21" s="38">
        <f t="shared" si="9"/>
        <v>0</v>
      </c>
      <c r="Y21" s="39">
        <f t="shared" si="10"/>
        <v>0</v>
      </c>
      <c r="Z21" s="28">
        <v>0</v>
      </c>
      <c r="AA21" s="28" t="s">
        <v>34</v>
      </c>
      <c r="AB21" s="40">
        <f t="shared" si="11"/>
        <v>-0.69</v>
      </c>
      <c r="AC21" s="41">
        <v>5.0587986111111108E-2</v>
      </c>
      <c r="AD21" s="39">
        <f t="shared" si="12"/>
        <v>-0.27924568333333327</v>
      </c>
      <c r="AE21" s="39">
        <v>-3.31</v>
      </c>
      <c r="AF21" s="39">
        <v>-1.1857400000000002</v>
      </c>
      <c r="AG21" s="39">
        <v>0</v>
      </c>
    </row>
    <row r="22" spans="1:33" ht="15.75" customHeight="1" x14ac:dyDescent="0.2">
      <c r="A22" s="28" t="s">
        <v>60</v>
      </c>
      <c r="B22" s="28" t="s">
        <v>47</v>
      </c>
      <c r="C22" s="15">
        <f t="shared" si="1"/>
        <v>6.1740000000000004</v>
      </c>
      <c r="D22" s="29">
        <v>5</v>
      </c>
      <c r="E22" s="29">
        <v>0</v>
      </c>
      <c r="F22" s="30">
        <v>30.87</v>
      </c>
      <c r="G22" s="30">
        <v>-5.09</v>
      </c>
      <c r="H22" s="31">
        <f t="shared" si="2"/>
        <v>0.16488500161969549</v>
      </c>
      <c r="I22" s="31">
        <f t="shared" si="3"/>
        <v>-5.4365309496814659E-2</v>
      </c>
      <c r="J22" s="32">
        <f t="shared" si="4"/>
        <v>-1.6782571041666685</v>
      </c>
      <c r="K22" s="32">
        <f t="shared" si="5"/>
        <v>-0.33565142083333371</v>
      </c>
      <c r="L22" s="29">
        <v>12</v>
      </c>
      <c r="M22" s="33">
        <f t="shared" si="6"/>
        <v>0.41666666666666669</v>
      </c>
      <c r="N22" s="29">
        <v>160</v>
      </c>
      <c r="O22" s="34">
        <f t="shared" ref="O22:P22" si="24">D22/7</f>
        <v>0.7142857142857143</v>
      </c>
      <c r="P22" s="34">
        <f t="shared" si="24"/>
        <v>0</v>
      </c>
      <c r="Q22" s="29">
        <f t="shared" si="8"/>
        <v>224</v>
      </c>
      <c r="R22" s="29"/>
      <c r="S22" s="35">
        <v>0.29411764705882298</v>
      </c>
      <c r="T22" s="28">
        <v>0</v>
      </c>
      <c r="U22" s="36" t="s">
        <v>33</v>
      </c>
      <c r="V22" s="37" t="s">
        <v>33</v>
      </c>
      <c r="W22" s="28">
        <v>2</v>
      </c>
      <c r="X22" s="38">
        <f t="shared" si="9"/>
        <v>0.4</v>
      </c>
      <c r="Y22" s="39">
        <f t="shared" si="10"/>
        <v>1.6966666666666665</v>
      </c>
      <c r="Z22" s="28">
        <v>1</v>
      </c>
      <c r="AA22" s="28" t="s">
        <v>34</v>
      </c>
      <c r="AB22" s="40">
        <f t="shared" si="11"/>
        <v>-0.69</v>
      </c>
      <c r="AC22" s="41">
        <v>5.0587986111111108E-2</v>
      </c>
      <c r="AD22" s="39">
        <f t="shared" si="12"/>
        <v>-0.34905710416666658</v>
      </c>
      <c r="AE22" s="39">
        <v>-3.31</v>
      </c>
      <c r="AF22" s="39">
        <v>-1.1857400000000002</v>
      </c>
      <c r="AG22" s="39">
        <v>0</v>
      </c>
    </row>
    <row r="23" spans="1:33" ht="15.75" customHeight="1" x14ac:dyDescent="0.2">
      <c r="A23" s="28" t="s">
        <v>62</v>
      </c>
      <c r="B23" s="28" t="s">
        <v>431</v>
      </c>
      <c r="C23" s="15">
        <f t="shared" si="1"/>
        <v>6.2955555555555556</v>
      </c>
      <c r="D23" s="29">
        <v>9</v>
      </c>
      <c r="E23" s="29">
        <v>0</v>
      </c>
      <c r="F23" s="32">
        <v>56.660000000000004</v>
      </c>
      <c r="G23" s="30">
        <v>-7.89</v>
      </c>
      <c r="H23" s="31">
        <f t="shared" si="2"/>
        <v>0.13925167666784327</v>
      </c>
      <c r="I23" s="31">
        <f t="shared" si="3"/>
        <v>-1.4453984954112266E-2</v>
      </c>
      <c r="J23" s="32">
        <f t="shared" si="4"/>
        <v>-0.81896278750000107</v>
      </c>
      <c r="K23" s="32">
        <f t="shared" si="5"/>
        <v>-9.0995865277777893E-2</v>
      </c>
      <c r="L23" s="29">
        <v>18</v>
      </c>
      <c r="M23" s="33">
        <f t="shared" si="6"/>
        <v>0.5</v>
      </c>
      <c r="N23" s="29">
        <v>150</v>
      </c>
      <c r="O23" s="34">
        <f t="shared" ref="O23:P23" si="25">D23/7</f>
        <v>1.2857142857142858</v>
      </c>
      <c r="P23" s="34">
        <f t="shared" si="25"/>
        <v>0</v>
      </c>
      <c r="Q23" s="29">
        <f t="shared" si="8"/>
        <v>116</v>
      </c>
      <c r="R23" s="29"/>
      <c r="S23" s="35">
        <v>0.30053667262969502</v>
      </c>
      <c r="T23" s="28">
        <v>0</v>
      </c>
      <c r="U23" s="36" t="s">
        <v>33</v>
      </c>
      <c r="V23" s="37" t="s">
        <v>33</v>
      </c>
      <c r="W23" s="28">
        <v>2</v>
      </c>
      <c r="X23" s="38">
        <f t="shared" si="9"/>
        <v>0.22222222222222221</v>
      </c>
      <c r="Y23" s="39">
        <f t="shared" si="10"/>
        <v>2.63</v>
      </c>
      <c r="Z23" s="28">
        <v>1</v>
      </c>
      <c r="AA23" s="28" t="s">
        <v>34</v>
      </c>
      <c r="AB23" s="40">
        <f t="shared" si="11"/>
        <v>-0.69</v>
      </c>
      <c r="AC23" s="41">
        <v>5.0587986111111108E-2</v>
      </c>
      <c r="AD23" s="39">
        <f t="shared" si="12"/>
        <v>-0.6283027874999999</v>
      </c>
      <c r="AE23" s="39">
        <v>-3.31</v>
      </c>
      <c r="AF23" s="39">
        <v>-1.1857400000000002</v>
      </c>
      <c r="AG23" s="39">
        <v>0</v>
      </c>
    </row>
    <row r="24" spans="1:33" ht="15.75" customHeight="1" x14ac:dyDescent="0.2">
      <c r="A24" s="28" t="s">
        <v>64</v>
      </c>
      <c r="B24" s="28" t="s">
        <v>432</v>
      </c>
      <c r="C24" s="15">
        <f t="shared" si="1"/>
        <v>6.51</v>
      </c>
      <c r="D24" s="29">
        <v>9</v>
      </c>
      <c r="E24" s="29">
        <v>0</v>
      </c>
      <c r="F24" s="32">
        <v>58.589999999999996</v>
      </c>
      <c r="G24" s="32">
        <v>-10.75</v>
      </c>
      <c r="H24" s="31">
        <f t="shared" si="2"/>
        <v>0.18347840928486092</v>
      </c>
      <c r="I24" s="31">
        <f t="shared" si="3"/>
        <v>-3.4791991594128775E-2</v>
      </c>
      <c r="J24" s="32">
        <f t="shared" si="4"/>
        <v>-2.0384627875000048</v>
      </c>
      <c r="K24" s="32">
        <f t="shared" si="5"/>
        <v>-0.22649586527777832</v>
      </c>
      <c r="L24" s="29">
        <v>17</v>
      </c>
      <c r="M24" s="33">
        <f t="shared" si="6"/>
        <v>0.52941176470588236</v>
      </c>
      <c r="N24" s="29">
        <v>141</v>
      </c>
      <c r="O24" s="34">
        <f t="shared" ref="O24:P24" si="26">D24/7</f>
        <v>1.2857142857142858</v>
      </c>
      <c r="P24" s="34">
        <f t="shared" si="26"/>
        <v>0</v>
      </c>
      <c r="Q24" s="29">
        <f t="shared" si="8"/>
        <v>109</v>
      </c>
      <c r="R24" s="29"/>
      <c r="S24" s="35">
        <v>0.303875968992248</v>
      </c>
      <c r="T24" s="28">
        <v>0</v>
      </c>
      <c r="U24" s="36" t="s">
        <v>33</v>
      </c>
      <c r="V24" s="37" t="s">
        <v>33</v>
      </c>
      <c r="W24" s="28">
        <v>0</v>
      </c>
      <c r="X24" s="38">
        <f t="shared" si="9"/>
        <v>0</v>
      </c>
      <c r="Y24" s="39">
        <f t="shared" si="10"/>
        <v>2.15</v>
      </c>
      <c r="Z24" s="28">
        <v>5</v>
      </c>
      <c r="AA24" s="28" t="s">
        <v>34</v>
      </c>
      <c r="AB24" s="40">
        <f t="shared" si="11"/>
        <v>-0.69</v>
      </c>
      <c r="AC24" s="41">
        <v>5.0587986111111108E-2</v>
      </c>
      <c r="AD24" s="39">
        <f t="shared" si="12"/>
        <v>-0.6283027874999999</v>
      </c>
      <c r="AE24" s="39">
        <v>-3.31</v>
      </c>
      <c r="AF24" s="39">
        <v>-1.1857400000000002</v>
      </c>
      <c r="AG24" s="39">
        <v>0</v>
      </c>
    </row>
    <row r="25" spans="1:33" ht="15.75" customHeight="1" x14ac:dyDescent="0.2">
      <c r="A25" s="28" t="s">
        <v>65</v>
      </c>
      <c r="B25" s="28" t="s">
        <v>432</v>
      </c>
      <c r="C25" s="15">
        <f t="shared" si="1"/>
        <v>6.7366666666666672</v>
      </c>
      <c r="D25" s="29">
        <v>9</v>
      </c>
      <c r="E25" s="29">
        <v>0</v>
      </c>
      <c r="F25" s="32">
        <v>60.63</v>
      </c>
      <c r="G25" s="32">
        <v>-7.6</v>
      </c>
      <c r="H25" s="31">
        <f t="shared" si="2"/>
        <v>0.12535048655780964</v>
      </c>
      <c r="I25" s="31">
        <f t="shared" si="3"/>
        <v>4.6300465322447588E-2</v>
      </c>
      <c r="J25" s="32">
        <f t="shared" si="4"/>
        <v>2.8071972124999975</v>
      </c>
      <c r="K25" s="32">
        <f t="shared" si="5"/>
        <v>0.3119108013888886</v>
      </c>
      <c r="L25" s="29">
        <v>17</v>
      </c>
      <c r="M25" s="33">
        <f t="shared" si="6"/>
        <v>0.52941176470588236</v>
      </c>
      <c r="N25" s="29">
        <v>132</v>
      </c>
      <c r="O25" s="34">
        <f t="shared" ref="O25:P25" si="27">D25/7</f>
        <v>1.2857142857142858</v>
      </c>
      <c r="P25" s="34">
        <f t="shared" si="27"/>
        <v>0</v>
      </c>
      <c r="Q25" s="29">
        <f t="shared" si="8"/>
        <v>102</v>
      </c>
      <c r="R25" s="29"/>
      <c r="S25" s="35">
        <v>0.33285509325681489</v>
      </c>
      <c r="T25" s="28">
        <v>0</v>
      </c>
      <c r="U25" s="36" t="s">
        <v>33</v>
      </c>
      <c r="V25" s="37" t="s">
        <v>33</v>
      </c>
      <c r="W25" s="14">
        <v>4</v>
      </c>
      <c r="X25" s="38">
        <f t="shared" si="9"/>
        <v>0.44444444444444442</v>
      </c>
      <c r="Y25" s="39">
        <f t="shared" si="10"/>
        <v>1.2666666666666666</v>
      </c>
      <c r="Z25" s="14">
        <v>2</v>
      </c>
      <c r="AA25" s="28" t="s">
        <v>34</v>
      </c>
      <c r="AB25" s="40">
        <f t="shared" si="11"/>
        <v>-0.69</v>
      </c>
      <c r="AC25" s="41">
        <v>5.0587986111111108E-2</v>
      </c>
      <c r="AD25" s="39">
        <f t="shared" si="12"/>
        <v>-0.6283027874999999</v>
      </c>
      <c r="AE25" s="39">
        <v>-3.31</v>
      </c>
      <c r="AF25" s="39">
        <v>-1.19</v>
      </c>
      <c r="AG25" s="39">
        <v>0</v>
      </c>
    </row>
    <row r="26" spans="1:33" ht="15.75" customHeight="1" x14ac:dyDescent="0.2">
      <c r="A26" s="14" t="s">
        <v>67</v>
      </c>
      <c r="B26" s="14" t="s">
        <v>433</v>
      </c>
      <c r="C26" s="15">
        <f t="shared" si="1"/>
        <v>6.9984615384615392</v>
      </c>
      <c r="D26" s="16">
        <v>13</v>
      </c>
      <c r="E26" s="16">
        <v>0</v>
      </c>
      <c r="F26" s="17">
        <v>90.98</v>
      </c>
      <c r="G26" s="17">
        <v>-7.93</v>
      </c>
      <c r="H26" s="31">
        <f t="shared" si="2"/>
        <v>8.7162013629369081E-2</v>
      </c>
      <c r="I26" s="31">
        <f t="shared" si="3"/>
        <v>8.716614123067333E-2</v>
      </c>
      <c r="J26" s="32">
        <f t="shared" si="4"/>
        <v>7.9303755291666604</v>
      </c>
      <c r="K26" s="32">
        <f t="shared" si="5"/>
        <v>0.61002888685897383</v>
      </c>
      <c r="L26" s="16">
        <v>17</v>
      </c>
      <c r="M26" s="33">
        <f t="shared" si="6"/>
        <v>0.76470588235294112</v>
      </c>
      <c r="N26" s="16">
        <v>121</v>
      </c>
      <c r="O26" s="34">
        <f t="shared" ref="O26:P26" si="28">D26/7</f>
        <v>1.8571428571428572</v>
      </c>
      <c r="P26" s="34">
        <f t="shared" si="28"/>
        <v>0</v>
      </c>
      <c r="Q26" s="29">
        <f t="shared" si="8"/>
        <v>65</v>
      </c>
      <c r="R26" s="29"/>
      <c r="S26" s="21">
        <v>0.36251920122887871</v>
      </c>
      <c r="T26" s="28">
        <v>0</v>
      </c>
      <c r="U26" s="36" t="s">
        <v>33</v>
      </c>
      <c r="V26" s="37" t="s">
        <v>33</v>
      </c>
      <c r="W26" s="14">
        <v>6</v>
      </c>
      <c r="X26" s="38">
        <f t="shared" si="9"/>
        <v>0.46153846153846156</v>
      </c>
      <c r="Y26" s="39">
        <f t="shared" si="10"/>
        <v>1.1328571428571428</v>
      </c>
      <c r="Z26" s="14">
        <v>1</v>
      </c>
      <c r="AA26" s="28" t="s">
        <v>34</v>
      </c>
      <c r="AB26" s="40">
        <f t="shared" si="11"/>
        <v>-0.69</v>
      </c>
      <c r="AC26" s="41">
        <v>5.0587986111111108E-2</v>
      </c>
      <c r="AD26" s="39">
        <f t="shared" si="12"/>
        <v>-0.90754847083333312</v>
      </c>
      <c r="AE26" s="25">
        <v>-3.47</v>
      </c>
      <c r="AF26" s="25">
        <v>-1.188852</v>
      </c>
      <c r="AG26" s="25">
        <v>0</v>
      </c>
    </row>
    <row r="27" spans="1:33" ht="15.75" customHeight="1" x14ac:dyDescent="0.2">
      <c r="A27" s="14" t="s">
        <v>69</v>
      </c>
      <c r="B27" s="14" t="s">
        <v>434</v>
      </c>
      <c r="C27" s="15">
        <f t="shared" si="1"/>
        <v>7.2658064516129039</v>
      </c>
      <c r="D27" s="16">
        <v>31</v>
      </c>
      <c r="E27" s="16">
        <v>0</v>
      </c>
      <c r="F27" s="17">
        <v>225.24</v>
      </c>
      <c r="G27" s="17">
        <v>-13.04</v>
      </c>
      <c r="H27" s="31">
        <f t="shared" si="2"/>
        <v>5.7893802166577864E-2</v>
      </c>
      <c r="I27" s="31">
        <f t="shared" si="3"/>
        <v>0.14129565776135092</v>
      </c>
      <c r="J27" s="32">
        <f t="shared" si="4"/>
        <v>31.82543395416668</v>
      </c>
      <c r="K27" s="32">
        <f t="shared" si="5"/>
        <v>1.0266269017473122</v>
      </c>
      <c r="L27" s="16">
        <v>37</v>
      </c>
      <c r="M27" s="33">
        <f t="shared" si="6"/>
        <v>0.83783783783783783</v>
      </c>
      <c r="N27" s="16">
        <v>90</v>
      </c>
      <c r="O27" s="34">
        <f t="shared" ref="O27:P27" si="29">D27/7</f>
        <v>4.4285714285714288</v>
      </c>
      <c r="P27" s="34">
        <f t="shared" si="29"/>
        <v>0</v>
      </c>
      <c r="Q27" s="29">
        <f t="shared" si="8"/>
        <v>20</v>
      </c>
      <c r="R27" s="29"/>
      <c r="S27" s="21">
        <v>0.63018242122719736</v>
      </c>
      <c r="T27" s="28">
        <v>0</v>
      </c>
      <c r="U27" s="36" t="s">
        <v>33</v>
      </c>
      <c r="V27" s="37" t="s">
        <v>33</v>
      </c>
      <c r="W27" s="14">
        <v>6</v>
      </c>
      <c r="X27" s="38">
        <f t="shared" si="9"/>
        <v>0.19354838709677419</v>
      </c>
      <c r="Y27" s="39">
        <f t="shared" si="10"/>
        <v>1.63</v>
      </c>
      <c r="Z27" s="14">
        <v>2</v>
      </c>
      <c r="AA27" s="28" t="s">
        <v>34</v>
      </c>
      <c r="AB27" s="40">
        <f t="shared" si="11"/>
        <v>-0.69</v>
      </c>
      <c r="AC27" s="41">
        <v>5.0587986111111108E-2</v>
      </c>
      <c r="AD27" s="39">
        <f t="shared" si="12"/>
        <v>-2.164154045833333</v>
      </c>
      <c r="AE27" s="25">
        <v>-3.47</v>
      </c>
      <c r="AF27" s="25">
        <v>-1.188852</v>
      </c>
      <c r="AG27" s="25">
        <v>0</v>
      </c>
    </row>
    <row r="28" spans="1:33" ht="15.75" customHeight="1" x14ac:dyDescent="0.2">
      <c r="A28" s="14" t="s">
        <v>71</v>
      </c>
      <c r="B28" s="14" t="s">
        <v>47</v>
      </c>
      <c r="C28" s="15">
        <f t="shared" si="1"/>
        <v>7.9450000000000003</v>
      </c>
      <c r="D28" s="16">
        <v>8</v>
      </c>
      <c r="E28" s="16">
        <v>0</v>
      </c>
      <c r="F28" s="17">
        <v>63.56</v>
      </c>
      <c r="G28" s="17">
        <v>-11.52</v>
      </c>
      <c r="H28" s="31">
        <f t="shared" si="2"/>
        <v>0.18124606670862176</v>
      </c>
      <c r="I28" s="31">
        <f t="shared" si="3"/>
        <v>7.3579179253199081E-2</v>
      </c>
      <c r="J28" s="32">
        <f t="shared" si="4"/>
        <v>4.6766926333333334</v>
      </c>
      <c r="K28" s="32">
        <f t="shared" si="5"/>
        <v>0.58458657916666668</v>
      </c>
      <c r="L28" s="16">
        <v>23</v>
      </c>
      <c r="M28" s="33">
        <f t="shared" si="6"/>
        <v>0.34782608695652173</v>
      </c>
      <c r="N28" s="16">
        <v>81</v>
      </c>
      <c r="O28" s="34">
        <f t="shared" ref="O28:P28" si="30">D28/7</f>
        <v>1.1428571428571428</v>
      </c>
      <c r="P28" s="34">
        <f t="shared" si="30"/>
        <v>0</v>
      </c>
      <c r="Q28" s="29">
        <f t="shared" si="8"/>
        <v>70</v>
      </c>
      <c r="R28" s="29"/>
      <c r="S28" s="21">
        <v>0.66894197952218426</v>
      </c>
      <c r="T28" s="28">
        <v>0</v>
      </c>
      <c r="U28" s="36" t="s">
        <v>33</v>
      </c>
      <c r="V28" s="37" t="s">
        <v>33</v>
      </c>
      <c r="W28" s="14">
        <v>2</v>
      </c>
      <c r="X28" s="38">
        <f t="shared" si="9"/>
        <v>0.25</v>
      </c>
      <c r="Y28" s="39">
        <f t="shared" si="10"/>
        <v>1.6457142857142857</v>
      </c>
      <c r="Z28" s="14">
        <v>5</v>
      </c>
      <c r="AA28" s="28" t="s">
        <v>34</v>
      </c>
      <c r="AB28" s="40">
        <f t="shared" si="11"/>
        <v>-0.69</v>
      </c>
      <c r="AC28" s="41">
        <v>5.0587986111111108E-2</v>
      </c>
      <c r="AD28" s="39">
        <f t="shared" si="12"/>
        <v>-0.55849136666666654</v>
      </c>
      <c r="AE28" s="25">
        <v>-3.47</v>
      </c>
      <c r="AF28" s="25">
        <v>-1.188852</v>
      </c>
      <c r="AG28" s="25">
        <v>0</v>
      </c>
    </row>
    <row r="29" spans="1:33" ht="15.75" customHeight="1" x14ac:dyDescent="0.2">
      <c r="A29" s="28" t="s">
        <v>72</v>
      </c>
      <c r="B29" s="28" t="s">
        <v>47</v>
      </c>
      <c r="C29" s="15">
        <f t="shared" si="1"/>
        <v>8.5714285714285712</v>
      </c>
      <c r="D29" s="29">
        <v>14</v>
      </c>
      <c r="E29" s="29">
        <v>0</v>
      </c>
      <c r="F29" s="32">
        <v>120</v>
      </c>
      <c r="G29" s="32">
        <v>-13.88</v>
      </c>
      <c r="H29" s="31">
        <f t="shared" si="2"/>
        <v>0.11566666666666667</v>
      </c>
      <c r="I29" s="31">
        <f t="shared" si="3"/>
        <v>0.18265593423611109</v>
      </c>
      <c r="J29" s="32">
        <f t="shared" si="4"/>
        <v>21.918712108333331</v>
      </c>
      <c r="K29" s="32">
        <f t="shared" si="5"/>
        <v>1.5656222934523807</v>
      </c>
      <c r="L29" s="29">
        <v>24</v>
      </c>
      <c r="M29" s="33">
        <f t="shared" si="6"/>
        <v>0.58333333333333337</v>
      </c>
      <c r="N29" s="16">
        <v>68</v>
      </c>
      <c r="O29" s="34">
        <f t="shared" ref="O29:P29" si="31">D29/7</f>
        <v>2</v>
      </c>
      <c r="P29" s="34">
        <f t="shared" si="31"/>
        <v>0</v>
      </c>
      <c r="Q29" s="29">
        <f t="shared" si="8"/>
        <v>34</v>
      </c>
      <c r="R29" s="29"/>
      <c r="S29" s="21">
        <v>0.77978339350180503</v>
      </c>
      <c r="T29" s="28">
        <v>0</v>
      </c>
      <c r="U29" s="36" t="s">
        <v>33</v>
      </c>
      <c r="V29" s="37" t="s">
        <v>33</v>
      </c>
      <c r="W29" s="14">
        <v>6</v>
      </c>
      <c r="X29" s="38">
        <f t="shared" si="9"/>
        <v>0.42857142857142855</v>
      </c>
      <c r="Y29" s="39">
        <f t="shared" si="10"/>
        <v>1.9828571428571429</v>
      </c>
      <c r="Z29" s="14">
        <v>1</v>
      </c>
      <c r="AA29" s="28" t="s">
        <v>34</v>
      </c>
      <c r="AB29" s="40">
        <f t="shared" si="11"/>
        <v>-0.69</v>
      </c>
      <c r="AC29" s="41">
        <v>5.0587986111111108E-2</v>
      </c>
      <c r="AD29" s="39">
        <f t="shared" si="12"/>
        <v>-0.97735989166666648</v>
      </c>
      <c r="AE29" s="39">
        <v>-3.47</v>
      </c>
      <c r="AF29" s="25">
        <v>-1.188852</v>
      </c>
      <c r="AG29" s="39">
        <v>0</v>
      </c>
    </row>
    <row r="30" spans="1:33" ht="15.75" customHeight="1" x14ac:dyDescent="0.2">
      <c r="A30" s="14" t="s">
        <v>74</v>
      </c>
      <c r="B30" s="14" t="s">
        <v>322</v>
      </c>
      <c r="C30" s="15">
        <f t="shared" si="1"/>
        <v>6.873333333333334</v>
      </c>
      <c r="D30" s="16">
        <v>6</v>
      </c>
      <c r="E30" s="16">
        <v>0</v>
      </c>
      <c r="F30" s="17">
        <v>41.24</v>
      </c>
      <c r="G30" s="17">
        <v>-6.19</v>
      </c>
      <c r="H30" s="31">
        <f t="shared" si="2"/>
        <v>0.15009699321047526</v>
      </c>
      <c r="I30" s="31">
        <f t="shared" si="3"/>
        <v>2.1438687560620777E-2</v>
      </c>
      <c r="J30" s="32">
        <f t="shared" si="4"/>
        <v>0.88413147500000089</v>
      </c>
      <c r="K30" s="32">
        <f t="shared" si="5"/>
        <v>0.14735524583333348</v>
      </c>
      <c r="L30" s="16">
        <v>22</v>
      </c>
      <c r="M30" s="33">
        <f t="shared" si="6"/>
        <v>0.27272727272727271</v>
      </c>
      <c r="N30" s="16">
        <v>61</v>
      </c>
      <c r="O30" s="34">
        <f t="shared" ref="O30:P30" si="32">D30/7</f>
        <v>0.8571428571428571</v>
      </c>
      <c r="P30" s="34">
        <f t="shared" si="32"/>
        <v>0</v>
      </c>
      <c r="Q30" s="29">
        <f t="shared" si="8"/>
        <v>71</v>
      </c>
      <c r="R30" s="29"/>
      <c r="S30" s="21">
        <v>0.82835820895522383</v>
      </c>
      <c r="T30" s="28">
        <v>0</v>
      </c>
      <c r="U30" s="36" t="s">
        <v>33</v>
      </c>
      <c r="V30" s="37" t="s">
        <v>33</v>
      </c>
      <c r="W30" s="14">
        <v>2</v>
      </c>
      <c r="X30" s="38">
        <f t="shared" si="9"/>
        <v>0.33333333333333331</v>
      </c>
      <c r="Y30" s="39">
        <f t="shared" si="10"/>
        <v>1.0316666666666667</v>
      </c>
      <c r="Z30" s="14">
        <v>4</v>
      </c>
      <c r="AA30" s="28" t="s">
        <v>34</v>
      </c>
      <c r="AB30" s="40">
        <f t="shared" si="11"/>
        <v>-0.69</v>
      </c>
      <c r="AC30" s="41">
        <v>5.0587986111111108E-2</v>
      </c>
      <c r="AD30" s="39">
        <f t="shared" si="12"/>
        <v>-0.41886852499999994</v>
      </c>
      <c r="AE30" s="25">
        <v>-3.47</v>
      </c>
      <c r="AF30" s="25">
        <v>-1.1234999999999999</v>
      </c>
      <c r="AG30" s="25">
        <v>0</v>
      </c>
    </row>
    <row r="31" spans="1:33" ht="15.75" customHeight="1" x14ac:dyDescent="0.2">
      <c r="A31" s="14" t="s">
        <v>75</v>
      </c>
      <c r="B31" s="14"/>
      <c r="C31" s="15">
        <f t="shared" si="1"/>
        <v>8.91</v>
      </c>
      <c r="D31" s="16">
        <v>6</v>
      </c>
      <c r="E31" s="16">
        <v>0</v>
      </c>
      <c r="F31" s="17">
        <v>53.46</v>
      </c>
      <c r="G31" s="42">
        <v>-7.1</v>
      </c>
      <c r="H31" s="31">
        <f t="shared" si="2"/>
        <v>0.13280957725402168</v>
      </c>
      <c r="I31" s="31">
        <f t="shared" si="3"/>
        <v>0.19381091423494201</v>
      </c>
      <c r="J31" s="32">
        <f t="shared" si="4"/>
        <v>10.361131475000001</v>
      </c>
      <c r="K31" s="32">
        <f t="shared" si="5"/>
        <v>1.7268552458333335</v>
      </c>
      <c r="L31" s="16">
        <v>25</v>
      </c>
      <c r="M31" s="33">
        <f t="shared" si="6"/>
        <v>0.24</v>
      </c>
      <c r="N31" s="16">
        <v>57</v>
      </c>
      <c r="O31" s="34">
        <f t="shared" ref="O31:P32" si="33">D31/7</f>
        <v>0.8571428571428571</v>
      </c>
      <c r="P31" s="34">
        <f t="shared" si="33"/>
        <v>0</v>
      </c>
      <c r="Q31" s="29">
        <f t="shared" si="8"/>
        <v>66</v>
      </c>
      <c r="R31" s="29"/>
      <c r="S31" s="21">
        <v>0.90872210953346799</v>
      </c>
      <c r="T31" s="14" t="s">
        <v>33</v>
      </c>
      <c r="U31" s="22" t="s">
        <v>33</v>
      </c>
      <c r="V31" s="1" t="s">
        <v>936</v>
      </c>
      <c r="W31" s="14">
        <v>0</v>
      </c>
      <c r="X31" s="38">
        <f t="shared" si="9"/>
        <v>0</v>
      </c>
      <c r="Y31" s="39">
        <f t="shared" si="10"/>
        <v>7.1</v>
      </c>
      <c r="Z31" s="14">
        <v>1</v>
      </c>
      <c r="AA31" s="14" t="s">
        <v>34</v>
      </c>
      <c r="AB31" s="40">
        <f t="shared" si="11"/>
        <v>-0.69</v>
      </c>
      <c r="AC31" s="27">
        <v>5.0587986111111108E-2</v>
      </c>
      <c r="AD31" s="39">
        <f t="shared" si="12"/>
        <v>-0.41886852499999994</v>
      </c>
      <c r="AE31" s="43">
        <v>-3.47</v>
      </c>
      <c r="AF31" s="43">
        <v>-1.1235000000000002</v>
      </c>
      <c r="AG31" s="25">
        <v>0</v>
      </c>
    </row>
    <row r="32" spans="1:33" s="51" customFormat="1" ht="15.75" customHeight="1" x14ac:dyDescent="0.2">
      <c r="A32" s="51" t="s">
        <v>934</v>
      </c>
      <c r="C32" s="15">
        <f t="shared" si="1"/>
        <v>8.9500000000000011</v>
      </c>
      <c r="D32" s="52">
        <v>6</v>
      </c>
      <c r="E32" s="52">
        <v>1</v>
      </c>
      <c r="F32" s="53">
        <v>53.7</v>
      </c>
      <c r="G32" s="53">
        <v>-4.7300000000000004</v>
      </c>
      <c r="H32" s="31">
        <f t="shared" si="2"/>
        <v>8.8081936685288645E-2</v>
      </c>
      <c r="I32" s="31">
        <f t="shared" si="3"/>
        <v>0.24087768109869656</v>
      </c>
      <c r="J32" s="32">
        <f t="shared" si="4"/>
        <v>12.935131475000006</v>
      </c>
      <c r="K32" s="32">
        <f t="shared" si="5"/>
        <v>2.1558552458333344</v>
      </c>
      <c r="L32" s="52">
        <v>19</v>
      </c>
      <c r="M32" s="33">
        <f t="shared" si="6"/>
        <v>0.31578947368421051</v>
      </c>
      <c r="N32" s="52">
        <v>49</v>
      </c>
      <c r="O32" s="34">
        <f t="shared" si="33"/>
        <v>0.8571428571428571</v>
      </c>
      <c r="P32" s="34">
        <f t="shared" si="33"/>
        <v>0.14285714285714285</v>
      </c>
      <c r="Q32" s="29">
        <f t="shared" si="8"/>
        <v>49</v>
      </c>
      <c r="R32" s="29" t="str">
        <f ca="1">IFERROR(VLOOKUP($B$2,IMPORTRANGE("https://docs.google.com/spreadsheets/d/1KiWZV1ko8G7lnRucBRBd29jj3Be6ltMfljMDqzOkQmI/edit#gid=1381463014","Lookup!A:F"),6,FALSE),"")</f>
        <v/>
      </c>
      <c r="S32" s="54">
        <v>1.06140350877193</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1.5766666666666669</v>
      </c>
      <c r="Z32" s="51">
        <v>3</v>
      </c>
      <c r="AA32" s="51" t="s">
        <v>34</v>
      </c>
      <c r="AB32" s="40">
        <f t="shared" si="11"/>
        <v>-0.69</v>
      </c>
      <c r="AC32" s="57">
        <v>5.0587986111111108E-2</v>
      </c>
      <c r="AD32" s="39">
        <f t="shared" si="12"/>
        <v>-0.41886852499999994</v>
      </c>
      <c r="AE32" s="58">
        <v>-3.47</v>
      </c>
      <c r="AF32" s="58">
        <v>-1.1234999999999999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S221" s="21"/>
    </row>
    <row r="222" spans="1:33" ht="15.75" customHeight="1" x14ac:dyDescent="0.2">
      <c r="S222" s="21"/>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43.8320312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78.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Info!B1:BJ5000""),3,FALSE),"""")"),"18 AWG Replacement Power Cord with Open End - 10 Ft Black Extension Cable, 18/2 SJT")</f>
        <v>18 AWG Replacement Power Cord with Open End - 10 Ft Black Extension Cable, 18/2 SJT</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Info!B1:BJ5000""),2,FALSE),"""")"),"B08LH9J2HH")</f>
        <v>B08LH9J2HH</v>
      </c>
      <c r="B2" s="3" t="s">
        <v>435</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48.75" customHeight="1" x14ac:dyDescent="0.2">
      <c r="A3" s="76" t="s">
        <v>30</v>
      </c>
      <c r="B3" s="77"/>
      <c r="C3" s="47">
        <f>((AE32+AF32)/0.85)*-1</f>
        <v>6.3176470588235301</v>
      </c>
      <c r="D3" s="5">
        <f>SUM(D4:D99765)</f>
        <v>125</v>
      </c>
      <c r="E3" s="5"/>
      <c r="F3" s="6">
        <f t="shared" ref="F3:G3" si="0">SUM(F4:F99765)</f>
        <v>1046.74</v>
      </c>
      <c r="G3" s="6">
        <f t="shared" si="0"/>
        <v>-93.320000000000007</v>
      </c>
      <c r="H3" s="7">
        <f>G3/F3*-1</f>
        <v>8.915298928100579E-2</v>
      </c>
      <c r="I3" s="8">
        <f>J3/F3</f>
        <v>0.13704975359394225</v>
      </c>
      <c r="J3" s="6">
        <f>SUM(J4:J99765)</f>
        <v>143.45545907692312</v>
      </c>
      <c r="K3" s="6">
        <f>J3/D3</f>
        <v>1.1476436726153849</v>
      </c>
      <c r="L3" s="5"/>
      <c r="M3" s="9"/>
      <c r="N3" s="10"/>
      <c r="O3" s="5" t="str">
        <f ca="1">IFERROR(__xludf.DUMMYFUNCTION("IFERROR(VLOOKUP(B2,IMPORTRANGE(""https://docs.google.com/spreadsheets/d/1N8jvpEHDVkurDv7NrPxwI3eH6hQsvtb1QltGNCalRjU/edit#gid=865736387"",""Compiled Sheet!a1:g5000""),2,FALSE),"""")"),"1.5 - March
1.5 - April
1.5 - May
1.5 - June
1.5 - July
1.5 - Aug
1.5 - Sept
1.5 - Oct
1.5 - Nov
1.5 - Dec
1.5 - Jan
1.5 - Feb")</f>
        <v>1.5 - March
1.5 - April
1.5 - May
1.5 - June
1.5 - July
1.5 - Aug
1.5 - Sept
1.5 - Oct
1.5 - Nov
1.5 -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QTY-75")</f>
        <v>US QTY-75</v>
      </c>
      <c r="V3" s="13" t="str">
        <f ca="1">IFERROR(__xludf.DUMMYFUNCTION("CONCATENATE(""In Transit"", ""-"",IFERROR(VLOOKUP($B$2,IMPORTRANGE(""https://docs.google.com/spreadsheets/d/11afDUGgwIurytGWIAj1e7JPdtkZEoccxCski0CJdjqQ/edit#gid=1950799886"",""US Storage!a1:AD5000""),3,FALSE),""""))"),"In Transit-0")</f>
        <v>In Transit-0</v>
      </c>
      <c r="W3" s="5">
        <f>SUM(W4:W99765)</f>
        <v>31</v>
      </c>
      <c r="X3" s="7">
        <f>W3/D3</f>
        <v>0.248</v>
      </c>
      <c r="Y3" s="6"/>
      <c r="Z3" s="5"/>
      <c r="AA3" s="5"/>
      <c r="AB3" s="5"/>
      <c r="AC3" s="5"/>
      <c r="AD3" s="6">
        <f>SUM(AD4:AD99765)</f>
        <v>-9.5827200000000001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Info!B2:BZ7000""),37,FALSE)),"""")*-1"),-1.89)</f>
        <v>-1.89</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customHeight="1" x14ac:dyDescent="0.2">
      <c r="A9" s="28" t="s">
        <v>44</v>
      </c>
      <c r="B9" s="28"/>
      <c r="C9" s="15">
        <f t="shared" ref="C9:C32" si="1">IFERROR(F9/D9," - ")</f>
        <v>9.01</v>
      </c>
      <c r="D9" s="29">
        <v>1</v>
      </c>
      <c r="E9" s="29">
        <v>0</v>
      </c>
      <c r="F9" s="30">
        <v>9.01</v>
      </c>
      <c r="G9" s="30">
        <v>-16.46</v>
      </c>
      <c r="H9" s="31">
        <f t="shared" ref="H9:H32" si="2">G9/F9*-1</f>
        <v>1.8268590455049947</v>
      </c>
      <c r="I9" s="31">
        <f t="shared" ref="I9:I32" si="3">J9/F9</f>
        <v>-1.514531058482028</v>
      </c>
      <c r="J9" s="32">
        <f t="shared" ref="J9:J32" si="4">F9*0.85+G9+AF9*D9+D9*AE9+AG9+AD9</f>
        <v>-13.645924836923072</v>
      </c>
      <c r="K9" s="32">
        <f t="shared" ref="K9:K32" si="5">J9/D9</f>
        <v>-13.645924836923072</v>
      </c>
      <c r="L9" s="29">
        <v>11</v>
      </c>
      <c r="M9" s="33">
        <f t="shared" ref="M9:M32" si="6">IFERROR(D9/L9,"-")</f>
        <v>9.0909090909090912E-2</v>
      </c>
      <c r="N9" s="29">
        <v>24</v>
      </c>
      <c r="O9" s="34">
        <f t="shared" ref="O9:P9" si="7">D9/7</f>
        <v>0.14285714285714285</v>
      </c>
      <c r="P9" s="34">
        <f t="shared" si="7"/>
        <v>0</v>
      </c>
      <c r="Q9" s="29">
        <f t="shared" ref="Q9:Q32" si="8">ROUNDDOWN(N9/(O9+P9),0)</f>
        <v>168</v>
      </c>
      <c r="R9" s="29"/>
      <c r="S9" s="35">
        <v>0</v>
      </c>
      <c r="T9" s="28">
        <v>0</v>
      </c>
      <c r="U9" s="36" t="s">
        <v>33</v>
      </c>
      <c r="V9" s="37" t="s">
        <v>33</v>
      </c>
      <c r="W9" s="28">
        <v>0</v>
      </c>
      <c r="X9" s="38">
        <f t="shared" ref="X9:X32" si="9">IFERROR(W9/D9,0)</f>
        <v>0</v>
      </c>
      <c r="Y9" s="39">
        <f t="shared" ref="Y9:Y32" si="10">IFERROR(G9/(W9+Z9)*-1,0)</f>
        <v>0</v>
      </c>
      <c r="Z9" s="28">
        <v>0</v>
      </c>
      <c r="AA9" s="28" t="s">
        <v>34</v>
      </c>
      <c r="AB9" s="40">
        <f t="shared" ref="AB9:AB32" si="11">IF(OR(AA9="UsLargeStandardSize",AA9="UsSmallStandardSize"),-0.69,-0.48)</f>
        <v>-0.69</v>
      </c>
      <c r="AC9" s="41">
        <v>5.5551999999999997E-2</v>
      </c>
      <c r="AD9" s="39">
        <f t="shared" ref="AD9:AD32" si="12">IFERROR(AB9*AC9*D9*2,0)</f>
        <v>-7.6661759999999995E-2</v>
      </c>
      <c r="AE9" s="39">
        <v>-3.48</v>
      </c>
      <c r="AF9" s="39">
        <v>-1.2877630769230699</v>
      </c>
      <c r="AG9" s="39">
        <v>0</v>
      </c>
    </row>
    <row r="10" spans="1:33" ht="15.75" customHeight="1" x14ac:dyDescent="0.2">
      <c r="A10" s="28" t="s">
        <v>46</v>
      </c>
      <c r="B10" s="28" t="s">
        <v>436</v>
      </c>
      <c r="C10" s="15">
        <f t="shared" si="1"/>
        <v>8.0266666666666673</v>
      </c>
      <c r="D10" s="29">
        <v>6</v>
      </c>
      <c r="E10" s="29">
        <v>0</v>
      </c>
      <c r="F10" s="30">
        <v>48.160000000000004</v>
      </c>
      <c r="G10" s="30">
        <v>-36.54</v>
      </c>
      <c r="H10" s="31">
        <f t="shared" si="2"/>
        <v>0.75872093023255804</v>
      </c>
      <c r="I10" s="31">
        <f t="shared" si="3"/>
        <v>-0.51226223051367137</v>
      </c>
      <c r="J10" s="32">
        <f t="shared" si="4"/>
        <v>-24.670549021538417</v>
      </c>
      <c r="K10" s="32">
        <f t="shared" si="5"/>
        <v>-4.1117581702564028</v>
      </c>
      <c r="L10" s="29">
        <v>34</v>
      </c>
      <c r="M10" s="33">
        <f t="shared" si="6"/>
        <v>0.17647058823529413</v>
      </c>
      <c r="N10" s="29">
        <v>45</v>
      </c>
      <c r="O10" s="34">
        <f t="shared" ref="O10:P10" si="13">D10/7</f>
        <v>0.8571428571428571</v>
      </c>
      <c r="P10" s="34">
        <f t="shared" si="13"/>
        <v>0</v>
      </c>
      <c r="Q10" s="29">
        <f t="shared" si="8"/>
        <v>52</v>
      </c>
      <c r="R10" s="29"/>
      <c r="S10" s="35">
        <v>0.266666666666666</v>
      </c>
      <c r="T10" s="28">
        <v>0</v>
      </c>
      <c r="U10" s="36" t="s">
        <v>33</v>
      </c>
      <c r="V10" s="37" t="s">
        <v>33</v>
      </c>
      <c r="W10" s="28">
        <v>6</v>
      </c>
      <c r="X10" s="38">
        <f t="shared" si="9"/>
        <v>1</v>
      </c>
      <c r="Y10" s="39">
        <f t="shared" si="10"/>
        <v>3.3218181818181818</v>
      </c>
      <c r="Z10" s="28">
        <v>5</v>
      </c>
      <c r="AA10" s="28" t="s">
        <v>34</v>
      </c>
      <c r="AB10" s="40">
        <f t="shared" si="11"/>
        <v>-0.69</v>
      </c>
      <c r="AC10" s="41">
        <v>5.5551999999999997E-2</v>
      </c>
      <c r="AD10" s="39">
        <f t="shared" si="12"/>
        <v>-0.45997055999999997</v>
      </c>
      <c r="AE10" s="39">
        <v>-3.48</v>
      </c>
      <c r="AF10" s="39">
        <v>-1.2877630769230699</v>
      </c>
      <c r="AG10" s="39">
        <v>0</v>
      </c>
    </row>
    <row r="11" spans="1:33" ht="1.5" customHeight="1" x14ac:dyDescent="0.2">
      <c r="A11" s="28" t="s">
        <v>48</v>
      </c>
      <c r="B11" s="28" t="s">
        <v>437</v>
      </c>
      <c r="C11" s="15">
        <f t="shared" si="1"/>
        <v>7.9700000000000006</v>
      </c>
      <c r="D11" s="29">
        <v>2</v>
      </c>
      <c r="E11" s="29">
        <v>1</v>
      </c>
      <c r="F11" s="30">
        <v>15.940000000000001</v>
      </c>
      <c r="G11" s="30">
        <v>0</v>
      </c>
      <c r="H11" s="31">
        <f t="shared" si="2"/>
        <v>0</v>
      </c>
      <c r="I11" s="31">
        <f t="shared" si="3"/>
        <v>0.24216752359810928</v>
      </c>
      <c r="J11" s="32">
        <f t="shared" si="4"/>
        <v>3.8601503261538621</v>
      </c>
      <c r="K11" s="32">
        <f t="shared" si="5"/>
        <v>1.9300751630769311</v>
      </c>
      <c r="L11" s="29">
        <v>7</v>
      </c>
      <c r="M11" s="33">
        <f t="shared" si="6"/>
        <v>0.2857142857142857</v>
      </c>
      <c r="N11" s="29">
        <v>39</v>
      </c>
      <c r="O11" s="34">
        <f t="shared" ref="O11:P11" si="14">D11/7</f>
        <v>0.2857142857142857</v>
      </c>
      <c r="P11" s="34">
        <f t="shared" si="14"/>
        <v>0.14285714285714285</v>
      </c>
      <c r="Q11" s="29">
        <f t="shared" si="8"/>
        <v>91</v>
      </c>
      <c r="R11" s="29"/>
      <c r="S11" s="35">
        <v>0.67499999999999905</v>
      </c>
      <c r="T11" s="28">
        <v>0</v>
      </c>
      <c r="U11" s="36" t="s">
        <v>33</v>
      </c>
      <c r="V11" s="37" t="s">
        <v>33</v>
      </c>
      <c r="W11" s="28">
        <v>0</v>
      </c>
      <c r="X11" s="38">
        <f t="shared" si="9"/>
        <v>0</v>
      </c>
      <c r="Y11" s="39">
        <f t="shared" si="10"/>
        <v>0</v>
      </c>
      <c r="Z11" s="28">
        <v>0</v>
      </c>
      <c r="AA11" s="28" t="s">
        <v>34</v>
      </c>
      <c r="AB11" s="40">
        <f t="shared" si="11"/>
        <v>-0.69</v>
      </c>
      <c r="AC11" s="41">
        <v>5.5551999999999997E-2</v>
      </c>
      <c r="AD11" s="39">
        <f t="shared" si="12"/>
        <v>-0.15332351999999999</v>
      </c>
      <c r="AE11" s="39">
        <v>-3.48</v>
      </c>
      <c r="AF11" s="39">
        <v>-1.2877630769230699</v>
      </c>
      <c r="AG11" s="39">
        <v>0</v>
      </c>
    </row>
    <row r="12" spans="1:33" ht="15.75" customHeight="1" x14ac:dyDescent="0.2">
      <c r="A12" s="28" t="s">
        <v>49</v>
      </c>
      <c r="B12" s="28" t="s">
        <v>438</v>
      </c>
      <c r="C12" s="15">
        <f t="shared" si="1"/>
        <v>6.9899999999999993</v>
      </c>
      <c r="D12" s="29">
        <v>3</v>
      </c>
      <c r="E12" s="29">
        <v>0</v>
      </c>
      <c r="F12" s="30">
        <v>20.97</v>
      </c>
      <c r="G12" s="30">
        <v>-0.29000000000000004</v>
      </c>
      <c r="H12" s="31">
        <f t="shared" si="2"/>
        <v>1.3829279923700527E-2</v>
      </c>
      <c r="I12" s="31">
        <f t="shared" si="3"/>
        <v>0.14311995656799181</v>
      </c>
      <c r="J12" s="32">
        <f t="shared" si="4"/>
        <v>3.0012254892307881</v>
      </c>
      <c r="K12" s="32">
        <f t="shared" si="5"/>
        <v>1.0004084964102626</v>
      </c>
      <c r="L12" s="29">
        <v>11</v>
      </c>
      <c r="M12" s="33">
        <f t="shared" si="6"/>
        <v>0.27272727272727271</v>
      </c>
      <c r="N12" s="29">
        <v>111</v>
      </c>
      <c r="O12" s="34">
        <f t="shared" ref="O12:P12" si="15">D12/7</f>
        <v>0.42857142857142855</v>
      </c>
      <c r="P12" s="34">
        <f t="shared" si="15"/>
        <v>0</v>
      </c>
      <c r="Q12" s="29">
        <f t="shared" si="8"/>
        <v>259</v>
      </c>
      <c r="R12" s="29"/>
      <c r="S12" s="35">
        <v>0.32142857142857101</v>
      </c>
      <c r="T12" s="28">
        <v>0</v>
      </c>
      <c r="U12" s="36" t="s">
        <v>33</v>
      </c>
      <c r="V12" s="37" t="s">
        <v>33</v>
      </c>
      <c r="W12" s="28">
        <v>0</v>
      </c>
      <c r="X12" s="38">
        <f t="shared" si="9"/>
        <v>0</v>
      </c>
      <c r="Y12" s="39">
        <f t="shared" si="10"/>
        <v>0</v>
      </c>
      <c r="Z12" s="28">
        <v>0</v>
      </c>
      <c r="AA12" s="28" t="s">
        <v>34</v>
      </c>
      <c r="AB12" s="40">
        <f t="shared" si="11"/>
        <v>-0.69</v>
      </c>
      <c r="AC12" s="41">
        <v>5.5551999999999997E-2</v>
      </c>
      <c r="AD12" s="39">
        <f t="shared" si="12"/>
        <v>-0.22998527999999999</v>
      </c>
      <c r="AE12" s="39">
        <v>-3.48</v>
      </c>
      <c r="AF12" s="39">
        <v>-1.2877630769230699</v>
      </c>
      <c r="AG12" s="39">
        <v>0</v>
      </c>
    </row>
    <row r="13" spans="1:33" ht="15.75" customHeight="1" x14ac:dyDescent="0.2">
      <c r="A13" s="28" t="s">
        <v>50</v>
      </c>
      <c r="B13" s="28" t="s">
        <v>439</v>
      </c>
      <c r="C13" s="15">
        <f t="shared" si="1"/>
        <v>7.6073333333333331</v>
      </c>
      <c r="D13" s="29">
        <v>15</v>
      </c>
      <c r="E13" s="29">
        <v>1</v>
      </c>
      <c r="F13" s="32">
        <v>114.11</v>
      </c>
      <c r="G13" s="30">
        <v>-7.99</v>
      </c>
      <c r="H13" s="31">
        <f t="shared" si="2"/>
        <v>7.0020155989834368E-2</v>
      </c>
      <c r="I13" s="31">
        <f t="shared" si="3"/>
        <v>0.14150358075541153</v>
      </c>
      <c r="J13" s="32">
        <f t="shared" si="4"/>
        <v>16.14697360000001</v>
      </c>
      <c r="K13" s="32">
        <f t="shared" si="5"/>
        <v>1.0764649066666674</v>
      </c>
      <c r="L13" s="29">
        <v>9</v>
      </c>
      <c r="M13" s="33">
        <f t="shared" si="6"/>
        <v>1.6666666666666667</v>
      </c>
      <c r="N13" s="29">
        <v>100</v>
      </c>
      <c r="O13" s="34">
        <f t="shared" ref="O13:P13" si="16">D13/7</f>
        <v>2.1428571428571428</v>
      </c>
      <c r="P13" s="34">
        <f t="shared" si="16"/>
        <v>0.14285714285714285</v>
      </c>
      <c r="Q13" s="29">
        <f t="shared" si="8"/>
        <v>43</v>
      </c>
      <c r="R13" s="29"/>
      <c r="S13" s="35">
        <v>0.31111111111111101</v>
      </c>
      <c r="T13" s="28">
        <v>0</v>
      </c>
      <c r="U13" s="36" t="s">
        <v>33</v>
      </c>
      <c r="V13" s="37" t="s">
        <v>33</v>
      </c>
      <c r="W13" s="28">
        <v>6</v>
      </c>
      <c r="X13" s="38">
        <f t="shared" si="9"/>
        <v>0.4</v>
      </c>
      <c r="Y13" s="39">
        <f t="shared" si="10"/>
        <v>1.1414285714285715</v>
      </c>
      <c r="Z13" s="28">
        <v>1</v>
      </c>
      <c r="AA13" s="28" t="s">
        <v>34</v>
      </c>
      <c r="AB13" s="40">
        <f t="shared" si="11"/>
        <v>-0.69</v>
      </c>
      <c r="AC13" s="41">
        <v>5.5551999999999997E-2</v>
      </c>
      <c r="AD13" s="39">
        <f t="shared" si="12"/>
        <v>-1.1499264</v>
      </c>
      <c r="AE13" s="39">
        <v>-3.48</v>
      </c>
      <c r="AF13" s="39">
        <v>-1.30044</v>
      </c>
      <c r="AG13" s="39">
        <v>0</v>
      </c>
    </row>
    <row r="14" spans="1:33" ht="15.75" customHeight="1" x14ac:dyDescent="0.2">
      <c r="A14" s="28" t="s">
        <v>51</v>
      </c>
      <c r="B14" s="28" t="s">
        <v>440</v>
      </c>
      <c r="C14" s="15">
        <f t="shared" si="1"/>
        <v>7.233913043478263</v>
      </c>
      <c r="D14" s="29">
        <v>23</v>
      </c>
      <c r="E14" s="29">
        <v>0</v>
      </c>
      <c r="F14" s="32">
        <v>166.38000000000005</v>
      </c>
      <c r="G14" s="30">
        <v>-14.750000000000002</v>
      </c>
      <c r="H14" s="31">
        <f t="shared" si="2"/>
        <v>8.8652482269503535E-2</v>
      </c>
      <c r="I14" s="31">
        <f t="shared" si="3"/>
        <v>8.9912606803702444E-2</v>
      </c>
      <c r="J14" s="32">
        <f t="shared" si="4"/>
        <v>14.959659520000018</v>
      </c>
      <c r="K14" s="32">
        <f t="shared" si="5"/>
        <v>0.65041997913043559</v>
      </c>
      <c r="L14" s="29">
        <v>44</v>
      </c>
      <c r="M14" s="33">
        <f t="shared" si="6"/>
        <v>0.52272727272727271</v>
      </c>
      <c r="N14" s="29">
        <v>70</v>
      </c>
      <c r="O14" s="34">
        <f t="shared" ref="O14:P14" si="17">D14/7</f>
        <v>3.2857142857142856</v>
      </c>
      <c r="P14" s="34">
        <f t="shared" si="17"/>
        <v>0</v>
      </c>
      <c r="Q14" s="29">
        <f t="shared" si="8"/>
        <v>21</v>
      </c>
      <c r="R14" s="29"/>
      <c r="S14" s="35">
        <v>1.21875</v>
      </c>
      <c r="T14" s="28">
        <v>0</v>
      </c>
      <c r="U14" s="36" t="s">
        <v>33</v>
      </c>
      <c r="V14" s="37" t="s">
        <v>33</v>
      </c>
      <c r="W14" s="28">
        <v>12</v>
      </c>
      <c r="X14" s="38">
        <f t="shared" si="9"/>
        <v>0.52173913043478259</v>
      </c>
      <c r="Y14" s="39">
        <f t="shared" si="10"/>
        <v>0.9833333333333335</v>
      </c>
      <c r="Z14" s="28">
        <v>3</v>
      </c>
      <c r="AA14" s="28" t="s">
        <v>34</v>
      </c>
      <c r="AB14" s="40">
        <f t="shared" si="11"/>
        <v>-0.69</v>
      </c>
      <c r="AC14" s="41">
        <v>5.5551999999999997E-2</v>
      </c>
      <c r="AD14" s="39">
        <f t="shared" si="12"/>
        <v>-1.76322048</v>
      </c>
      <c r="AE14" s="39">
        <v>-3.48</v>
      </c>
      <c r="AF14" s="39">
        <v>-1.30044</v>
      </c>
      <c r="AG14" s="39">
        <v>0</v>
      </c>
    </row>
    <row r="15" spans="1:33" ht="15.75" customHeight="1" x14ac:dyDescent="0.2">
      <c r="A15" s="28" t="s">
        <v>53</v>
      </c>
      <c r="B15" s="28" t="s">
        <v>441</v>
      </c>
      <c r="C15" s="15">
        <f t="shared" si="1"/>
        <v>8.6326666666666654</v>
      </c>
      <c r="D15" s="29">
        <v>15</v>
      </c>
      <c r="E15" s="29">
        <v>0</v>
      </c>
      <c r="F15" s="32">
        <v>129.48999999999998</v>
      </c>
      <c r="G15" s="30">
        <v>-13.15</v>
      </c>
      <c r="H15" s="31">
        <f t="shared" si="2"/>
        <v>0.10155224341648006</v>
      </c>
      <c r="I15" s="31">
        <f t="shared" si="3"/>
        <v>0.11648292223337689</v>
      </c>
      <c r="J15" s="32">
        <f t="shared" si="4"/>
        <v>15.083373599999971</v>
      </c>
      <c r="K15" s="32">
        <f t="shared" si="5"/>
        <v>1.005558239999998</v>
      </c>
      <c r="L15" s="29">
        <v>37</v>
      </c>
      <c r="M15" s="33">
        <f t="shared" si="6"/>
        <v>0.40540540540540543</v>
      </c>
      <c r="N15" s="29">
        <v>56</v>
      </c>
      <c r="O15" s="34">
        <f t="shared" ref="O15:P15" si="18">D15/7</f>
        <v>2.1428571428571428</v>
      </c>
      <c r="P15" s="34">
        <f t="shared" si="18"/>
        <v>0</v>
      </c>
      <c r="Q15" s="29">
        <f t="shared" si="8"/>
        <v>26</v>
      </c>
      <c r="R15" s="29"/>
      <c r="S15" s="35">
        <v>2.6666666666666599</v>
      </c>
      <c r="T15" s="28">
        <v>0</v>
      </c>
      <c r="U15" s="36" t="s">
        <v>33</v>
      </c>
      <c r="V15" s="37" t="s">
        <v>33</v>
      </c>
      <c r="W15" s="28">
        <v>5</v>
      </c>
      <c r="X15" s="38">
        <f t="shared" si="9"/>
        <v>0.33333333333333331</v>
      </c>
      <c r="Y15" s="39">
        <f t="shared" si="10"/>
        <v>0.93928571428571428</v>
      </c>
      <c r="Z15" s="28">
        <v>9</v>
      </c>
      <c r="AA15" s="28" t="s">
        <v>34</v>
      </c>
      <c r="AB15" s="40">
        <f t="shared" si="11"/>
        <v>-0.69</v>
      </c>
      <c r="AC15" s="41">
        <v>5.5551999999999997E-2</v>
      </c>
      <c r="AD15" s="39">
        <f t="shared" si="12"/>
        <v>-1.1499264</v>
      </c>
      <c r="AE15" s="39">
        <v>-3.48</v>
      </c>
      <c r="AF15" s="39">
        <v>-1.8988799999999999</v>
      </c>
      <c r="AG15" s="39">
        <v>0</v>
      </c>
    </row>
    <row r="16" spans="1:33" ht="15.75" customHeight="1" x14ac:dyDescent="0.2">
      <c r="A16" s="28" t="s">
        <v>54</v>
      </c>
      <c r="B16" s="28" t="s">
        <v>47</v>
      </c>
      <c r="C16" s="15">
        <f t="shared" si="1"/>
        <v>8.5838461538461548</v>
      </c>
      <c r="D16" s="29">
        <v>13</v>
      </c>
      <c r="E16" s="29">
        <v>0</v>
      </c>
      <c r="F16" s="32">
        <v>111.59</v>
      </c>
      <c r="G16" s="30">
        <v>-3.29</v>
      </c>
      <c r="H16" s="31">
        <f t="shared" si="2"/>
        <v>2.9482928577829554E-2</v>
      </c>
      <c r="I16" s="31">
        <f t="shared" si="3"/>
        <v>0.18495794533560347</v>
      </c>
      <c r="J16" s="32">
        <f t="shared" si="4"/>
        <v>20.639457119999992</v>
      </c>
      <c r="K16" s="32">
        <f t="shared" si="5"/>
        <v>1.5876505476923071</v>
      </c>
      <c r="L16" s="29">
        <v>31</v>
      </c>
      <c r="M16" s="33">
        <f t="shared" si="6"/>
        <v>0.41935483870967744</v>
      </c>
      <c r="N16" s="29">
        <v>44</v>
      </c>
      <c r="O16" s="34">
        <f t="shared" ref="O16:P16" si="19">D16/7</f>
        <v>1.8571428571428572</v>
      </c>
      <c r="P16" s="34">
        <f t="shared" si="19"/>
        <v>0</v>
      </c>
      <c r="Q16" s="29">
        <f t="shared" si="8"/>
        <v>23</v>
      </c>
      <c r="R16" s="29"/>
      <c r="S16" s="35">
        <v>3.7590361445783098</v>
      </c>
      <c r="T16" s="28">
        <v>0</v>
      </c>
      <c r="U16" s="36" t="s">
        <v>33</v>
      </c>
      <c r="V16" s="37" t="s">
        <v>33</v>
      </c>
      <c r="W16" s="28">
        <v>1</v>
      </c>
      <c r="X16" s="38">
        <f t="shared" si="9"/>
        <v>7.6923076923076927E-2</v>
      </c>
      <c r="Y16" s="39">
        <f t="shared" si="10"/>
        <v>1.645</v>
      </c>
      <c r="Z16" s="28">
        <v>1</v>
      </c>
      <c r="AA16" s="28" t="s">
        <v>34</v>
      </c>
      <c r="AB16" s="40">
        <f t="shared" si="11"/>
        <v>-0.69</v>
      </c>
      <c r="AC16" s="41">
        <v>5.5551999999999997E-2</v>
      </c>
      <c r="AD16" s="39">
        <f t="shared" si="12"/>
        <v>-0.99660287999999997</v>
      </c>
      <c r="AE16" s="39">
        <v>-3.48</v>
      </c>
      <c r="AF16" s="39">
        <v>-1.8988799999999999</v>
      </c>
      <c r="AG16" s="39">
        <v>0</v>
      </c>
    </row>
    <row r="17" spans="1:33" ht="15.75" customHeight="1" x14ac:dyDescent="0.2">
      <c r="A17" s="28" t="s">
        <v>55</v>
      </c>
      <c r="B17" s="28" t="s">
        <v>442</v>
      </c>
      <c r="C17" s="15">
        <f t="shared" si="1"/>
        <v>8.4191666666666674</v>
      </c>
      <c r="D17" s="29">
        <v>12</v>
      </c>
      <c r="E17" s="29">
        <v>0</v>
      </c>
      <c r="F17" s="32">
        <v>101.03</v>
      </c>
      <c r="G17" s="30">
        <v>-0.16</v>
      </c>
      <c r="H17" s="31">
        <f t="shared" si="2"/>
        <v>1.5836880134613481E-3</v>
      </c>
      <c r="I17" s="31">
        <f t="shared" si="3"/>
        <v>0.20042560506780177</v>
      </c>
      <c r="J17" s="32">
        <f t="shared" si="4"/>
        <v>20.248998880000013</v>
      </c>
      <c r="K17" s="32">
        <f t="shared" si="5"/>
        <v>1.6874165733333344</v>
      </c>
      <c r="L17" s="29">
        <v>24</v>
      </c>
      <c r="M17" s="33">
        <f t="shared" si="6"/>
        <v>0.5</v>
      </c>
      <c r="N17" s="29">
        <v>33</v>
      </c>
      <c r="O17" s="34">
        <f t="shared" ref="O17:P17" si="20">D17/7</f>
        <v>1.7142857142857142</v>
      </c>
      <c r="P17" s="34">
        <f t="shared" si="20"/>
        <v>0</v>
      </c>
      <c r="Q17" s="29">
        <f t="shared" si="8"/>
        <v>19</v>
      </c>
      <c r="R17" s="29"/>
      <c r="S17" s="35">
        <v>2.0470588235294098</v>
      </c>
      <c r="T17" s="28">
        <v>0</v>
      </c>
      <c r="U17" s="36" t="s">
        <v>33</v>
      </c>
      <c r="V17" s="37" t="s">
        <v>33</v>
      </c>
      <c r="W17" s="28">
        <v>0</v>
      </c>
      <c r="X17" s="38">
        <f t="shared" si="9"/>
        <v>0</v>
      </c>
      <c r="Y17" s="39">
        <f t="shared" si="10"/>
        <v>0</v>
      </c>
      <c r="Z17" s="28">
        <v>0</v>
      </c>
      <c r="AA17" s="28" t="s">
        <v>34</v>
      </c>
      <c r="AB17" s="40">
        <f t="shared" si="11"/>
        <v>-0.69</v>
      </c>
      <c r="AC17" s="41">
        <v>5.5551999999999997E-2</v>
      </c>
      <c r="AD17" s="39">
        <f t="shared" si="12"/>
        <v>-0.91994111999999995</v>
      </c>
      <c r="AE17" s="39">
        <v>-3.48</v>
      </c>
      <c r="AF17" s="39">
        <v>-1.8988799999999999</v>
      </c>
      <c r="AG17" s="39">
        <v>0</v>
      </c>
    </row>
    <row r="18" spans="1:33" ht="15.75" customHeight="1" x14ac:dyDescent="0.2">
      <c r="A18" s="28" t="s">
        <v>56</v>
      </c>
      <c r="B18" s="28" t="s">
        <v>443</v>
      </c>
      <c r="C18" s="15">
        <f t="shared" si="1"/>
        <v>9.0399999999999991</v>
      </c>
      <c r="D18" s="29">
        <v>23</v>
      </c>
      <c r="E18" s="29">
        <v>0</v>
      </c>
      <c r="F18" s="32">
        <v>207.92</v>
      </c>
      <c r="G18" s="30">
        <v>-0.16</v>
      </c>
      <c r="H18" s="31">
        <f t="shared" si="2"/>
        <v>7.6952674105425169E-4</v>
      </c>
      <c r="I18" s="31">
        <f t="shared" si="3"/>
        <v>0.24574134051558277</v>
      </c>
      <c r="J18" s="32">
        <f t="shared" si="4"/>
        <v>51.094539519999969</v>
      </c>
      <c r="K18" s="32">
        <f t="shared" si="5"/>
        <v>2.2215017182608681</v>
      </c>
      <c r="L18" s="29">
        <v>37</v>
      </c>
      <c r="M18" s="33">
        <f t="shared" si="6"/>
        <v>0.6216216216216216</v>
      </c>
      <c r="N18" s="29">
        <v>16</v>
      </c>
      <c r="O18" s="34">
        <f t="shared" ref="O18:P18" si="21">D18/7</f>
        <v>3.2857142857142856</v>
      </c>
      <c r="P18" s="34">
        <f t="shared" si="21"/>
        <v>0</v>
      </c>
      <c r="Q18" s="29">
        <f t="shared" si="8"/>
        <v>4</v>
      </c>
      <c r="R18" s="29"/>
      <c r="S18" s="35">
        <v>2.8947368421052602</v>
      </c>
      <c r="T18" s="28">
        <v>0</v>
      </c>
      <c r="U18" s="36">
        <v>0</v>
      </c>
      <c r="V18" s="37" t="s">
        <v>33</v>
      </c>
      <c r="W18" s="28">
        <v>1</v>
      </c>
      <c r="X18" s="38">
        <f t="shared" si="9"/>
        <v>4.3478260869565216E-2</v>
      </c>
      <c r="Y18" s="39">
        <f t="shared" si="10"/>
        <v>0.16</v>
      </c>
      <c r="Z18" s="28">
        <v>0</v>
      </c>
      <c r="AA18" s="28" t="s">
        <v>34</v>
      </c>
      <c r="AB18" s="40">
        <f t="shared" si="11"/>
        <v>-0.69</v>
      </c>
      <c r="AC18" s="41">
        <v>5.5551999999999997E-2</v>
      </c>
      <c r="AD18" s="39">
        <f t="shared" si="12"/>
        <v>-1.76322048</v>
      </c>
      <c r="AE18" s="39">
        <v>-3.48</v>
      </c>
      <c r="AF18" s="39">
        <v>-1.8988799999999999</v>
      </c>
      <c r="AG18" s="39">
        <v>0</v>
      </c>
    </row>
    <row r="19" spans="1:33" ht="15.75" customHeight="1" x14ac:dyDescent="0.2">
      <c r="A19" s="28" t="s">
        <v>57</v>
      </c>
      <c r="B19" s="28" t="s">
        <v>150</v>
      </c>
      <c r="C19" s="15">
        <f t="shared" si="1"/>
        <v>10.105</v>
      </c>
      <c r="D19" s="29">
        <v>4</v>
      </c>
      <c r="E19" s="29">
        <v>0</v>
      </c>
      <c r="F19" s="32">
        <v>40.42</v>
      </c>
      <c r="G19" s="30">
        <v>-0.26</v>
      </c>
      <c r="H19" s="31">
        <f t="shared" si="2"/>
        <v>6.4324591786244431E-3</v>
      </c>
      <c r="I19" s="31">
        <f t="shared" si="3"/>
        <v>0.29477567936665022</v>
      </c>
      <c r="J19" s="32">
        <f t="shared" si="4"/>
        <v>11.914832960000002</v>
      </c>
      <c r="K19" s="32">
        <f t="shared" si="5"/>
        <v>2.9787082400000005</v>
      </c>
      <c r="L19" s="29">
        <v>40</v>
      </c>
      <c r="M19" s="33">
        <f t="shared" si="6"/>
        <v>0.1</v>
      </c>
      <c r="N19" s="29">
        <v>9</v>
      </c>
      <c r="O19" s="34">
        <f t="shared" ref="O19:P19" si="22">D19/7</f>
        <v>0.5714285714285714</v>
      </c>
      <c r="P19" s="34">
        <f t="shared" si="22"/>
        <v>0</v>
      </c>
      <c r="Q19" s="29">
        <f t="shared" si="8"/>
        <v>15</v>
      </c>
      <c r="R19" s="29"/>
      <c r="S19" s="35">
        <v>3.5968992248061999</v>
      </c>
      <c r="T19" s="28">
        <v>0</v>
      </c>
      <c r="U19" s="36" t="s">
        <v>33</v>
      </c>
      <c r="V19" s="37" t="s">
        <v>33</v>
      </c>
      <c r="W19" s="28">
        <v>0</v>
      </c>
      <c r="X19" s="38">
        <f t="shared" si="9"/>
        <v>0</v>
      </c>
      <c r="Y19" s="39">
        <f t="shared" si="10"/>
        <v>0</v>
      </c>
      <c r="Z19" s="28">
        <v>0</v>
      </c>
      <c r="AA19" s="28" t="s">
        <v>34</v>
      </c>
      <c r="AB19" s="40">
        <f t="shared" si="11"/>
        <v>-0.69</v>
      </c>
      <c r="AC19" s="41">
        <v>5.5551999999999997E-2</v>
      </c>
      <c r="AD19" s="39">
        <f t="shared" si="12"/>
        <v>-0.30664703999999998</v>
      </c>
      <c r="AE19" s="39">
        <v>-3.48</v>
      </c>
      <c r="AF19" s="39">
        <v>-1.9888800000000002</v>
      </c>
      <c r="AG19" s="39">
        <v>0</v>
      </c>
    </row>
    <row r="20" spans="1:33" ht="15.75" customHeight="1" x14ac:dyDescent="0.2">
      <c r="A20" s="28" t="s">
        <v>58</v>
      </c>
      <c r="B20" s="28" t="s">
        <v>52</v>
      </c>
      <c r="C20" s="15">
        <f t="shared" si="1"/>
        <v>10.290000000000001</v>
      </c>
      <c r="D20" s="29">
        <v>6</v>
      </c>
      <c r="E20" s="29">
        <v>0</v>
      </c>
      <c r="F20" s="32">
        <v>61.74</v>
      </c>
      <c r="G20" s="30">
        <v>-0.27</v>
      </c>
      <c r="H20" s="31">
        <f t="shared" si="2"/>
        <v>4.3731778425655978E-3</v>
      </c>
      <c r="I20" s="31">
        <f t="shared" si="3"/>
        <v>0.30670148104956257</v>
      </c>
      <c r="J20" s="32">
        <f t="shared" si="4"/>
        <v>18.935749439999995</v>
      </c>
      <c r="K20" s="32">
        <f t="shared" si="5"/>
        <v>3.155958239999999</v>
      </c>
      <c r="L20" s="29">
        <v>29</v>
      </c>
      <c r="M20" s="33">
        <f t="shared" si="6"/>
        <v>0.20689655172413793</v>
      </c>
      <c r="N20" s="29">
        <v>3</v>
      </c>
      <c r="O20" s="34">
        <f t="shared" ref="O20:P20" si="23">D20/7</f>
        <v>0.8571428571428571</v>
      </c>
      <c r="P20" s="34">
        <f t="shared" si="23"/>
        <v>0</v>
      </c>
      <c r="Q20" s="29">
        <f t="shared" si="8"/>
        <v>3</v>
      </c>
      <c r="R20" s="29"/>
      <c r="S20" s="35">
        <v>4.9292929292929202</v>
      </c>
      <c r="T20" s="28">
        <v>0</v>
      </c>
      <c r="U20" s="36" t="s">
        <v>33</v>
      </c>
      <c r="V20" s="37" t="s">
        <v>33</v>
      </c>
      <c r="W20" s="28">
        <v>0</v>
      </c>
      <c r="X20" s="38">
        <f t="shared" si="9"/>
        <v>0</v>
      </c>
      <c r="Y20" s="39">
        <f t="shared" si="10"/>
        <v>0</v>
      </c>
      <c r="Z20" s="28">
        <v>0</v>
      </c>
      <c r="AA20" s="28" t="s">
        <v>34</v>
      </c>
      <c r="AB20" s="40">
        <f t="shared" si="11"/>
        <v>-0.69</v>
      </c>
      <c r="AC20" s="41">
        <v>5.5551999999999997E-2</v>
      </c>
      <c r="AD20" s="39">
        <f t="shared" si="12"/>
        <v>-0.45997055999999997</v>
      </c>
      <c r="AE20" s="39">
        <v>-3.48</v>
      </c>
      <c r="AF20" s="39">
        <v>-1.9888800000000002</v>
      </c>
      <c r="AG20" s="39">
        <v>0</v>
      </c>
    </row>
    <row r="21" spans="1:33" ht="15.75" customHeight="1" x14ac:dyDescent="0.2">
      <c r="A21" s="28" t="s">
        <v>59</v>
      </c>
      <c r="B21" s="28"/>
      <c r="C21" s="15" t="str">
        <f t="shared" si="1"/>
        <v xml:space="preserve"> - </v>
      </c>
      <c r="D21" s="29">
        <v>0</v>
      </c>
      <c r="E21" s="29">
        <v>0</v>
      </c>
      <c r="F21" s="32">
        <v>0</v>
      </c>
      <c r="G21" s="30">
        <v>0</v>
      </c>
      <c r="H21" s="31" t="e">
        <f t="shared" si="2"/>
        <v>#DIV/0!</v>
      </c>
      <c r="I21" s="31" t="e">
        <f t="shared" si="3"/>
        <v>#DIV/0!</v>
      </c>
      <c r="J21" s="32">
        <f t="shared" si="4"/>
        <v>0</v>
      </c>
      <c r="K21" s="32" t="e">
        <f t="shared" si="5"/>
        <v>#DIV/0!</v>
      </c>
      <c r="L21" s="29">
        <v>0</v>
      </c>
      <c r="M21" s="33" t="str">
        <f t="shared" si="6"/>
        <v>-</v>
      </c>
      <c r="N21" s="29">
        <v>1</v>
      </c>
      <c r="O21" s="34">
        <f t="shared" ref="O21:P21" si="24">D21/7</f>
        <v>0</v>
      </c>
      <c r="P21" s="34">
        <f t="shared" si="24"/>
        <v>0</v>
      </c>
      <c r="Q21" s="29" t="e">
        <f t="shared" si="8"/>
        <v>#DIV/0!</v>
      </c>
      <c r="R21" s="29"/>
      <c r="S21" s="35">
        <v>2.7932960893854699</v>
      </c>
      <c r="T21" s="28">
        <v>250</v>
      </c>
      <c r="U21" s="36" t="s">
        <v>33</v>
      </c>
      <c r="V21" s="37" t="s">
        <v>33</v>
      </c>
      <c r="W21" s="28">
        <v>0</v>
      </c>
      <c r="X21" s="38">
        <f t="shared" si="9"/>
        <v>0</v>
      </c>
      <c r="Y21" s="39">
        <f t="shared" si="10"/>
        <v>0</v>
      </c>
      <c r="Z21" s="28">
        <v>0</v>
      </c>
      <c r="AA21" s="28" t="s">
        <v>34</v>
      </c>
      <c r="AB21" s="40">
        <f t="shared" si="11"/>
        <v>-0.69</v>
      </c>
      <c r="AC21" s="41">
        <v>5.5551999999999997E-2</v>
      </c>
      <c r="AD21" s="39">
        <f t="shared" si="12"/>
        <v>0</v>
      </c>
      <c r="AE21" s="39">
        <v>-3.48</v>
      </c>
      <c r="AF21" s="39">
        <v>-1.9888800000000002</v>
      </c>
      <c r="AG21" s="39">
        <v>0</v>
      </c>
    </row>
    <row r="22" spans="1:33" ht="15.75" customHeight="1" x14ac:dyDescent="0.2">
      <c r="A22" s="28" t="s">
        <v>60</v>
      </c>
      <c r="B22" s="28"/>
      <c r="C22" s="15">
        <f t="shared" si="1"/>
        <v>9.99</v>
      </c>
      <c r="D22" s="29">
        <v>1</v>
      </c>
      <c r="E22" s="29">
        <v>0</v>
      </c>
      <c r="F22" s="30">
        <v>9.99</v>
      </c>
      <c r="G22" s="30">
        <v>0</v>
      </c>
      <c r="H22" s="31">
        <f t="shared" si="2"/>
        <v>0</v>
      </c>
      <c r="I22" s="31">
        <f t="shared" si="3"/>
        <v>0.29489071471471473</v>
      </c>
      <c r="J22" s="32">
        <f t="shared" si="4"/>
        <v>2.9459582400000004</v>
      </c>
      <c r="K22" s="32">
        <f t="shared" si="5"/>
        <v>2.9459582400000004</v>
      </c>
      <c r="L22" s="29">
        <v>0</v>
      </c>
      <c r="M22" s="33" t="str">
        <f t="shared" si="6"/>
        <v>-</v>
      </c>
      <c r="N22" s="29">
        <v>0</v>
      </c>
      <c r="O22" s="34">
        <f t="shared" ref="O22:P22" si="25">D22/7</f>
        <v>0.14285714285714285</v>
      </c>
      <c r="P22" s="34">
        <f t="shared" si="25"/>
        <v>0</v>
      </c>
      <c r="Q22" s="29">
        <f t="shared" si="8"/>
        <v>0</v>
      </c>
      <c r="R22" s="29"/>
      <c r="S22" s="35">
        <v>2.8735632183908</v>
      </c>
      <c r="T22" s="28">
        <v>500</v>
      </c>
      <c r="U22" s="36" t="s">
        <v>33</v>
      </c>
      <c r="V22" s="37" t="s">
        <v>33</v>
      </c>
      <c r="W22" s="28">
        <v>0</v>
      </c>
      <c r="X22" s="38">
        <f t="shared" si="9"/>
        <v>0</v>
      </c>
      <c r="Y22" s="39">
        <f t="shared" si="10"/>
        <v>0</v>
      </c>
      <c r="Z22" s="28">
        <v>0</v>
      </c>
      <c r="AA22" s="28" t="s">
        <v>34</v>
      </c>
      <c r="AB22" s="40">
        <f t="shared" si="11"/>
        <v>-0.69</v>
      </c>
      <c r="AC22" s="41">
        <v>5.5551999999999997E-2</v>
      </c>
      <c r="AD22" s="39">
        <f t="shared" si="12"/>
        <v>-7.6661759999999995E-2</v>
      </c>
      <c r="AE22" s="39">
        <v>-3.48</v>
      </c>
      <c r="AF22" s="39">
        <v>-1.9888800000000002</v>
      </c>
      <c r="AG22" s="39">
        <v>0</v>
      </c>
    </row>
    <row r="23" spans="1:33" ht="15.75" customHeight="1" x14ac:dyDescent="0.2">
      <c r="A23" s="28" t="s">
        <v>62</v>
      </c>
      <c r="B23" s="28"/>
      <c r="C23" s="15" t="str">
        <f t="shared" si="1"/>
        <v xml:space="preserve"> - </v>
      </c>
      <c r="D23" s="29">
        <v>0</v>
      </c>
      <c r="E23" s="29">
        <v>0</v>
      </c>
      <c r="F23" s="32">
        <v>0</v>
      </c>
      <c r="G23" s="30">
        <v>0</v>
      </c>
      <c r="H23" s="31" t="e">
        <f t="shared" si="2"/>
        <v>#DIV/0!</v>
      </c>
      <c r="I23" s="31" t="e">
        <f t="shared" si="3"/>
        <v>#DIV/0!</v>
      </c>
      <c r="J23" s="32">
        <f t="shared" si="4"/>
        <v>0</v>
      </c>
      <c r="K23" s="32" t="e">
        <f t="shared" si="5"/>
        <v>#DIV/0!</v>
      </c>
      <c r="L23" s="29">
        <v>0</v>
      </c>
      <c r="M23" s="33" t="str">
        <f t="shared" si="6"/>
        <v>-</v>
      </c>
      <c r="N23" s="29">
        <v>0</v>
      </c>
      <c r="O23" s="34">
        <f t="shared" ref="O23:P23" si="26">D23/7</f>
        <v>0</v>
      </c>
      <c r="P23" s="34">
        <f t="shared" si="26"/>
        <v>0</v>
      </c>
      <c r="Q23" s="29" t="e">
        <f t="shared" si="8"/>
        <v>#DIV/0!</v>
      </c>
      <c r="R23" s="29"/>
      <c r="S23" s="35" t="e">
        <v>#N/A</v>
      </c>
      <c r="T23" s="28">
        <v>750</v>
      </c>
      <c r="U23" s="36" t="s">
        <v>33</v>
      </c>
      <c r="V23" s="37" t="s">
        <v>33</v>
      </c>
      <c r="W23" s="28">
        <v>0</v>
      </c>
      <c r="X23" s="38">
        <f t="shared" si="9"/>
        <v>0</v>
      </c>
      <c r="Y23" s="39">
        <f t="shared" si="10"/>
        <v>0</v>
      </c>
      <c r="Z23" s="28">
        <v>0</v>
      </c>
      <c r="AA23" s="28" t="s">
        <v>34</v>
      </c>
      <c r="AB23" s="40">
        <f t="shared" si="11"/>
        <v>-0.69</v>
      </c>
      <c r="AC23" s="41">
        <v>5.5551999999999997E-2</v>
      </c>
      <c r="AD23" s="39">
        <f t="shared" si="12"/>
        <v>0</v>
      </c>
      <c r="AE23" s="39">
        <v>-3.48</v>
      </c>
      <c r="AF23" s="39">
        <v>-1.9888800000000002</v>
      </c>
      <c r="AG23" s="39">
        <v>0</v>
      </c>
    </row>
    <row r="24" spans="1:33" ht="15.75" customHeight="1" x14ac:dyDescent="0.2">
      <c r="A24" s="28" t="s">
        <v>64</v>
      </c>
      <c r="B24" s="28"/>
      <c r="C24" s="15" t="str">
        <f t="shared" si="1"/>
        <v xml:space="preserve"> - </v>
      </c>
      <c r="D24" s="29">
        <v>0</v>
      </c>
      <c r="E24" s="29">
        <v>0</v>
      </c>
      <c r="F24" s="32">
        <v>0</v>
      </c>
      <c r="G24" s="32">
        <v>0</v>
      </c>
      <c r="H24" s="31" t="e">
        <f t="shared" si="2"/>
        <v>#DIV/0!</v>
      </c>
      <c r="I24" s="31" t="e">
        <f t="shared" si="3"/>
        <v>#DIV/0!</v>
      </c>
      <c r="J24" s="32">
        <f t="shared" si="4"/>
        <v>0</v>
      </c>
      <c r="K24" s="32" t="e">
        <f t="shared" si="5"/>
        <v>#DIV/0!</v>
      </c>
      <c r="L24" s="29">
        <v>0</v>
      </c>
      <c r="M24" s="33" t="str">
        <f t="shared" si="6"/>
        <v>-</v>
      </c>
      <c r="N24" s="29">
        <v>0</v>
      </c>
      <c r="O24" s="34">
        <f t="shared" ref="O24:P24" si="27">D24/7</f>
        <v>0</v>
      </c>
      <c r="P24" s="34">
        <f t="shared" si="27"/>
        <v>0</v>
      </c>
      <c r="Q24" s="29" t="e">
        <f t="shared" si="8"/>
        <v>#DIV/0!</v>
      </c>
      <c r="R24" s="29"/>
      <c r="S24" s="35" t="e">
        <v>#N/A</v>
      </c>
      <c r="T24" s="28">
        <v>750</v>
      </c>
      <c r="U24" s="36" t="s">
        <v>33</v>
      </c>
      <c r="V24" s="37" t="s">
        <v>33</v>
      </c>
      <c r="W24" s="28">
        <v>0</v>
      </c>
      <c r="X24" s="38">
        <f t="shared" si="9"/>
        <v>0</v>
      </c>
      <c r="Y24" s="39">
        <f t="shared" si="10"/>
        <v>0</v>
      </c>
      <c r="Z24" s="28">
        <v>0</v>
      </c>
      <c r="AA24" s="28" t="s">
        <v>34</v>
      </c>
      <c r="AB24" s="40">
        <f t="shared" si="11"/>
        <v>-0.69</v>
      </c>
      <c r="AC24" s="41">
        <v>5.5551999999999997E-2</v>
      </c>
      <c r="AD24" s="39">
        <f t="shared" si="12"/>
        <v>0</v>
      </c>
      <c r="AE24" s="39">
        <v>-3.48</v>
      </c>
      <c r="AF24" s="39">
        <v>-1.9888800000000002</v>
      </c>
      <c r="AG24" s="39">
        <v>0</v>
      </c>
    </row>
    <row r="25" spans="1:33" ht="15.75" customHeight="1" x14ac:dyDescent="0.2">
      <c r="A25" s="28" t="s">
        <v>65</v>
      </c>
      <c r="B25" s="14"/>
      <c r="C25" s="15" t="str">
        <f t="shared" si="1"/>
        <v xml:space="preserve"> - </v>
      </c>
      <c r="D25" s="29">
        <v>0</v>
      </c>
      <c r="E25" s="29">
        <v>0</v>
      </c>
      <c r="F25" s="32">
        <v>0</v>
      </c>
      <c r="G25" s="32">
        <v>0</v>
      </c>
      <c r="H25" s="31" t="e">
        <f t="shared" si="2"/>
        <v>#DIV/0!</v>
      </c>
      <c r="I25" s="31" t="e">
        <f t="shared" si="3"/>
        <v>#DIV/0!</v>
      </c>
      <c r="J25" s="32">
        <f t="shared" si="4"/>
        <v>0</v>
      </c>
      <c r="K25" s="32" t="e">
        <f t="shared" si="5"/>
        <v>#DIV/0!</v>
      </c>
      <c r="L25" s="29">
        <v>0</v>
      </c>
      <c r="M25" s="33" t="str">
        <f t="shared" si="6"/>
        <v>-</v>
      </c>
      <c r="N25" s="29">
        <v>0</v>
      </c>
      <c r="O25" s="34">
        <f t="shared" ref="O25:P25" si="28">D25/7</f>
        <v>0</v>
      </c>
      <c r="P25" s="34">
        <f t="shared" si="28"/>
        <v>0</v>
      </c>
      <c r="Q25" s="29" t="e">
        <f t="shared" si="8"/>
        <v>#DIV/0!</v>
      </c>
      <c r="R25" s="29"/>
      <c r="S25" s="35">
        <v>0</v>
      </c>
      <c r="T25" s="28">
        <v>750</v>
      </c>
      <c r="U25" s="36" t="s">
        <v>33</v>
      </c>
      <c r="V25" s="37" t="s">
        <v>33</v>
      </c>
      <c r="W25" s="14">
        <v>0</v>
      </c>
      <c r="X25" s="38">
        <f t="shared" si="9"/>
        <v>0</v>
      </c>
      <c r="Y25" s="39">
        <f t="shared" si="10"/>
        <v>0</v>
      </c>
      <c r="Z25" s="14">
        <v>0</v>
      </c>
      <c r="AA25" s="28" t="s">
        <v>34</v>
      </c>
      <c r="AB25" s="40">
        <f t="shared" si="11"/>
        <v>-0.69</v>
      </c>
      <c r="AC25" s="41">
        <v>5.5551999999999997E-2</v>
      </c>
      <c r="AD25" s="39">
        <f t="shared" si="12"/>
        <v>0</v>
      </c>
      <c r="AE25" s="39">
        <v>-3.48</v>
      </c>
      <c r="AF25" s="39">
        <v>-1.99</v>
      </c>
      <c r="AG25" s="39">
        <v>0</v>
      </c>
    </row>
    <row r="26" spans="1:33" ht="15.75" customHeight="1" x14ac:dyDescent="0.2">
      <c r="A26" s="14" t="s">
        <v>67</v>
      </c>
      <c r="B26" s="14"/>
      <c r="C26" s="15">
        <f t="shared" si="1"/>
        <v>9.99</v>
      </c>
      <c r="D26" s="16">
        <v>1</v>
      </c>
      <c r="E26" s="16">
        <v>0</v>
      </c>
      <c r="F26" s="17">
        <v>9.99</v>
      </c>
      <c r="G26" s="17">
        <v>0</v>
      </c>
      <c r="H26" s="31">
        <f t="shared" si="2"/>
        <v>0</v>
      </c>
      <c r="I26" s="31">
        <f t="shared" si="3"/>
        <v>0.29439581981981983</v>
      </c>
      <c r="J26" s="32">
        <f t="shared" si="4"/>
        <v>2.9410142400000003</v>
      </c>
      <c r="K26" s="32">
        <f t="shared" si="5"/>
        <v>2.9410142400000003</v>
      </c>
      <c r="L26" s="16">
        <v>1</v>
      </c>
      <c r="M26" s="33">
        <f t="shared" si="6"/>
        <v>1</v>
      </c>
      <c r="N26" s="16">
        <v>0</v>
      </c>
      <c r="O26" s="34">
        <f t="shared" ref="O26:P26" si="29">D26/7</f>
        <v>0.14285714285714285</v>
      </c>
      <c r="P26" s="34">
        <f t="shared" si="29"/>
        <v>0</v>
      </c>
      <c r="Q26" s="29">
        <f t="shared" si="8"/>
        <v>0</v>
      </c>
      <c r="R26" s="29"/>
      <c r="S26" s="21">
        <v>2.9370629370629371</v>
      </c>
      <c r="T26" s="28">
        <v>750</v>
      </c>
      <c r="U26" s="36" t="s">
        <v>33</v>
      </c>
      <c r="V26" s="37" t="s">
        <v>33</v>
      </c>
      <c r="W26" s="14">
        <v>0</v>
      </c>
      <c r="X26" s="38">
        <f t="shared" si="9"/>
        <v>0</v>
      </c>
      <c r="Y26" s="39">
        <f t="shared" si="10"/>
        <v>0</v>
      </c>
      <c r="Z26" s="14">
        <v>0</v>
      </c>
      <c r="AA26" s="28" t="s">
        <v>34</v>
      </c>
      <c r="AB26" s="40">
        <f t="shared" si="11"/>
        <v>-0.69</v>
      </c>
      <c r="AC26" s="41">
        <v>5.5551999999999997E-2</v>
      </c>
      <c r="AD26" s="39">
        <f t="shared" si="12"/>
        <v>-7.6661759999999995E-2</v>
      </c>
      <c r="AE26" s="25">
        <v>-3.48</v>
      </c>
      <c r="AF26" s="25">
        <v>-1.993824</v>
      </c>
      <c r="AG26" s="25">
        <v>0</v>
      </c>
    </row>
    <row r="27" spans="1:33" ht="15.75" customHeight="1" x14ac:dyDescent="0.2">
      <c r="A27" s="14" t="s">
        <v>69</v>
      </c>
      <c r="B27" s="14"/>
      <c r="C27" s="15" t="str">
        <f t="shared" si="1"/>
        <v xml:space="preserve"> - </v>
      </c>
      <c r="D27" s="16">
        <v>0</v>
      </c>
      <c r="E27" s="16">
        <v>0</v>
      </c>
      <c r="F27" s="17">
        <v>0</v>
      </c>
      <c r="G27" s="17">
        <v>0</v>
      </c>
      <c r="H27" s="31" t="e">
        <f t="shared" si="2"/>
        <v>#DIV/0!</v>
      </c>
      <c r="I27" s="31" t="e">
        <f t="shared" si="3"/>
        <v>#DIV/0!</v>
      </c>
      <c r="J27" s="32">
        <f t="shared" si="4"/>
        <v>0</v>
      </c>
      <c r="K27" s="32" t="e">
        <f t="shared" si="5"/>
        <v>#DIV/0!</v>
      </c>
      <c r="L27" s="16">
        <v>0</v>
      </c>
      <c r="M27" s="33" t="str">
        <f t="shared" si="6"/>
        <v>-</v>
      </c>
      <c r="N27" s="16">
        <v>0</v>
      </c>
      <c r="O27" s="34">
        <f t="shared" ref="O27:P27" si="30">D27/7</f>
        <v>0</v>
      </c>
      <c r="P27" s="34">
        <f t="shared" si="30"/>
        <v>0</v>
      </c>
      <c r="Q27" s="29" t="e">
        <f t="shared" si="8"/>
        <v>#DIV/0!</v>
      </c>
      <c r="R27" s="29"/>
      <c r="S27" s="21">
        <v>0</v>
      </c>
      <c r="T27" s="28">
        <v>750</v>
      </c>
      <c r="U27" s="36" t="s">
        <v>33</v>
      </c>
      <c r="V27" s="37" t="s">
        <v>33</v>
      </c>
      <c r="W27" s="14">
        <v>0</v>
      </c>
      <c r="X27" s="38">
        <f t="shared" si="9"/>
        <v>0</v>
      </c>
      <c r="Y27" s="39">
        <f t="shared" si="10"/>
        <v>0</v>
      </c>
      <c r="Z27" s="14">
        <v>0</v>
      </c>
      <c r="AA27" s="28" t="s">
        <v>34</v>
      </c>
      <c r="AB27" s="40">
        <f t="shared" si="11"/>
        <v>-0.69</v>
      </c>
      <c r="AC27" s="41">
        <v>5.5551999999999997E-2</v>
      </c>
      <c r="AD27" s="39">
        <f t="shared" si="12"/>
        <v>0</v>
      </c>
      <c r="AE27" s="25">
        <v>-3.48</v>
      </c>
      <c r="AF27" s="25">
        <v>-1.993824</v>
      </c>
      <c r="AG27" s="25">
        <v>0</v>
      </c>
    </row>
    <row r="28" spans="1:33" ht="15.75" customHeight="1" x14ac:dyDescent="0.2">
      <c r="A28" s="14" t="s">
        <v>71</v>
      </c>
      <c r="B28" s="14"/>
      <c r="C28" s="15" t="str">
        <f t="shared" si="1"/>
        <v xml:space="preserve"> - </v>
      </c>
      <c r="D28" s="16">
        <v>0</v>
      </c>
      <c r="E28" s="16">
        <v>0</v>
      </c>
      <c r="F28" s="17">
        <v>0</v>
      </c>
      <c r="G28" s="17">
        <v>0</v>
      </c>
      <c r="H28" s="31" t="e">
        <f t="shared" si="2"/>
        <v>#DIV/0!</v>
      </c>
      <c r="I28" s="31" t="e">
        <f t="shared" si="3"/>
        <v>#DIV/0!</v>
      </c>
      <c r="J28" s="32">
        <f t="shared" si="4"/>
        <v>0</v>
      </c>
      <c r="K28" s="32" t="e">
        <f t="shared" si="5"/>
        <v>#DIV/0!</v>
      </c>
      <c r="L28" s="16">
        <v>0</v>
      </c>
      <c r="M28" s="33" t="str">
        <f t="shared" si="6"/>
        <v>-</v>
      </c>
      <c r="N28" s="16">
        <v>0</v>
      </c>
      <c r="O28" s="34">
        <f t="shared" ref="O28:P28" si="31">D28/7</f>
        <v>0</v>
      </c>
      <c r="P28" s="34">
        <f t="shared" si="31"/>
        <v>0</v>
      </c>
      <c r="Q28" s="29" t="e">
        <f t="shared" si="8"/>
        <v>#DIV/0!</v>
      </c>
      <c r="R28" s="29"/>
      <c r="S28" s="21">
        <v>0</v>
      </c>
      <c r="T28" s="28">
        <v>400</v>
      </c>
      <c r="U28" s="36" t="s">
        <v>33</v>
      </c>
      <c r="V28" s="37" t="s">
        <v>33</v>
      </c>
      <c r="W28" s="14">
        <v>0</v>
      </c>
      <c r="X28" s="38">
        <f t="shared" si="9"/>
        <v>0</v>
      </c>
      <c r="Y28" s="39">
        <f t="shared" si="10"/>
        <v>0</v>
      </c>
      <c r="Z28" s="14">
        <v>0</v>
      </c>
      <c r="AA28" s="28" t="s">
        <v>34</v>
      </c>
      <c r="AB28" s="40">
        <f t="shared" si="11"/>
        <v>-0.69</v>
      </c>
      <c r="AC28" s="41">
        <v>5.5551999999999997E-2</v>
      </c>
      <c r="AD28" s="39">
        <f t="shared" si="12"/>
        <v>0</v>
      </c>
      <c r="AE28" s="25">
        <v>-3.48</v>
      </c>
      <c r="AF28" s="25">
        <v>-1.993824</v>
      </c>
      <c r="AG28" s="25">
        <v>0</v>
      </c>
    </row>
    <row r="29" spans="1:33" ht="15.75" customHeight="1" x14ac:dyDescent="0.2">
      <c r="A29" s="28" t="s">
        <v>72</v>
      </c>
      <c r="B29" s="28"/>
      <c r="C29" s="15" t="str">
        <f t="shared" si="1"/>
        <v xml:space="preserve"> - </v>
      </c>
      <c r="D29" s="29">
        <v>0</v>
      </c>
      <c r="E29" s="29">
        <v>0</v>
      </c>
      <c r="F29" s="32">
        <v>0</v>
      </c>
      <c r="G29" s="32">
        <v>0</v>
      </c>
      <c r="H29" s="31" t="e">
        <f t="shared" si="2"/>
        <v>#DIV/0!</v>
      </c>
      <c r="I29" s="31" t="e">
        <f t="shared" si="3"/>
        <v>#DIV/0!</v>
      </c>
      <c r="J29" s="32">
        <f t="shared" si="4"/>
        <v>0</v>
      </c>
      <c r="K29" s="32" t="e">
        <f t="shared" si="5"/>
        <v>#DIV/0!</v>
      </c>
      <c r="L29" s="29">
        <v>0</v>
      </c>
      <c r="M29" s="33" t="str">
        <f t="shared" si="6"/>
        <v>-</v>
      </c>
      <c r="N29" s="16">
        <v>0</v>
      </c>
      <c r="O29" s="34">
        <f t="shared" ref="O29:P29" si="32">D29/7</f>
        <v>0</v>
      </c>
      <c r="P29" s="34">
        <f t="shared" si="32"/>
        <v>0</v>
      </c>
      <c r="Q29" s="29" t="e">
        <f t="shared" si="8"/>
        <v>#DIV/0!</v>
      </c>
      <c r="R29" s="29"/>
      <c r="S29" s="21">
        <v>0</v>
      </c>
      <c r="T29" s="28">
        <v>400</v>
      </c>
      <c r="U29" s="36" t="s">
        <v>33</v>
      </c>
      <c r="V29" s="37" t="s">
        <v>33</v>
      </c>
      <c r="W29" s="14">
        <v>0</v>
      </c>
      <c r="X29" s="38">
        <f t="shared" si="9"/>
        <v>0</v>
      </c>
      <c r="Y29" s="39">
        <f t="shared" si="10"/>
        <v>0</v>
      </c>
      <c r="Z29" s="14">
        <v>0</v>
      </c>
      <c r="AA29" s="28" t="s">
        <v>34</v>
      </c>
      <c r="AB29" s="40">
        <f t="shared" si="11"/>
        <v>-0.69</v>
      </c>
      <c r="AC29" s="41">
        <v>5.5551999999999997E-2</v>
      </c>
      <c r="AD29" s="39">
        <f t="shared" si="12"/>
        <v>0</v>
      </c>
      <c r="AE29" s="39">
        <v>-3.48</v>
      </c>
      <c r="AF29" s="25">
        <v>-1.993824</v>
      </c>
      <c r="AG29" s="39">
        <v>0</v>
      </c>
    </row>
    <row r="30" spans="1:33" ht="15.75" customHeight="1" x14ac:dyDescent="0.2">
      <c r="A30" s="14" t="s">
        <v>74</v>
      </c>
      <c r="B30" s="14"/>
      <c r="C30" s="15" t="str">
        <f t="shared" si="1"/>
        <v xml:space="preserve"> - </v>
      </c>
      <c r="D30" s="16">
        <v>0</v>
      </c>
      <c r="E30" s="16">
        <v>0</v>
      </c>
      <c r="F30" s="17">
        <v>0</v>
      </c>
      <c r="G30" s="17">
        <v>0</v>
      </c>
      <c r="H30" s="31" t="e">
        <f t="shared" si="2"/>
        <v>#DIV/0!</v>
      </c>
      <c r="I30" s="31" t="e">
        <f t="shared" si="3"/>
        <v>#DIV/0!</v>
      </c>
      <c r="J30" s="32">
        <f t="shared" si="4"/>
        <v>0</v>
      </c>
      <c r="K30" s="32" t="e">
        <f t="shared" si="5"/>
        <v>#DIV/0!</v>
      </c>
      <c r="L30" s="16">
        <v>0</v>
      </c>
      <c r="M30" s="33" t="str">
        <f t="shared" si="6"/>
        <v>-</v>
      </c>
      <c r="N30" s="16">
        <v>0</v>
      </c>
      <c r="O30" s="34">
        <f t="shared" ref="O30:P30" si="33">D30/7</f>
        <v>0</v>
      </c>
      <c r="P30" s="34">
        <f t="shared" si="33"/>
        <v>0</v>
      </c>
      <c r="Q30" s="29" t="e">
        <f t="shared" si="8"/>
        <v>#DIV/0!</v>
      </c>
      <c r="R30" s="29"/>
      <c r="S30" s="21">
        <v>0</v>
      </c>
      <c r="T30" s="28">
        <v>500</v>
      </c>
      <c r="U30" s="36" t="s">
        <v>33</v>
      </c>
      <c r="V30" s="37" t="s">
        <v>33</v>
      </c>
      <c r="W30" s="14">
        <v>0</v>
      </c>
      <c r="X30" s="38">
        <f t="shared" si="9"/>
        <v>0</v>
      </c>
      <c r="Y30" s="39">
        <f t="shared" si="10"/>
        <v>0</v>
      </c>
      <c r="Z30" s="14">
        <v>0</v>
      </c>
      <c r="AA30" s="28" t="s">
        <v>34</v>
      </c>
      <c r="AB30" s="40">
        <f t="shared" si="11"/>
        <v>-0.69</v>
      </c>
      <c r="AC30" s="41">
        <v>5.5551999999999997E-2</v>
      </c>
      <c r="AD30" s="39">
        <f t="shared" si="12"/>
        <v>0</v>
      </c>
      <c r="AE30" s="25">
        <v>-3.48</v>
      </c>
      <c r="AF30" s="25">
        <v>-1.89</v>
      </c>
      <c r="AG30" s="25">
        <v>0</v>
      </c>
    </row>
    <row r="31" spans="1:33" ht="15.75" customHeight="1" x14ac:dyDescent="0.2">
      <c r="A31" s="14" t="s">
        <v>75</v>
      </c>
      <c r="B31" s="14"/>
      <c r="C31" s="15" t="str">
        <f t="shared" si="1"/>
        <v xml:space="preserve"> - </v>
      </c>
      <c r="D31" s="16">
        <v>0</v>
      </c>
      <c r="E31" s="16">
        <v>0</v>
      </c>
      <c r="F31" s="17">
        <v>0</v>
      </c>
      <c r="G31" s="42">
        <v>0</v>
      </c>
      <c r="H31" s="31" t="e">
        <f t="shared" si="2"/>
        <v>#DIV/0!</v>
      </c>
      <c r="I31" s="31" t="e">
        <f t="shared" si="3"/>
        <v>#DIV/0!</v>
      </c>
      <c r="J31" s="32">
        <f t="shared" si="4"/>
        <v>0</v>
      </c>
      <c r="K31" s="32" t="e">
        <f t="shared" si="5"/>
        <v>#DIV/0!</v>
      </c>
      <c r="L31" s="16">
        <v>0</v>
      </c>
      <c r="M31" s="33" t="str">
        <f t="shared" si="6"/>
        <v>-</v>
      </c>
      <c r="N31" s="16">
        <v>0</v>
      </c>
      <c r="O31" s="34">
        <f t="shared" ref="O31:P32" si="34">D31/7</f>
        <v>0</v>
      </c>
      <c r="P31" s="34">
        <f t="shared" si="34"/>
        <v>0</v>
      </c>
      <c r="Q31" s="29" t="e">
        <f t="shared" si="8"/>
        <v>#DIV/0!</v>
      </c>
      <c r="R31" s="29"/>
      <c r="S31" s="21" t="e">
        <v>#N/A</v>
      </c>
      <c r="T31" s="14">
        <v>500</v>
      </c>
      <c r="U31" s="22" t="s">
        <v>33</v>
      </c>
      <c r="V31" s="1" t="s">
        <v>954</v>
      </c>
      <c r="W31" s="14">
        <v>0</v>
      </c>
      <c r="X31" s="38">
        <f t="shared" si="9"/>
        <v>0</v>
      </c>
      <c r="Y31" s="39">
        <f t="shared" si="10"/>
        <v>0</v>
      </c>
      <c r="Z31" s="14">
        <v>0</v>
      </c>
      <c r="AA31" s="14" t="s">
        <v>34</v>
      </c>
      <c r="AB31" s="40">
        <f t="shared" si="11"/>
        <v>-0.69</v>
      </c>
      <c r="AC31" s="27">
        <v>5.5551999999999997E-2</v>
      </c>
      <c r="AD31" s="39">
        <f t="shared" si="12"/>
        <v>0</v>
      </c>
      <c r="AE31" s="43">
        <v>-3.48</v>
      </c>
      <c r="AF31" s="43">
        <v>-1.8900000000000001</v>
      </c>
      <c r="AG31" s="25">
        <v>0</v>
      </c>
    </row>
    <row r="32" spans="1:33" s="51" customFormat="1" ht="15.75" customHeight="1" x14ac:dyDescent="0.2">
      <c r="A32" s="51" t="s">
        <v>934</v>
      </c>
      <c r="C32" s="15" t="str">
        <f t="shared" si="1"/>
        <v xml:space="preserve"> - </v>
      </c>
      <c r="D32" s="52">
        <v>0</v>
      </c>
      <c r="E32" s="52">
        <v>0</v>
      </c>
      <c r="F32" s="53">
        <v>0</v>
      </c>
      <c r="G32" s="53">
        <v>0</v>
      </c>
      <c r="H32" s="31" t="e">
        <f t="shared" si="2"/>
        <v>#DIV/0!</v>
      </c>
      <c r="I32" s="31" t="e">
        <f t="shared" si="3"/>
        <v>#DIV/0!</v>
      </c>
      <c r="J32" s="32">
        <f t="shared" si="4"/>
        <v>0</v>
      </c>
      <c r="K32" s="32" t="e">
        <f t="shared" si="5"/>
        <v>#DIV/0!</v>
      </c>
      <c r="L32" s="52">
        <v>0</v>
      </c>
      <c r="M32" s="33" t="str">
        <f t="shared" si="6"/>
        <v>-</v>
      </c>
      <c r="N32" s="52">
        <v>0</v>
      </c>
      <c r="O32" s="34">
        <f t="shared" si="34"/>
        <v>0</v>
      </c>
      <c r="P32" s="34">
        <f t="shared" si="34"/>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5.5551999999999997E-2</v>
      </c>
      <c r="AD32" s="39">
        <f t="shared" si="12"/>
        <v>0</v>
      </c>
      <c r="AE32" s="58">
        <v>-3.48</v>
      </c>
      <c r="AF32" s="58">
        <v>-1.89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S221" s="21"/>
    </row>
    <row r="222" spans="1:33" ht="15.75" customHeight="1" x14ac:dyDescent="0.2">
      <c r="S222" s="21"/>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92.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Info!B1:BJ5000""),3,FALSE),"""")"),"18 AWG Replacement Power Cord with Open End - 6 Ft Black Extension Cable, 18/3 SJT, NEMA 5-15P")</f>
        <v>18 AWG Replacement Power Cord with Open End - 6 Ft Black Extension Cable, 18/3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Info!B1:BJ5000""),2,FALSE),"""")"),"B082FN5H7F")</f>
        <v>B082FN5H7F</v>
      </c>
      <c r="B2" s="3" t="s">
        <v>444</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40.5" customHeight="1" x14ac:dyDescent="0.2">
      <c r="A3" s="76" t="s">
        <v>30</v>
      </c>
      <c r="B3" s="77"/>
      <c r="C3" s="47">
        <f>((AE32+AF32)/0.85)*-1</f>
        <v>5.5377101639529291</v>
      </c>
      <c r="D3" s="5">
        <f>SUM(D4:D99765)</f>
        <v>304</v>
      </c>
      <c r="E3" s="5"/>
      <c r="F3" s="6">
        <f t="shared" ref="F3:G3" si="0">SUM(F4:F99765)</f>
        <v>2236.9300000000007</v>
      </c>
      <c r="G3" s="6">
        <f t="shared" si="0"/>
        <v>-1.62</v>
      </c>
      <c r="H3" s="7">
        <f t="shared" ref="H3:H32" si="1">G3/F3*-1</f>
        <v>7.2420683704899102E-4</v>
      </c>
      <c r="I3" s="8">
        <f t="shared" ref="I3:I32" si="2">J3/F3</f>
        <v>0.22896838242363679</v>
      </c>
      <c r="J3" s="6">
        <f>SUM(J4:J99765)</f>
        <v>512.18624369490601</v>
      </c>
      <c r="K3" s="6">
        <f t="shared" ref="K3:K32" si="3">J3/D3</f>
        <v>1.684823170049033</v>
      </c>
      <c r="L3" s="5"/>
      <c r="M3" s="9"/>
      <c r="N3" s="10"/>
      <c r="O3" s="5" t="str">
        <f ca="1">IFERROR(__xludf.DUMMYFUNCTION("IFERROR(VLOOKUP(B2,IMPORTRANGE(""https://docs.google.com/spreadsheets/d/1N8jvpEHDVkurDv7NrPxwI3eH6hQsvtb1QltGNCalRjU/edit#gid=865736387"",""Compiled Sheet!a1:g5000""),2,FALSE),"""")"),"2.5 - March
2.5 - April
2.5 - May
2 - June
2 - July
2 - Aug
2 - Sept
2.5 - Oct
2.5 - Nov
2.5 - Dec
2 - Jan
2.5 - Feb")</f>
        <v>2.5 - March
2.5 - April
2.5 - May
2 - June
2 - July
2 - Aug
2 - Sept
2.5 - Oct
2.5 - Nov
2.5 - Dec
2 - Jan
2.5 -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QTY-25")</f>
        <v>US QTY-25</v>
      </c>
      <c r="V3" s="13" t="str">
        <f ca="1">IFERROR(__xludf.DUMMYFUNCTION("CONCATENATE(""In Transit"", ""-"",IFERROR(VLOOKUP($B$2,IMPORTRANGE(""https://docs.google.com/spreadsheets/d/11afDUGgwIurytGWIAj1e7JPdtkZEoccxCski0CJdjqQ/edit#gid=1950799886"",""US Storage!a1:AD5000""),3,FALSE),""""))"),"In Transit-0")</f>
        <v>In Transit-0</v>
      </c>
      <c r="W3" s="5">
        <f>SUM(W4:W99765)</f>
        <v>5</v>
      </c>
      <c r="X3" s="7">
        <f>W3/D3</f>
        <v>1.6447368421052631E-2</v>
      </c>
      <c r="Y3" s="6"/>
      <c r="Z3" s="5"/>
      <c r="AA3" s="5"/>
      <c r="AB3" s="5"/>
      <c r="AC3" s="5"/>
      <c r="AD3" s="6">
        <f>SUM(AD4:AD99765)</f>
        <v>-8.037786892869514</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Info!B2:BZ7000""),37,FALSE)),"""")*-1"),-1.23705363935999)</f>
        <v>-1.23705363935999</v>
      </c>
      <c r="AG3" s="6">
        <f>SUM(AG4:AG99765)</f>
        <v>-8.0300000000000011</v>
      </c>
    </row>
    <row r="4" spans="1:33" ht="15.75" customHeight="1" x14ac:dyDescent="0.2">
      <c r="A4" s="14" t="s">
        <v>31</v>
      </c>
      <c r="B4" s="14" t="s">
        <v>445</v>
      </c>
      <c r="C4" s="15">
        <f t="shared" ref="C4:C32" si="4">IFERROR(F4/D4," - ")</f>
        <v>7.8579999999999997</v>
      </c>
      <c r="D4" s="16">
        <v>5</v>
      </c>
      <c r="E4" s="16">
        <v>0</v>
      </c>
      <c r="F4" s="17">
        <v>39.29</v>
      </c>
      <c r="G4" s="17">
        <v>0</v>
      </c>
      <c r="H4" s="18">
        <f t="shared" si="1"/>
        <v>0</v>
      </c>
      <c r="I4" s="18">
        <f t="shared" si="2"/>
        <v>0.28357681142360219</v>
      </c>
      <c r="J4" s="17">
        <f t="shared" ref="J4:J32" si="5">F4*0.85+G4+AF4*D4+D4*AE4+AG4+AD4</f>
        <v>11.141732920833331</v>
      </c>
      <c r="K4" s="17">
        <f t="shared" si="3"/>
        <v>2.2283465841666663</v>
      </c>
      <c r="L4" s="16">
        <v>22</v>
      </c>
      <c r="M4" s="19">
        <f t="shared" ref="M4:M32" si="6">IFERROR(D4/L4,"-")</f>
        <v>0.22727272727272727</v>
      </c>
      <c r="N4" s="16">
        <v>98</v>
      </c>
      <c r="O4" s="20">
        <f t="shared" ref="O4:P4" si="7">D4/7</f>
        <v>0.7142857142857143</v>
      </c>
      <c r="P4" s="20">
        <f t="shared" si="7"/>
        <v>0</v>
      </c>
      <c r="Q4" s="16">
        <f t="shared" ref="Q4:Q32" si="8">ROUNDDOWN(N4/(O4+P4),0)</f>
        <v>137</v>
      </c>
      <c r="R4" s="16"/>
      <c r="S4" s="21">
        <v>0.85281980742778496</v>
      </c>
      <c r="T4" s="14">
        <v>200</v>
      </c>
      <c r="U4" s="22">
        <v>50</v>
      </c>
      <c r="V4" s="23" t="s">
        <v>300</v>
      </c>
      <c r="W4" s="14">
        <v>0</v>
      </c>
      <c r="X4" s="24">
        <f t="shared" ref="X4:X32" si="9">IFERROR(W4/D4,0)</f>
        <v>0</v>
      </c>
      <c r="Y4" s="25">
        <f t="shared" ref="Y4:Y32" si="10">IFERROR(G4/(W4+Z4)*-1,0)</f>
        <v>0</v>
      </c>
      <c r="Z4" s="14">
        <v>0</v>
      </c>
      <c r="AA4" s="2" t="s">
        <v>34</v>
      </c>
      <c r="AB4" s="26">
        <f t="shared" ref="AB4:AB32" si="11">IF(OR(AA4="UsLargeStandardSize",AA4="UsSmallStandardSize"),-0.69,-0.48)</f>
        <v>-0.69</v>
      </c>
      <c r="AC4" s="27">
        <v>1.748073611111111E-2</v>
      </c>
      <c r="AD4" s="25">
        <f t="shared" ref="AD4:AD32" si="12">IFERROR(AB4*AC4*D4*2,0)</f>
        <v>-0.12061707916666665</v>
      </c>
      <c r="AE4" s="25">
        <v>-3.48</v>
      </c>
      <c r="AF4" s="25">
        <v>-0.94683000000000006</v>
      </c>
      <c r="AG4" s="25">
        <v>0</v>
      </c>
    </row>
    <row r="5" spans="1:33" ht="15.75" customHeight="1" x14ac:dyDescent="0.2">
      <c r="A5" s="28" t="s">
        <v>35</v>
      </c>
      <c r="B5" s="28" t="s">
        <v>235</v>
      </c>
      <c r="C5" s="15">
        <f t="shared" si="4"/>
        <v>7.6433333333333344</v>
      </c>
      <c r="D5" s="29">
        <v>9</v>
      </c>
      <c r="E5" s="29">
        <v>0</v>
      </c>
      <c r="F5" s="30">
        <v>68.790000000000006</v>
      </c>
      <c r="G5" s="30">
        <v>-0.2</v>
      </c>
      <c r="H5" s="31">
        <f t="shared" si="1"/>
        <v>2.9073993312981536E-3</v>
      </c>
      <c r="I5" s="31">
        <f t="shared" si="2"/>
        <v>0.26475748918071812</v>
      </c>
      <c r="J5" s="32">
        <f t="shared" si="5"/>
        <v>18.2126676807416</v>
      </c>
      <c r="K5" s="32">
        <f t="shared" si="3"/>
        <v>2.0236297423046223</v>
      </c>
      <c r="L5" s="29">
        <v>40</v>
      </c>
      <c r="M5" s="33">
        <f t="shared" si="6"/>
        <v>0.22500000000000001</v>
      </c>
      <c r="N5" s="29">
        <v>92</v>
      </c>
      <c r="O5" s="34">
        <f t="shared" ref="O5:P5" si="13">D5/7</f>
        <v>1.2857142857142858</v>
      </c>
      <c r="P5" s="34">
        <f t="shared" si="13"/>
        <v>0</v>
      </c>
      <c r="Q5" s="29">
        <f t="shared" si="8"/>
        <v>71</v>
      </c>
      <c r="R5" s="29"/>
      <c r="S5" s="35">
        <v>0.89795918367346905</v>
      </c>
      <c r="T5" s="28">
        <v>200</v>
      </c>
      <c r="U5" s="36">
        <v>50</v>
      </c>
      <c r="V5" s="37" t="s">
        <v>301</v>
      </c>
      <c r="W5" s="28">
        <v>0</v>
      </c>
      <c r="X5" s="38">
        <f t="shared" si="9"/>
        <v>0</v>
      </c>
      <c r="Y5" s="39">
        <f t="shared" si="10"/>
        <v>0</v>
      </c>
      <c r="Z5" s="28">
        <v>0</v>
      </c>
      <c r="AA5" s="28" t="s">
        <v>34</v>
      </c>
      <c r="AB5" s="40">
        <f t="shared" si="11"/>
        <v>-0.69</v>
      </c>
      <c r="AC5" s="41">
        <v>1.7500991888760135E-2</v>
      </c>
      <c r="AD5" s="39">
        <f t="shared" si="12"/>
        <v>-0.21736231925840088</v>
      </c>
      <c r="AE5" s="39">
        <v>-3.48</v>
      </c>
      <c r="AF5" s="39">
        <v>-0.94683000000000006</v>
      </c>
      <c r="AG5" s="39">
        <v>0</v>
      </c>
    </row>
    <row r="6" spans="1:33" ht="15.75" customHeight="1" x14ac:dyDescent="0.2">
      <c r="A6" s="28" t="s">
        <v>37</v>
      </c>
      <c r="B6" s="28" t="s">
        <v>376</v>
      </c>
      <c r="C6" s="15">
        <f t="shared" si="4"/>
        <v>7.4985714285714282</v>
      </c>
      <c r="D6" s="29">
        <v>14</v>
      </c>
      <c r="E6" s="29">
        <v>0</v>
      </c>
      <c r="F6" s="30">
        <v>104.97999999999999</v>
      </c>
      <c r="G6" s="30">
        <v>0</v>
      </c>
      <c r="H6" s="31">
        <f t="shared" si="1"/>
        <v>0</v>
      </c>
      <c r="I6" s="31">
        <f t="shared" si="2"/>
        <v>0.22442038653394283</v>
      </c>
      <c r="J6" s="32">
        <f t="shared" si="5"/>
        <v>23.559652178333316</v>
      </c>
      <c r="K6" s="32">
        <f t="shared" si="3"/>
        <v>1.6828322984523798</v>
      </c>
      <c r="L6" s="29">
        <v>28</v>
      </c>
      <c r="M6" s="33">
        <f t="shared" si="6"/>
        <v>0.5</v>
      </c>
      <c r="N6" s="29">
        <v>75</v>
      </c>
      <c r="O6" s="34">
        <f t="shared" ref="O6:P6" si="14">D6/7</f>
        <v>2</v>
      </c>
      <c r="P6" s="34">
        <f t="shared" si="14"/>
        <v>0</v>
      </c>
      <c r="Q6" s="29">
        <f t="shared" si="8"/>
        <v>37</v>
      </c>
      <c r="R6" s="29"/>
      <c r="S6" s="35">
        <v>1.0358306188924999</v>
      </c>
      <c r="T6" s="28">
        <v>200</v>
      </c>
      <c r="U6" s="36">
        <v>50</v>
      </c>
      <c r="V6" s="37" t="s">
        <v>377</v>
      </c>
      <c r="W6" s="28">
        <v>0</v>
      </c>
      <c r="X6" s="38">
        <f t="shared" si="9"/>
        <v>0</v>
      </c>
      <c r="Y6" s="39">
        <f t="shared" si="10"/>
        <v>0</v>
      </c>
      <c r="Z6" s="28">
        <v>0</v>
      </c>
      <c r="AA6" s="28" t="s">
        <v>34</v>
      </c>
      <c r="AB6" s="40">
        <f t="shared" si="11"/>
        <v>-0.69</v>
      </c>
      <c r="AC6" s="41">
        <v>1.748073611111111E-2</v>
      </c>
      <c r="AD6" s="39">
        <f t="shared" si="12"/>
        <v>-0.33772782166666665</v>
      </c>
      <c r="AE6" s="39">
        <v>-3.48</v>
      </c>
      <c r="AF6" s="39">
        <v>-0.94683000000000006</v>
      </c>
      <c r="AG6" s="39">
        <v>-3.3600000000000003</v>
      </c>
    </row>
    <row r="7" spans="1:33" ht="15.75" customHeight="1" x14ac:dyDescent="0.2">
      <c r="A7" s="28" t="s">
        <v>40</v>
      </c>
      <c r="B7" s="28" t="s">
        <v>446</v>
      </c>
      <c r="C7" s="15">
        <f t="shared" si="4"/>
        <v>7.6242857142857137</v>
      </c>
      <c r="D7" s="29">
        <v>28</v>
      </c>
      <c r="E7" s="29">
        <v>0</v>
      </c>
      <c r="F7" s="30">
        <v>213.48</v>
      </c>
      <c r="G7" s="30">
        <v>-0.04</v>
      </c>
      <c r="H7" s="31">
        <f t="shared" si="1"/>
        <v>1.8737118231216041E-4</v>
      </c>
      <c r="I7" s="31">
        <f t="shared" si="2"/>
        <v>0.25019348115358198</v>
      </c>
      <c r="J7" s="32">
        <f t="shared" si="5"/>
        <v>53.411304356666683</v>
      </c>
      <c r="K7" s="32">
        <f t="shared" si="3"/>
        <v>1.9075465841666672</v>
      </c>
      <c r="L7" s="29">
        <v>29</v>
      </c>
      <c r="M7" s="33">
        <f t="shared" si="6"/>
        <v>0.96551724137931039</v>
      </c>
      <c r="N7" s="29">
        <v>47</v>
      </c>
      <c r="O7" s="34">
        <f t="shared" ref="O7:P7" si="15">D7/7</f>
        <v>4</v>
      </c>
      <c r="P7" s="34">
        <f t="shared" si="15"/>
        <v>0</v>
      </c>
      <c r="Q7" s="29">
        <f t="shared" si="8"/>
        <v>11</v>
      </c>
      <c r="R7" s="29"/>
      <c r="S7" s="35">
        <v>1.2612612612612599</v>
      </c>
      <c r="T7" s="28">
        <v>200</v>
      </c>
      <c r="U7" s="36">
        <v>50</v>
      </c>
      <c r="V7" s="37" t="s">
        <v>447</v>
      </c>
      <c r="W7" s="28">
        <v>0</v>
      </c>
      <c r="X7" s="38">
        <f t="shared" si="9"/>
        <v>0</v>
      </c>
      <c r="Y7" s="39">
        <f t="shared" si="10"/>
        <v>0</v>
      </c>
      <c r="Z7" s="28">
        <v>0</v>
      </c>
      <c r="AA7" s="28" t="s">
        <v>34</v>
      </c>
      <c r="AB7" s="40">
        <f t="shared" si="11"/>
        <v>-0.69</v>
      </c>
      <c r="AC7" s="41">
        <v>1.748073611111111E-2</v>
      </c>
      <c r="AD7" s="39">
        <f t="shared" si="12"/>
        <v>-0.6754556433333333</v>
      </c>
      <c r="AE7" s="39">
        <v>-3.48</v>
      </c>
      <c r="AF7" s="39">
        <v>-0.94683000000000006</v>
      </c>
      <c r="AG7" s="39">
        <v>-3.38</v>
      </c>
    </row>
    <row r="8" spans="1:33" ht="15.75" customHeight="1" x14ac:dyDescent="0.2">
      <c r="A8" s="28" t="s">
        <v>42</v>
      </c>
      <c r="B8" s="28" t="s">
        <v>448</v>
      </c>
      <c r="C8" s="15">
        <f t="shared" si="4"/>
        <v>8.6174999999999997</v>
      </c>
      <c r="D8" s="29">
        <v>16</v>
      </c>
      <c r="E8" s="29">
        <v>0</v>
      </c>
      <c r="F8" s="30">
        <v>137.88</v>
      </c>
      <c r="G8" s="30">
        <v>-0.1</v>
      </c>
      <c r="H8" s="31">
        <f t="shared" si="1"/>
        <v>7.2526834928923712E-4</v>
      </c>
      <c r="I8" s="31">
        <f t="shared" si="2"/>
        <v>0.32304921197176284</v>
      </c>
      <c r="J8" s="32">
        <f t="shared" si="5"/>
        <v>44.542025346666662</v>
      </c>
      <c r="K8" s="32">
        <f t="shared" si="3"/>
        <v>2.7838765841666664</v>
      </c>
      <c r="L8" s="29">
        <v>31</v>
      </c>
      <c r="M8" s="33">
        <f t="shared" si="6"/>
        <v>0.5161290322580645</v>
      </c>
      <c r="N8" s="29">
        <v>82</v>
      </c>
      <c r="O8" s="34">
        <f t="shared" ref="O8:P8" si="16">D8/7</f>
        <v>2.2857142857142856</v>
      </c>
      <c r="P8" s="34">
        <f t="shared" si="16"/>
        <v>0</v>
      </c>
      <c r="Q8" s="29">
        <f t="shared" si="8"/>
        <v>35</v>
      </c>
      <c r="R8" s="29"/>
      <c r="S8" s="35">
        <v>1.3571428571428501</v>
      </c>
      <c r="T8" s="28">
        <v>150</v>
      </c>
      <c r="U8" s="36">
        <v>100</v>
      </c>
      <c r="V8" s="37" t="s">
        <v>449</v>
      </c>
      <c r="W8" s="28">
        <v>0</v>
      </c>
      <c r="X8" s="38">
        <f t="shared" si="9"/>
        <v>0</v>
      </c>
      <c r="Y8" s="39">
        <f t="shared" si="10"/>
        <v>0</v>
      </c>
      <c r="Z8" s="28">
        <v>0</v>
      </c>
      <c r="AA8" s="28" t="s">
        <v>34</v>
      </c>
      <c r="AB8" s="40">
        <f t="shared" si="11"/>
        <v>-0.69</v>
      </c>
      <c r="AC8" s="41">
        <v>1.748073611111111E-2</v>
      </c>
      <c r="AD8" s="39">
        <f t="shared" si="12"/>
        <v>-0.38597465333333331</v>
      </c>
      <c r="AE8" s="39">
        <v>-3.48</v>
      </c>
      <c r="AF8" s="39">
        <v>-0.95</v>
      </c>
      <c r="AG8" s="39">
        <v>-1.29</v>
      </c>
    </row>
    <row r="9" spans="1:33" ht="15.75" customHeight="1" x14ac:dyDescent="0.2">
      <c r="A9" s="28" t="s">
        <v>44</v>
      </c>
      <c r="B9" s="28" t="s">
        <v>450</v>
      </c>
      <c r="C9" s="15">
        <f t="shared" si="4"/>
        <v>8.5266666666666655</v>
      </c>
      <c r="D9" s="29">
        <v>3</v>
      </c>
      <c r="E9" s="29">
        <v>0</v>
      </c>
      <c r="F9" s="30">
        <v>25.58</v>
      </c>
      <c r="G9" s="30">
        <v>0</v>
      </c>
      <c r="H9" s="31">
        <f t="shared" si="1"/>
        <v>0</v>
      </c>
      <c r="I9" s="31">
        <f t="shared" si="2"/>
        <v>0.3279960810203284</v>
      </c>
      <c r="J9" s="32">
        <f t="shared" si="5"/>
        <v>8.3901397524999997</v>
      </c>
      <c r="K9" s="32">
        <f t="shared" si="3"/>
        <v>2.7967132508333332</v>
      </c>
      <c r="L9" s="29">
        <v>20</v>
      </c>
      <c r="M9" s="33">
        <f t="shared" si="6"/>
        <v>0.15</v>
      </c>
      <c r="N9" s="29">
        <v>103</v>
      </c>
      <c r="O9" s="34">
        <f t="shared" ref="O9:P9" si="17">D9/7</f>
        <v>0.42857142857142855</v>
      </c>
      <c r="P9" s="34">
        <f t="shared" si="17"/>
        <v>0</v>
      </c>
      <c r="Q9" s="29">
        <f t="shared" si="8"/>
        <v>240</v>
      </c>
      <c r="R9" s="29"/>
      <c r="S9" s="35">
        <v>1.3551912568305999</v>
      </c>
      <c r="T9" s="28">
        <v>150</v>
      </c>
      <c r="U9" s="36">
        <v>100</v>
      </c>
      <c r="V9" s="37" t="s">
        <v>451</v>
      </c>
      <c r="W9" s="28">
        <v>0</v>
      </c>
      <c r="X9" s="38">
        <f t="shared" si="9"/>
        <v>0</v>
      </c>
      <c r="Y9" s="39">
        <f t="shared" si="10"/>
        <v>0</v>
      </c>
      <c r="Z9" s="28">
        <v>0</v>
      </c>
      <c r="AA9" s="28" t="s">
        <v>34</v>
      </c>
      <c r="AB9" s="40">
        <f t="shared" si="11"/>
        <v>-0.69</v>
      </c>
      <c r="AC9" s="41">
        <v>1.748073611111111E-2</v>
      </c>
      <c r="AD9" s="39">
        <f t="shared" si="12"/>
        <v>-7.2370247499999998E-2</v>
      </c>
      <c r="AE9" s="39">
        <v>-3.48</v>
      </c>
      <c r="AF9" s="39">
        <v>-0.94682999999999995</v>
      </c>
      <c r="AG9" s="39">
        <v>0</v>
      </c>
    </row>
    <row r="10" spans="1:33" ht="15.75" customHeight="1" x14ac:dyDescent="0.2">
      <c r="A10" s="28" t="s">
        <v>46</v>
      </c>
      <c r="B10" s="28" t="s">
        <v>174</v>
      </c>
      <c r="C10" s="15">
        <f t="shared" si="4"/>
        <v>8.1780000000000008</v>
      </c>
      <c r="D10" s="29">
        <v>5</v>
      </c>
      <c r="E10" s="29">
        <v>0</v>
      </c>
      <c r="F10" s="30">
        <v>40.89</v>
      </c>
      <c r="G10" s="30">
        <v>-0.08</v>
      </c>
      <c r="H10" s="31">
        <f t="shared" si="1"/>
        <v>1.9564685742235266E-3</v>
      </c>
      <c r="I10" s="31">
        <f t="shared" si="2"/>
        <v>0.29593818557135826</v>
      </c>
      <c r="J10" s="32">
        <f t="shared" si="5"/>
        <v>12.100912408012839</v>
      </c>
      <c r="K10" s="32">
        <f t="shared" si="3"/>
        <v>2.4201824816025677</v>
      </c>
      <c r="L10" s="29">
        <v>32</v>
      </c>
      <c r="M10" s="33">
        <f t="shared" si="6"/>
        <v>0.15625</v>
      </c>
      <c r="N10" s="29">
        <v>76</v>
      </c>
      <c r="O10" s="34">
        <f t="shared" ref="O10:P10" si="18">D10/7</f>
        <v>0.7142857142857143</v>
      </c>
      <c r="P10" s="34">
        <f t="shared" si="18"/>
        <v>0</v>
      </c>
      <c r="Q10" s="29">
        <f t="shared" si="8"/>
        <v>106</v>
      </c>
      <c r="R10" s="29"/>
      <c r="S10" s="35">
        <v>1.36344969199178</v>
      </c>
      <c r="T10" s="28">
        <v>150</v>
      </c>
      <c r="U10" s="36">
        <v>100</v>
      </c>
      <c r="V10" s="37" t="s">
        <v>452</v>
      </c>
      <c r="W10" s="28">
        <v>0</v>
      </c>
      <c r="X10" s="38">
        <f t="shared" si="9"/>
        <v>0</v>
      </c>
      <c r="Y10" s="39">
        <f t="shared" si="10"/>
        <v>0</v>
      </c>
      <c r="Z10" s="28">
        <v>0</v>
      </c>
      <c r="AA10" s="28" t="s">
        <v>34</v>
      </c>
      <c r="AB10" s="40">
        <f t="shared" si="11"/>
        <v>-0.69</v>
      </c>
      <c r="AC10" s="41">
        <v>1.748073611111111E-2</v>
      </c>
      <c r="AD10" s="39">
        <f t="shared" si="12"/>
        <v>-0.12061707916666665</v>
      </c>
      <c r="AE10" s="39">
        <v>-3.48</v>
      </c>
      <c r="AF10" s="39">
        <v>-1.0109941025641001</v>
      </c>
      <c r="AG10" s="39">
        <v>0</v>
      </c>
    </row>
    <row r="11" spans="1:33" ht="15.75" customHeight="1" x14ac:dyDescent="0.2">
      <c r="A11" s="28" t="s">
        <v>48</v>
      </c>
      <c r="B11" s="28" t="s">
        <v>47</v>
      </c>
      <c r="C11" s="15">
        <f t="shared" si="4"/>
        <v>7.45</v>
      </c>
      <c r="D11" s="29">
        <v>4</v>
      </c>
      <c r="E11" s="29">
        <v>0</v>
      </c>
      <c r="F11" s="30">
        <v>29.8</v>
      </c>
      <c r="G11" s="30">
        <v>-0.05</v>
      </c>
      <c r="H11" s="31">
        <f t="shared" si="1"/>
        <v>1.6778523489932886E-3</v>
      </c>
      <c r="I11" s="31">
        <f t="shared" si="2"/>
        <v>0.24226610491309603</v>
      </c>
      <c r="J11" s="32">
        <f t="shared" si="5"/>
        <v>7.2195299264102619</v>
      </c>
      <c r="K11" s="32">
        <f t="shared" si="3"/>
        <v>1.8048824816025655</v>
      </c>
      <c r="L11" s="29">
        <v>17</v>
      </c>
      <c r="M11" s="33">
        <f t="shared" si="6"/>
        <v>0.23529411764705882</v>
      </c>
      <c r="N11" s="29">
        <v>74</v>
      </c>
      <c r="O11" s="34">
        <f t="shared" ref="O11:P11" si="19">D11/7</f>
        <v>0.5714285714285714</v>
      </c>
      <c r="P11" s="34">
        <f t="shared" si="19"/>
        <v>0</v>
      </c>
      <c r="Q11" s="29">
        <f t="shared" si="8"/>
        <v>129</v>
      </c>
      <c r="R11" s="29"/>
      <c r="S11" s="35">
        <v>1.45185185185185</v>
      </c>
      <c r="T11" s="28">
        <v>450</v>
      </c>
      <c r="U11" s="36">
        <v>100</v>
      </c>
      <c r="V11" s="37" t="s">
        <v>453</v>
      </c>
      <c r="W11" s="28">
        <v>0</v>
      </c>
      <c r="X11" s="38">
        <f t="shared" si="9"/>
        <v>0</v>
      </c>
      <c r="Y11" s="39">
        <f t="shared" si="10"/>
        <v>0</v>
      </c>
      <c r="Z11" s="28">
        <v>0</v>
      </c>
      <c r="AA11" s="28" t="s">
        <v>34</v>
      </c>
      <c r="AB11" s="40">
        <f t="shared" si="11"/>
        <v>-0.69</v>
      </c>
      <c r="AC11" s="41">
        <v>1.748073611111111E-2</v>
      </c>
      <c r="AD11" s="39">
        <f t="shared" si="12"/>
        <v>-9.6493663333333327E-2</v>
      </c>
      <c r="AE11" s="39">
        <v>-3.48</v>
      </c>
      <c r="AF11" s="39">
        <v>-1.0109941025641001</v>
      </c>
      <c r="AG11" s="39">
        <v>0</v>
      </c>
    </row>
    <row r="12" spans="1:33" ht="15.75" customHeight="1" x14ac:dyDescent="0.2">
      <c r="A12" s="28" t="s">
        <v>49</v>
      </c>
      <c r="B12" s="28" t="s">
        <v>454</v>
      </c>
      <c r="C12" s="15">
        <f t="shared" si="4"/>
        <v>7.45</v>
      </c>
      <c r="D12" s="29">
        <v>7</v>
      </c>
      <c r="E12" s="29">
        <v>0</v>
      </c>
      <c r="F12" s="30">
        <v>52.15</v>
      </c>
      <c r="G12" s="30">
        <v>-0.16</v>
      </c>
      <c r="H12" s="31">
        <f t="shared" si="1"/>
        <v>3.0680728667305851E-3</v>
      </c>
      <c r="I12" s="31">
        <f t="shared" si="2"/>
        <v>0.24087588439535901</v>
      </c>
      <c r="J12" s="32">
        <f t="shared" si="5"/>
        <v>12.561677371217971</v>
      </c>
      <c r="K12" s="32">
        <f t="shared" si="3"/>
        <v>1.7945253387454245</v>
      </c>
      <c r="L12" s="29">
        <v>22</v>
      </c>
      <c r="M12" s="33">
        <f t="shared" si="6"/>
        <v>0.31818181818181818</v>
      </c>
      <c r="N12" s="29">
        <v>65</v>
      </c>
      <c r="O12" s="34">
        <f t="shared" ref="O12:P12" si="20">D12/7</f>
        <v>1</v>
      </c>
      <c r="P12" s="34">
        <f t="shared" si="20"/>
        <v>0</v>
      </c>
      <c r="Q12" s="29">
        <f t="shared" si="8"/>
        <v>65</v>
      </c>
      <c r="R12" s="29"/>
      <c r="S12" s="35">
        <v>1.60220994475138</v>
      </c>
      <c r="T12" s="28">
        <v>350</v>
      </c>
      <c r="U12" s="36">
        <v>50</v>
      </c>
      <c r="V12" s="37" t="s">
        <v>269</v>
      </c>
      <c r="W12" s="28">
        <v>0</v>
      </c>
      <c r="X12" s="38">
        <f t="shared" si="9"/>
        <v>0</v>
      </c>
      <c r="Y12" s="39">
        <f t="shared" si="10"/>
        <v>0.16</v>
      </c>
      <c r="Z12" s="28">
        <v>1</v>
      </c>
      <c r="AA12" s="28" t="s">
        <v>34</v>
      </c>
      <c r="AB12" s="40">
        <f t="shared" si="11"/>
        <v>-0.69</v>
      </c>
      <c r="AC12" s="41">
        <v>1.748073611111111E-2</v>
      </c>
      <c r="AD12" s="39">
        <f t="shared" si="12"/>
        <v>-0.16886391083333332</v>
      </c>
      <c r="AE12" s="39">
        <v>-3.48</v>
      </c>
      <c r="AF12" s="39">
        <v>-1.0109941025641001</v>
      </c>
      <c r="AG12" s="39">
        <v>0</v>
      </c>
    </row>
    <row r="13" spans="1:33" ht="15.75" customHeight="1" x14ac:dyDescent="0.2">
      <c r="A13" s="28" t="s">
        <v>50</v>
      </c>
      <c r="B13" s="28" t="s">
        <v>312</v>
      </c>
      <c r="C13" s="15">
        <f t="shared" si="4"/>
        <v>7.1209090909090911</v>
      </c>
      <c r="D13" s="29">
        <v>11</v>
      </c>
      <c r="E13" s="29">
        <v>0</v>
      </c>
      <c r="F13" s="32">
        <v>78.33</v>
      </c>
      <c r="G13" s="30">
        <v>-0.1</v>
      </c>
      <c r="H13" s="31">
        <f t="shared" si="1"/>
        <v>1.2766500702157541E-3</v>
      </c>
      <c r="I13" s="31">
        <f t="shared" si="2"/>
        <v>0.21333349196774334</v>
      </c>
      <c r="J13" s="32">
        <f t="shared" si="5"/>
        <v>16.710412425833336</v>
      </c>
      <c r="K13" s="32">
        <f t="shared" si="3"/>
        <v>1.5191284023484852</v>
      </c>
      <c r="L13" s="29">
        <v>13</v>
      </c>
      <c r="M13" s="33">
        <f t="shared" si="6"/>
        <v>0.84615384615384615</v>
      </c>
      <c r="N13" s="29">
        <v>156</v>
      </c>
      <c r="O13" s="34">
        <f t="shared" ref="O13:P13" si="21">D13/7</f>
        <v>1.5714285714285714</v>
      </c>
      <c r="P13" s="34">
        <f t="shared" si="21"/>
        <v>0</v>
      </c>
      <c r="Q13" s="29">
        <f t="shared" si="8"/>
        <v>99</v>
      </c>
      <c r="R13" s="29"/>
      <c r="S13" s="35">
        <v>1.0957854406130201</v>
      </c>
      <c r="T13" s="28">
        <v>350</v>
      </c>
      <c r="U13" s="36">
        <v>50</v>
      </c>
      <c r="V13" s="37" t="s">
        <v>269</v>
      </c>
      <c r="W13" s="28">
        <v>0</v>
      </c>
      <c r="X13" s="38">
        <f t="shared" si="9"/>
        <v>0</v>
      </c>
      <c r="Y13" s="39">
        <f t="shared" si="10"/>
        <v>0</v>
      </c>
      <c r="Z13" s="28">
        <v>0</v>
      </c>
      <c r="AA13" s="28" t="s">
        <v>34</v>
      </c>
      <c r="AB13" s="40">
        <f t="shared" si="11"/>
        <v>-0.69</v>
      </c>
      <c r="AC13" s="41">
        <v>1.748073611111111E-2</v>
      </c>
      <c r="AD13" s="39">
        <f t="shared" si="12"/>
        <v>-0.26535757416666667</v>
      </c>
      <c r="AE13" s="39">
        <v>-3.48</v>
      </c>
      <c r="AF13" s="39">
        <v>-1.0204299999999999</v>
      </c>
      <c r="AG13" s="39">
        <v>0</v>
      </c>
    </row>
    <row r="14" spans="1:33" ht="15.75" customHeight="1" x14ac:dyDescent="0.2">
      <c r="A14" s="28" t="s">
        <v>51</v>
      </c>
      <c r="B14" s="28" t="s">
        <v>47</v>
      </c>
      <c r="C14" s="15">
        <f t="shared" si="4"/>
        <v>7.0511764705882349</v>
      </c>
      <c r="D14" s="29">
        <v>17</v>
      </c>
      <c r="E14" s="29">
        <v>0</v>
      </c>
      <c r="F14" s="32">
        <v>119.86999999999999</v>
      </c>
      <c r="G14" s="30">
        <v>0</v>
      </c>
      <c r="H14" s="31">
        <f t="shared" si="1"/>
        <v>0</v>
      </c>
      <c r="I14" s="31">
        <f t="shared" si="2"/>
        <v>0.20832645308111553</v>
      </c>
      <c r="J14" s="32">
        <f t="shared" si="5"/>
        <v>24.972091930833315</v>
      </c>
      <c r="K14" s="32">
        <f t="shared" si="3"/>
        <v>1.4689465841666656</v>
      </c>
      <c r="L14" s="29">
        <v>29</v>
      </c>
      <c r="M14" s="33">
        <f t="shared" si="6"/>
        <v>0.58620689655172409</v>
      </c>
      <c r="N14" s="29">
        <v>138</v>
      </c>
      <c r="O14" s="34">
        <f t="shared" ref="O14:P14" si="22">D14/7</f>
        <v>2.4285714285714284</v>
      </c>
      <c r="P14" s="34">
        <f t="shared" si="22"/>
        <v>0</v>
      </c>
      <c r="Q14" s="29">
        <f t="shared" si="8"/>
        <v>56</v>
      </c>
      <c r="R14" s="29"/>
      <c r="S14" s="35">
        <v>1.1982378854625499</v>
      </c>
      <c r="T14" s="28">
        <v>350</v>
      </c>
      <c r="U14" s="36">
        <v>50</v>
      </c>
      <c r="V14" s="37" t="s">
        <v>269</v>
      </c>
      <c r="W14" s="28">
        <v>0</v>
      </c>
      <c r="X14" s="38">
        <f t="shared" si="9"/>
        <v>0</v>
      </c>
      <c r="Y14" s="39">
        <f t="shared" si="10"/>
        <v>0</v>
      </c>
      <c r="Z14" s="28">
        <v>0</v>
      </c>
      <c r="AA14" s="28" t="s">
        <v>34</v>
      </c>
      <c r="AB14" s="40">
        <f t="shared" si="11"/>
        <v>-0.69</v>
      </c>
      <c r="AC14" s="41">
        <v>1.748073611111111E-2</v>
      </c>
      <c r="AD14" s="39">
        <f t="shared" si="12"/>
        <v>-0.41009806916666663</v>
      </c>
      <c r="AE14" s="39">
        <v>-3.48</v>
      </c>
      <c r="AF14" s="39">
        <v>-1.0204299999999999</v>
      </c>
      <c r="AG14" s="39">
        <v>0</v>
      </c>
    </row>
    <row r="15" spans="1:33" ht="15.75" customHeight="1" x14ac:dyDescent="0.2">
      <c r="A15" s="28" t="s">
        <v>53</v>
      </c>
      <c r="B15" s="28" t="s">
        <v>47</v>
      </c>
      <c r="C15" s="15">
        <f t="shared" si="4"/>
        <v>7.0117142857142856</v>
      </c>
      <c r="D15" s="29">
        <v>35</v>
      </c>
      <c r="E15" s="29">
        <v>0</v>
      </c>
      <c r="F15" s="32">
        <v>245.41</v>
      </c>
      <c r="G15" s="30">
        <v>-0.08</v>
      </c>
      <c r="H15" s="31">
        <f t="shared" si="1"/>
        <v>3.2598508618230716E-4</v>
      </c>
      <c r="I15" s="31">
        <f t="shared" si="2"/>
        <v>0.20536318995083194</v>
      </c>
      <c r="J15" s="32">
        <f t="shared" si="5"/>
        <v>50.398180445833667</v>
      </c>
      <c r="K15" s="32">
        <f t="shared" si="3"/>
        <v>1.4399480127381048</v>
      </c>
      <c r="L15" s="29">
        <v>32</v>
      </c>
      <c r="M15" s="33">
        <f t="shared" si="6"/>
        <v>1.09375</v>
      </c>
      <c r="N15" s="29">
        <v>106</v>
      </c>
      <c r="O15" s="34">
        <f t="shared" ref="O15:P15" si="23">D15/7</f>
        <v>5</v>
      </c>
      <c r="P15" s="34">
        <f t="shared" si="23"/>
        <v>0</v>
      </c>
      <c r="Q15" s="29">
        <f t="shared" si="8"/>
        <v>21</v>
      </c>
      <c r="R15" s="29"/>
      <c r="S15" s="35">
        <v>1.5643044619422499</v>
      </c>
      <c r="T15" s="28">
        <v>350</v>
      </c>
      <c r="U15" s="36">
        <v>50</v>
      </c>
      <c r="V15" s="37" t="s">
        <v>269</v>
      </c>
      <c r="W15" s="28">
        <v>0</v>
      </c>
      <c r="X15" s="38">
        <f t="shared" si="9"/>
        <v>0</v>
      </c>
      <c r="Y15" s="39">
        <f t="shared" si="10"/>
        <v>0</v>
      </c>
      <c r="Z15" s="28">
        <v>0</v>
      </c>
      <c r="AA15" s="28" t="s">
        <v>34</v>
      </c>
      <c r="AB15" s="40">
        <f t="shared" si="11"/>
        <v>-0.69</v>
      </c>
      <c r="AC15" s="41">
        <v>1.748073611111111E-2</v>
      </c>
      <c r="AD15" s="39">
        <f t="shared" si="12"/>
        <v>-0.8443195541666666</v>
      </c>
      <c r="AE15" s="39">
        <v>-3.48</v>
      </c>
      <c r="AF15" s="39">
        <v>-1.0135999999999901</v>
      </c>
      <c r="AG15" s="39">
        <v>0</v>
      </c>
    </row>
    <row r="16" spans="1:33" ht="15.75" customHeight="1" x14ac:dyDescent="0.2">
      <c r="A16" s="28" t="s">
        <v>54</v>
      </c>
      <c r="B16" s="28" t="s">
        <v>455</v>
      </c>
      <c r="C16" s="15">
        <f t="shared" si="4"/>
        <v>7.0933333333333337</v>
      </c>
      <c r="D16" s="29">
        <v>9</v>
      </c>
      <c r="E16" s="29">
        <v>0</v>
      </c>
      <c r="F16" s="32">
        <v>63.84</v>
      </c>
      <c r="G16" s="30">
        <v>-7.0000000000000007E-2</v>
      </c>
      <c r="H16" s="31">
        <f t="shared" si="1"/>
        <v>1.0964912280701754E-3</v>
      </c>
      <c r="I16" s="31">
        <f t="shared" si="2"/>
        <v>0.21200641067512671</v>
      </c>
      <c r="J16" s="32">
        <f t="shared" si="5"/>
        <v>13.534489257500089</v>
      </c>
      <c r="K16" s="32">
        <f t="shared" si="3"/>
        <v>1.5038321397222321</v>
      </c>
      <c r="L16" s="29">
        <v>27</v>
      </c>
      <c r="M16" s="33">
        <f t="shared" si="6"/>
        <v>0.33333333333333331</v>
      </c>
      <c r="N16" s="29">
        <v>94</v>
      </c>
      <c r="O16" s="34">
        <f t="shared" ref="O16:P16" si="24">D16/7</f>
        <v>1.2857142857142858</v>
      </c>
      <c r="P16" s="34">
        <f t="shared" si="24"/>
        <v>0</v>
      </c>
      <c r="Q16" s="29">
        <f t="shared" si="8"/>
        <v>73</v>
      </c>
      <c r="R16" s="29"/>
      <c r="S16" s="35">
        <v>2.1447368421052602</v>
      </c>
      <c r="T16" s="28">
        <v>350</v>
      </c>
      <c r="U16" s="36">
        <v>50</v>
      </c>
      <c r="V16" s="37" t="s">
        <v>269</v>
      </c>
      <c r="W16" s="28">
        <v>0</v>
      </c>
      <c r="X16" s="38">
        <f t="shared" si="9"/>
        <v>0</v>
      </c>
      <c r="Y16" s="39">
        <f t="shared" si="10"/>
        <v>0</v>
      </c>
      <c r="Z16" s="28">
        <v>0</v>
      </c>
      <c r="AA16" s="28" t="s">
        <v>34</v>
      </c>
      <c r="AB16" s="40">
        <f t="shared" si="11"/>
        <v>-0.69</v>
      </c>
      <c r="AC16" s="41">
        <v>1.748073611111111E-2</v>
      </c>
      <c r="AD16" s="39">
        <f t="shared" si="12"/>
        <v>-0.21711074249999998</v>
      </c>
      <c r="AE16" s="39">
        <v>-3.48</v>
      </c>
      <c r="AF16" s="39">
        <v>-1.0135999999999901</v>
      </c>
      <c r="AG16" s="39">
        <v>0</v>
      </c>
    </row>
    <row r="17" spans="1:33" ht="15.75" customHeight="1" x14ac:dyDescent="0.2">
      <c r="A17" s="28" t="s">
        <v>55</v>
      </c>
      <c r="B17" s="28" t="s">
        <v>312</v>
      </c>
      <c r="C17" s="15">
        <f t="shared" si="4"/>
        <v>6.6011111111111118</v>
      </c>
      <c r="D17" s="29">
        <v>9</v>
      </c>
      <c r="E17" s="29">
        <v>0</v>
      </c>
      <c r="F17" s="32">
        <v>59.410000000000004</v>
      </c>
      <c r="G17" s="30">
        <v>-0.08</v>
      </c>
      <c r="H17" s="31">
        <f t="shared" si="1"/>
        <v>1.3465746507322E-3</v>
      </c>
      <c r="I17" s="31">
        <f t="shared" si="2"/>
        <v>0.16426509438646852</v>
      </c>
      <c r="J17" s="32">
        <f t="shared" si="5"/>
        <v>9.7589892575000956</v>
      </c>
      <c r="K17" s="32">
        <f t="shared" si="3"/>
        <v>1.0843321397222327</v>
      </c>
      <c r="L17" s="29">
        <v>27</v>
      </c>
      <c r="M17" s="33">
        <f t="shared" si="6"/>
        <v>0.33333333333333331</v>
      </c>
      <c r="N17" s="29">
        <v>90</v>
      </c>
      <c r="O17" s="34">
        <f t="shared" ref="O17:P17" si="25">D17/7</f>
        <v>1.2857142857142858</v>
      </c>
      <c r="P17" s="34">
        <f t="shared" si="25"/>
        <v>0</v>
      </c>
      <c r="Q17" s="29">
        <f t="shared" si="8"/>
        <v>70</v>
      </c>
      <c r="R17" s="29"/>
      <c r="S17" s="35">
        <v>1.4030501089324601</v>
      </c>
      <c r="T17" s="28">
        <v>350</v>
      </c>
      <c r="U17" s="36">
        <v>50</v>
      </c>
      <c r="V17" s="37" t="s">
        <v>269</v>
      </c>
      <c r="W17" s="28">
        <v>3</v>
      </c>
      <c r="X17" s="38">
        <f t="shared" si="9"/>
        <v>0.33333333333333331</v>
      </c>
      <c r="Y17" s="39">
        <f t="shared" si="10"/>
        <v>2.6666666666666668E-2</v>
      </c>
      <c r="Z17" s="28">
        <v>0</v>
      </c>
      <c r="AA17" s="28" t="s">
        <v>34</v>
      </c>
      <c r="AB17" s="40">
        <f t="shared" si="11"/>
        <v>-0.69</v>
      </c>
      <c r="AC17" s="41">
        <v>1.748073611111111E-2</v>
      </c>
      <c r="AD17" s="39">
        <f t="shared" si="12"/>
        <v>-0.21711074249999998</v>
      </c>
      <c r="AE17" s="39">
        <v>-3.48</v>
      </c>
      <c r="AF17" s="39">
        <v>-1.0135999999999901</v>
      </c>
      <c r="AG17" s="39">
        <v>0</v>
      </c>
    </row>
    <row r="18" spans="1:33" ht="15.75" customHeight="1" x14ac:dyDescent="0.2">
      <c r="A18" s="28" t="s">
        <v>56</v>
      </c>
      <c r="B18" s="28" t="s">
        <v>314</v>
      </c>
      <c r="C18" s="15">
        <f t="shared" si="4"/>
        <v>6.663333333333334</v>
      </c>
      <c r="D18" s="29">
        <v>9</v>
      </c>
      <c r="E18" s="29">
        <v>0</v>
      </c>
      <c r="F18" s="32">
        <v>59.970000000000006</v>
      </c>
      <c r="G18" s="30">
        <v>-0.08</v>
      </c>
      <c r="H18" s="31">
        <f t="shared" si="1"/>
        <v>1.3340003335000834E-3</v>
      </c>
      <c r="I18" s="31">
        <f t="shared" si="2"/>
        <v>0.17066848853593619</v>
      </c>
      <c r="J18" s="32">
        <f t="shared" si="5"/>
        <v>10.234989257500095</v>
      </c>
      <c r="K18" s="32">
        <f t="shared" si="3"/>
        <v>1.1372210286111217</v>
      </c>
      <c r="L18" s="29">
        <v>22</v>
      </c>
      <c r="M18" s="33">
        <f t="shared" si="6"/>
        <v>0.40909090909090912</v>
      </c>
      <c r="N18" s="29">
        <v>80</v>
      </c>
      <c r="O18" s="34">
        <f t="shared" ref="O18:P18" si="26">D18/7</f>
        <v>1.2857142857142858</v>
      </c>
      <c r="P18" s="34">
        <f t="shared" si="26"/>
        <v>0</v>
      </c>
      <c r="Q18" s="29">
        <f t="shared" si="8"/>
        <v>62</v>
      </c>
      <c r="R18" s="29"/>
      <c r="S18" s="35">
        <v>1.6018957345971501</v>
      </c>
      <c r="T18" s="28">
        <v>300</v>
      </c>
      <c r="U18" s="36">
        <v>0</v>
      </c>
      <c r="V18" s="37" t="s">
        <v>391</v>
      </c>
      <c r="W18" s="28">
        <v>0</v>
      </c>
      <c r="X18" s="38">
        <f t="shared" si="9"/>
        <v>0</v>
      </c>
      <c r="Y18" s="39">
        <f t="shared" si="10"/>
        <v>0</v>
      </c>
      <c r="Z18" s="28">
        <v>0</v>
      </c>
      <c r="AA18" s="28" t="s">
        <v>34</v>
      </c>
      <c r="AB18" s="40">
        <f t="shared" si="11"/>
        <v>-0.69</v>
      </c>
      <c r="AC18" s="41">
        <v>1.748073611111111E-2</v>
      </c>
      <c r="AD18" s="39">
        <f t="shared" si="12"/>
        <v>-0.21711074249999998</v>
      </c>
      <c r="AE18" s="39">
        <v>-3.48</v>
      </c>
      <c r="AF18" s="39">
        <v>-1.0135999999999901</v>
      </c>
      <c r="AG18" s="39">
        <v>0</v>
      </c>
    </row>
    <row r="19" spans="1:33" ht="15.75" customHeight="1" x14ac:dyDescent="0.2">
      <c r="A19" s="28" t="s">
        <v>57</v>
      </c>
      <c r="B19" s="28" t="s">
        <v>47</v>
      </c>
      <c r="C19" s="15">
        <f t="shared" si="4"/>
        <v>7.99</v>
      </c>
      <c r="D19" s="29">
        <v>8</v>
      </c>
      <c r="E19" s="29">
        <v>0</v>
      </c>
      <c r="F19" s="32">
        <v>63.92</v>
      </c>
      <c r="G19" s="30">
        <v>-0.02</v>
      </c>
      <c r="H19" s="31">
        <f t="shared" si="1"/>
        <v>3.1289111389236547E-4</v>
      </c>
      <c r="I19" s="31">
        <f t="shared" si="2"/>
        <v>0.27838255120984556</v>
      </c>
      <c r="J19" s="32">
        <f t="shared" si="5"/>
        <v>17.79421267333333</v>
      </c>
      <c r="K19" s="32">
        <f t="shared" si="3"/>
        <v>2.2242765841666663</v>
      </c>
      <c r="L19" s="29">
        <v>18</v>
      </c>
      <c r="M19" s="33">
        <f t="shared" si="6"/>
        <v>0.44444444444444442</v>
      </c>
      <c r="N19" s="29">
        <v>70</v>
      </c>
      <c r="O19" s="34">
        <f t="shared" ref="O19:P19" si="27">D19/7</f>
        <v>1.1428571428571428</v>
      </c>
      <c r="P19" s="34">
        <f t="shared" si="27"/>
        <v>0</v>
      </c>
      <c r="Q19" s="29">
        <f t="shared" si="8"/>
        <v>61</v>
      </c>
      <c r="R19" s="29"/>
      <c r="S19" s="35">
        <v>1.79501385041551</v>
      </c>
      <c r="T19" s="28">
        <v>300</v>
      </c>
      <c r="U19" s="36">
        <v>100</v>
      </c>
      <c r="V19" s="37" t="s">
        <v>392</v>
      </c>
      <c r="W19" s="28">
        <v>0</v>
      </c>
      <c r="X19" s="38">
        <f t="shared" si="9"/>
        <v>0</v>
      </c>
      <c r="Y19" s="39">
        <f t="shared" si="10"/>
        <v>0</v>
      </c>
      <c r="Z19" s="28">
        <v>0</v>
      </c>
      <c r="AA19" s="28" t="s">
        <v>34</v>
      </c>
      <c r="AB19" s="40">
        <f t="shared" si="11"/>
        <v>-0.69</v>
      </c>
      <c r="AC19" s="41">
        <v>1.748073611111111E-2</v>
      </c>
      <c r="AD19" s="39">
        <f t="shared" si="12"/>
        <v>-0.19298732666666665</v>
      </c>
      <c r="AE19" s="39">
        <v>-3.48</v>
      </c>
      <c r="AF19" s="39">
        <v>-1.0606</v>
      </c>
      <c r="AG19" s="39">
        <v>0</v>
      </c>
    </row>
    <row r="20" spans="1:33" ht="15.75" customHeight="1" x14ac:dyDescent="0.2">
      <c r="A20" s="28" t="s">
        <v>58</v>
      </c>
      <c r="B20" s="28" t="s">
        <v>456</v>
      </c>
      <c r="C20" s="15">
        <f t="shared" si="4"/>
        <v>7.99</v>
      </c>
      <c r="D20" s="29">
        <v>4</v>
      </c>
      <c r="E20" s="29">
        <v>0</v>
      </c>
      <c r="F20" s="32">
        <v>31.96</v>
      </c>
      <c r="G20" s="30">
        <v>0</v>
      </c>
      <c r="H20" s="31">
        <f t="shared" si="1"/>
        <v>0</v>
      </c>
      <c r="I20" s="31">
        <f t="shared" si="2"/>
        <v>0.278695442323738</v>
      </c>
      <c r="J20" s="32">
        <f t="shared" si="5"/>
        <v>8.9071063366666667</v>
      </c>
      <c r="K20" s="32">
        <f t="shared" si="3"/>
        <v>2.2267765841666667</v>
      </c>
      <c r="L20" s="29">
        <v>24</v>
      </c>
      <c r="M20" s="33">
        <f t="shared" si="6"/>
        <v>0.16666666666666666</v>
      </c>
      <c r="N20" s="29">
        <v>68</v>
      </c>
      <c r="O20" s="34">
        <f t="shared" ref="O20:P20" si="28">D20/7</f>
        <v>0.5714285714285714</v>
      </c>
      <c r="P20" s="34">
        <f t="shared" si="28"/>
        <v>0</v>
      </c>
      <c r="Q20" s="29">
        <f t="shared" si="8"/>
        <v>119</v>
      </c>
      <c r="R20" s="29"/>
      <c r="S20" s="35">
        <v>1.9531772575250801</v>
      </c>
      <c r="T20" s="28">
        <v>300</v>
      </c>
      <c r="U20" s="36">
        <v>100</v>
      </c>
      <c r="V20" s="37" t="s">
        <v>457</v>
      </c>
      <c r="W20" s="28">
        <v>0</v>
      </c>
      <c r="X20" s="38">
        <f t="shared" si="9"/>
        <v>0</v>
      </c>
      <c r="Y20" s="39">
        <f t="shared" si="10"/>
        <v>0</v>
      </c>
      <c r="Z20" s="28">
        <v>0</v>
      </c>
      <c r="AA20" s="28" t="s">
        <v>34</v>
      </c>
      <c r="AB20" s="40">
        <f t="shared" si="11"/>
        <v>-0.69</v>
      </c>
      <c r="AC20" s="41">
        <v>1.748073611111111E-2</v>
      </c>
      <c r="AD20" s="39">
        <f t="shared" si="12"/>
        <v>-9.6493663333333327E-2</v>
      </c>
      <c r="AE20" s="39">
        <v>-3.48</v>
      </c>
      <c r="AF20" s="39">
        <v>-1.0606</v>
      </c>
      <c r="AG20" s="39">
        <v>0</v>
      </c>
    </row>
    <row r="21" spans="1:33" ht="15.75" customHeight="1" x14ac:dyDescent="0.2">
      <c r="A21" s="28" t="s">
        <v>59</v>
      </c>
      <c r="B21" s="28" t="s">
        <v>47</v>
      </c>
      <c r="C21" s="15">
        <f t="shared" si="4"/>
        <v>7.5766666666666671</v>
      </c>
      <c r="D21" s="29">
        <v>15</v>
      </c>
      <c r="E21" s="29">
        <v>3</v>
      </c>
      <c r="F21" s="32">
        <v>113.65</v>
      </c>
      <c r="G21" s="30">
        <v>-0.16</v>
      </c>
      <c r="H21" s="31">
        <f t="shared" si="1"/>
        <v>1.4078310602727673E-3</v>
      </c>
      <c r="I21" s="31">
        <f t="shared" si="2"/>
        <v>0.24612097459304882</v>
      </c>
      <c r="J21" s="32">
        <f t="shared" si="5"/>
        <v>27.971648762499999</v>
      </c>
      <c r="K21" s="32">
        <f t="shared" si="3"/>
        <v>1.8647765841666666</v>
      </c>
      <c r="L21" s="29">
        <v>16</v>
      </c>
      <c r="M21" s="33">
        <f t="shared" si="6"/>
        <v>0.9375</v>
      </c>
      <c r="N21" s="29">
        <v>49</v>
      </c>
      <c r="O21" s="34">
        <f t="shared" ref="O21:P21" si="29">D21/7</f>
        <v>2.1428571428571428</v>
      </c>
      <c r="P21" s="34">
        <f t="shared" si="29"/>
        <v>0.42857142857142855</v>
      </c>
      <c r="Q21" s="29">
        <f t="shared" si="8"/>
        <v>19</v>
      </c>
      <c r="R21" s="29"/>
      <c r="S21" s="35">
        <v>1.3462469733656099</v>
      </c>
      <c r="T21" s="28">
        <v>300</v>
      </c>
      <c r="U21" s="36">
        <v>100</v>
      </c>
      <c r="V21" s="37" t="s">
        <v>458</v>
      </c>
      <c r="W21" s="28">
        <v>0</v>
      </c>
      <c r="X21" s="38">
        <f t="shared" si="9"/>
        <v>0</v>
      </c>
      <c r="Y21" s="39">
        <f t="shared" si="10"/>
        <v>0</v>
      </c>
      <c r="Z21" s="28">
        <v>0</v>
      </c>
      <c r="AA21" s="28" t="s">
        <v>34</v>
      </c>
      <c r="AB21" s="40">
        <f t="shared" si="11"/>
        <v>-0.69</v>
      </c>
      <c r="AC21" s="41">
        <v>1.748073611111111E-2</v>
      </c>
      <c r="AD21" s="39">
        <f t="shared" si="12"/>
        <v>-0.36185123749999998</v>
      </c>
      <c r="AE21" s="39">
        <v>-3.48</v>
      </c>
      <c r="AF21" s="39">
        <v>-1.0606</v>
      </c>
      <c r="AG21" s="39">
        <v>0</v>
      </c>
    </row>
    <row r="22" spans="1:33" ht="15.75" customHeight="1" x14ac:dyDescent="0.2">
      <c r="A22" s="28" t="s">
        <v>60</v>
      </c>
      <c r="B22" s="28" t="s">
        <v>47</v>
      </c>
      <c r="C22" s="15">
        <f t="shared" si="4"/>
        <v>7.0280000000000005</v>
      </c>
      <c r="D22" s="29">
        <v>10</v>
      </c>
      <c r="E22" s="29">
        <v>0</v>
      </c>
      <c r="F22" s="30">
        <v>70.28</v>
      </c>
      <c r="G22" s="30">
        <v>0</v>
      </c>
      <c r="H22" s="31">
        <f t="shared" si="1"/>
        <v>0</v>
      </c>
      <c r="I22" s="31">
        <f t="shared" si="2"/>
        <v>0.20049467617624742</v>
      </c>
      <c r="J22" s="32">
        <f t="shared" si="5"/>
        <v>14.090765841666668</v>
      </c>
      <c r="K22" s="32">
        <f t="shared" si="3"/>
        <v>1.4090765841666668</v>
      </c>
      <c r="L22" s="29">
        <v>21</v>
      </c>
      <c r="M22" s="33">
        <f t="shared" si="6"/>
        <v>0.47619047619047616</v>
      </c>
      <c r="N22" s="29">
        <v>39</v>
      </c>
      <c r="O22" s="34">
        <f t="shared" ref="O22:P22" si="30">D22/7</f>
        <v>1.4285714285714286</v>
      </c>
      <c r="P22" s="34">
        <f t="shared" si="30"/>
        <v>0</v>
      </c>
      <c r="Q22" s="29">
        <f t="shared" si="8"/>
        <v>27</v>
      </c>
      <c r="R22" s="29"/>
      <c r="S22" s="35">
        <v>1.4583333333333299</v>
      </c>
      <c r="T22" s="28">
        <v>200</v>
      </c>
      <c r="U22" s="36">
        <v>100</v>
      </c>
      <c r="V22" s="37" t="s">
        <v>395</v>
      </c>
      <c r="W22" s="28">
        <v>0</v>
      </c>
      <c r="X22" s="38">
        <f t="shared" si="9"/>
        <v>0</v>
      </c>
      <c r="Y22" s="39">
        <f t="shared" si="10"/>
        <v>0</v>
      </c>
      <c r="Z22" s="28">
        <v>0</v>
      </c>
      <c r="AA22" s="28" t="s">
        <v>34</v>
      </c>
      <c r="AB22" s="40">
        <f t="shared" si="11"/>
        <v>-0.69</v>
      </c>
      <c r="AC22" s="41">
        <v>1.748073611111111E-2</v>
      </c>
      <c r="AD22" s="39">
        <f t="shared" si="12"/>
        <v>-0.24123415833333331</v>
      </c>
      <c r="AE22" s="39">
        <v>-3.48</v>
      </c>
      <c r="AF22" s="39">
        <v>-1.0606</v>
      </c>
      <c r="AG22" s="39">
        <v>0</v>
      </c>
    </row>
    <row r="23" spans="1:33" ht="15.75" customHeight="1" x14ac:dyDescent="0.2">
      <c r="A23" s="28" t="s">
        <v>62</v>
      </c>
      <c r="B23" s="28" t="s">
        <v>459</v>
      </c>
      <c r="C23" s="15">
        <f t="shared" si="4"/>
        <v>6.99</v>
      </c>
      <c r="D23" s="29">
        <v>5</v>
      </c>
      <c r="E23" s="29">
        <v>0</v>
      </c>
      <c r="F23" s="32">
        <v>34.950000000000003</v>
      </c>
      <c r="G23" s="30">
        <v>0</v>
      </c>
      <c r="H23" s="31">
        <f t="shared" si="1"/>
        <v>0</v>
      </c>
      <c r="I23" s="31">
        <f t="shared" si="2"/>
        <v>0.19696374594659047</v>
      </c>
      <c r="J23" s="32">
        <f t="shared" si="5"/>
        <v>6.8838829208333374</v>
      </c>
      <c r="K23" s="32">
        <f t="shared" si="3"/>
        <v>1.3767765841666675</v>
      </c>
      <c r="L23" s="29">
        <v>24</v>
      </c>
      <c r="M23" s="33">
        <f t="shared" si="6"/>
        <v>0.20833333333333334</v>
      </c>
      <c r="N23" s="29">
        <v>33</v>
      </c>
      <c r="O23" s="34">
        <f t="shared" ref="O23:P23" si="31">D23/7</f>
        <v>0.7142857142857143</v>
      </c>
      <c r="P23" s="34">
        <f t="shared" si="31"/>
        <v>0</v>
      </c>
      <c r="Q23" s="29">
        <f t="shared" si="8"/>
        <v>46</v>
      </c>
      <c r="R23" s="29"/>
      <c r="S23" s="35">
        <v>1.61797752808988</v>
      </c>
      <c r="T23" s="28">
        <v>400</v>
      </c>
      <c r="U23" s="36">
        <v>100</v>
      </c>
      <c r="V23" s="37" t="s">
        <v>395</v>
      </c>
      <c r="W23" s="28">
        <v>0</v>
      </c>
      <c r="X23" s="38">
        <f t="shared" si="9"/>
        <v>0</v>
      </c>
      <c r="Y23" s="39">
        <f t="shared" si="10"/>
        <v>0</v>
      </c>
      <c r="Z23" s="28">
        <v>0</v>
      </c>
      <c r="AA23" s="28" t="s">
        <v>34</v>
      </c>
      <c r="AB23" s="40">
        <f t="shared" si="11"/>
        <v>-0.69</v>
      </c>
      <c r="AC23" s="41">
        <v>1.748073611111111E-2</v>
      </c>
      <c r="AD23" s="39">
        <f t="shared" si="12"/>
        <v>-0.12061707916666665</v>
      </c>
      <c r="AE23" s="39">
        <v>-3.48</v>
      </c>
      <c r="AF23" s="39">
        <v>-1.0606</v>
      </c>
      <c r="AG23" s="39">
        <v>0</v>
      </c>
    </row>
    <row r="24" spans="1:33" ht="15.75" customHeight="1" x14ac:dyDescent="0.2">
      <c r="A24" s="28" t="s">
        <v>64</v>
      </c>
      <c r="B24" s="28" t="s">
        <v>460</v>
      </c>
      <c r="C24" s="15">
        <f t="shared" si="4"/>
        <v>6.99</v>
      </c>
      <c r="D24" s="29">
        <v>11</v>
      </c>
      <c r="E24" s="29">
        <v>0</v>
      </c>
      <c r="F24" s="32">
        <v>76.89</v>
      </c>
      <c r="G24" s="32">
        <v>-0.08</v>
      </c>
      <c r="H24" s="31">
        <f t="shared" si="1"/>
        <v>1.0404473923787229E-3</v>
      </c>
      <c r="I24" s="31">
        <f t="shared" si="2"/>
        <v>0.21872933399174138</v>
      </c>
      <c r="J24" s="32">
        <f t="shared" si="5"/>
        <v>16.818098490624994</v>
      </c>
      <c r="K24" s="32">
        <f t="shared" si="3"/>
        <v>1.5289180446022721</v>
      </c>
      <c r="L24" s="29">
        <v>33</v>
      </c>
      <c r="M24" s="33">
        <f t="shared" si="6"/>
        <v>0.33333333333333331</v>
      </c>
      <c r="N24" s="29">
        <v>25</v>
      </c>
      <c r="O24" s="34">
        <f t="shared" ref="O24:P24" si="32">D24/7</f>
        <v>1.5714285714285714</v>
      </c>
      <c r="P24" s="34">
        <f t="shared" si="32"/>
        <v>0</v>
      </c>
      <c r="Q24" s="29">
        <f t="shared" si="8"/>
        <v>15</v>
      </c>
      <c r="R24" s="29"/>
      <c r="S24" s="35">
        <v>2.10752688172043</v>
      </c>
      <c r="T24" s="28">
        <v>400</v>
      </c>
      <c r="U24" s="36">
        <v>100</v>
      </c>
      <c r="V24" s="37" t="s">
        <v>398</v>
      </c>
      <c r="W24" s="28">
        <v>1</v>
      </c>
      <c r="X24" s="38">
        <f t="shared" si="9"/>
        <v>9.0909090909090912E-2</v>
      </c>
      <c r="Y24" s="39">
        <f t="shared" si="10"/>
        <v>0.08</v>
      </c>
      <c r="Z24" s="28">
        <v>0</v>
      </c>
      <c r="AA24" s="28" t="s">
        <v>34</v>
      </c>
      <c r="AB24" s="40">
        <f t="shared" si="11"/>
        <v>-0.69</v>
      </c>
      <c r="AC24" s="41">
        <v>2.5151614583333329E-2</v>
      </c>
      <c r="AD24" s="39">
        <f t="shared" si="12"/>
        <v>-0.3818015093749999</v>
      </c>
      <c r="AE24" s="39">
        <v>-3.31</v>
      </c>
      <c r="AF24" s="39">
        <v>-1.0606</v>
      </c>
      <c r="AG24" s="39">
        <v>0</v>
      </c>
    </row>
    <row r="25" spans="1:33" ht="15.75" customHeight="1" x14ac:dyDescent="0.2">
      <c r="A25" s="28" t="s">
        <v>65</v>
      </c>
      <c r="B25" s="14" t="s">
        <v>150</v>
      </c>
      <c r="C25" s="15">
        <f t="shared" si="4"/>
        <v>6.9900000000000011</v>
      </c>
      <c r="D25" s="29">
        <v>12</v>
      </c>
      <c r="E25" s="29">
        <v>0</v>
      </c>
      <c r="F25" s="32">
        <v>83.88000000000001</v>
      </c>
      <c r="G25" s="32">
        <v>-0.08</v>
      </c>
      <c r="H25" s="31">
        <f t="shared" si="1"/>
        <v>9.5374344301382924E-4</v>
      </c>
      <c r="I25" s="31">
        <f t="shared" si="2"/>
        <v>0.21890187485097762</v>
      </c>
      <c r="J25" s="32">
        <f t="shared" si="5"/>
        <v>18.361489262500005</v>
      </c>
      <c r="K25" s="32">
        <f t="shared" si="3"/>
        <v>1.5301241052083336</v>
      </c>
      <c r="L25" s="29">
        <v>26</v>
      </c>
      <c r="M25" s="33">
        <f t="shared" si="6"/>
        <v>0.46153846153846156</v>
      </c>
      <c r="N25" s="29">
        <v>9</v>
      </c>
      <c r="O25" s="34">
        <f t="shared" ref="O25:P25" si="33">D25/7</f>
        <v>1.7142857142857142</v>
      </c>
      <c r="P25" s="34">
        <f t="shared" si="33"/>
        <v>0</v>
      </c>
      <c r="Q25" s="29">
        <f t="shared" si="8"/>
        <v>5</v>
      </c>
      <c r="R25" s="29"/>
      <c r="S25" s="35">
        <v>2.758620689655173</v>
      </c>
      <c r="T25" s="28">
        <v>500</v>
      </c>
      <c r="U25" s="36">
        <v>100</v>
      </c>
      <c r="V25" s="37" t="s">
        <v>399</v>
      </c>
      <c r="W25" s="14">
        <v>0</v>
      </c>
      <c r="X25" s="38">
        <f t="shared" si="9"/>
        <v>0</v>
      </c>
      <c r="Y25" s="39">
        <f t="shared" si="10"/>
        <v>0</v>
      </c>
      <c r="Z25" s="14">
        <v>0</v>
      </c>
      <c r="AA25" s="28" t="s">
        <v>34</v>
      </c>
      <c r="AB25" s="40">
        <f t="shared" si="11"/>
        <v>-0.69</v>
      </c>
      <c r="AC25" s="41">
        <v>2.5151614583333329E-2</v>
      </c>
      <c r="AD25" s="39">
        <f t="shared" si="12"/>
        <v>-0.41651073749999989</v>
      </c>
      <c r="AE25" s="39">
        <v>-3.31</v>
      </c>
      <c r="AF25" s="39">
        <v>-1.06</v>
      </c>
      <c r="AG25" s="39">
        <v>0</v>
      </c>
    </row>
    <row r="26" spans="1:33" ht="15.75" customHeight="1" x14ac:dyDescent="0.2">
      <c r="A26" s="14" t="s">
        <v>67</v>
      </c>
      <c r="B26" s="14" t="s">
        <v>52</v>
      </c>
      <c r="C26" s="15">
        <f t="shared" si="4"/>
        <v>8</v>
      </c>
      <c r="D26" s="16">
        <v>8</v>
      </c>
      <c r="E26" s="16">
        <v>0</v>
      </c>
      <c r="F26" s="17">
        <v>64</v>
      </c>
      <c r="G26" s="17">
        <v>-0.08</v>
      </c>
      <c r="H26" s="31">
        <f t="shared" si="1"/>
        <v>1.25E-3</v>
      </c>
      <c r="I26" s="31">
        <f t="shared" si="2"/>
        <v>0.27762634648437495</v>
      </c>
      <c r="J26" s="32">
        <f t="shared" si="5"/>
        <v>17.768086174999997</v>
      </c>
      <c r="K26" s="32">
        <f t="shared" si="3"/>
        <v>2.2210107718749996</v>
      </c>
      <c r="L26" s="16">
        <v>22</v>
      </c>
      <c r="M26" s="33">
        <f t="shared" si="6"/>
        <v>0.36363636363636365</v>
      </c>
      <c r="N26" s="16">
        <v>1</v>
      </c>
      <c r="O26" s="34">
        <f t="shared" ref="O26:P26" si="34">D26/7</f>
        <v>1.1428571428571428</v>
      </c>
      <c r="P26" s="34">
        <f t="shared" si="34"/>
        <v>0</v>
      </c>
      <c r="Q26" s="29">
        <f t="shared" si="8"/>
        <v>0</v>
      </c>
      <c r="R26" s="29"/>
      <c r="S26" s="21">
        <v>2.04</v>
      </c>
      <c r="T26" s="28">
        <v>400</v>
      </c>
      <c r="U26" s="36" t="s">
        <v>33</v>
      </c>
      <c r="V26" s="37" t="s">
        <v>33</v>
      </c>
      <c r="W26" s="14">
        <v>0</v>
      </c>
      <c r="X26" s="38">
        <f t="shared" si="9"/>
        <v>0</v>
      </c>
      <c r="Y26" s="39">
        <f t="shared" si="10"/>
        <v>0</v>
      </c>
      <c r="Z26" s="14">
        <v>0</v>
      </c>
      <c r="AA26" s="28" t="s">
        <v>34</v>
      </c>
      <c r="AB26" s="40">
        <f t="shared" si="11"/>
        <v>-0.69</v>
      </c>
      <c r="AC26" s="41">
        <v>2.5151614583333329E-2</v>
      </c>
      <c r="AD26" s="39">
        <f t="shared" si="12"/>
        <v>-0.27767382499999993</v>
      </c>
      <c r="AE26" s="25">
        <v>-3.47</v>
      </c>
      <c r="AF26" s="25">
        <v>-1.0642799999999999</v>
      </c>
      <c r="AG26" s="25">
        <v>0</v>
      </c>
    </row>
    <row r="27" spans="1:33" ht="15.75" customHeight="1" x14ac:dyDescent="0.2">
      <c r="A27" s="14" t="s">
        <v>69</v>
      </c>
      <c r="B27" s="14" t="s">
        <v>370</v>
      </c>
      <c r="C27" s="15">
        <f t="shared" si="4"/>
        <v>7.99</v>
      </c>
      <c r="D27" s="16">
        <v>1</v>
      </c>
      <c r="E27" s="16">
        <v>1</v>
      </c>
      <c r="F27" s="17">
        <v>7.99</v>
      </c>
      <c r="G27" s="17">
        <v>0</v>
      </c>
      <c r="H27" s="31">
        <f t="shared" si="1"/>
        <v>0</v>
      </c>
      <c r="I27" s="31">
        <f t="shared" si="2"/>
        <v>0.25319283753128913</v>
      </c>
      <c r="J27" s="32">
        <f t="shared" si="5"/>
        <v>2.0230107718750001</v>
      </c>
      <c r="K27" s="32">
        <f t="shared" si="3"/>
        <v>2.0230107718750001</v>
      </c>
      <c r="L27" s="16">
        <v>5</v>
      </c>
      <c r="M27" s="33">
        <f t="shared" si="6"/>
        <v>0.2</v>
      </c>
      <c r="N27" s="16">
        <v>101</v>
      </c>
      <c r="O27" s="34">
        <f t="shared" ref="O27:P27" si="35">D27/7</f>
        <v>0.14285714285714285</v>
      </c>
      <c r="P27" s="34">
        <f t="shared" si="35"/>
        <v>0.14285714285714285</v>
      </c>
      <c r="Q27" s="29">
        <f t="shared" si="8"/>
        <v>353</v>
      </c>
      <c r="R27" s="29"/>
      <c r="S27" s="21">
        <v>1.606741573033708</v>
      </c>
      <c r="T27" s="28">
        <v>400</v>
      </c>
      <c r="U27" s="36" t="s">
        <v>33</v>
      </c>
      <c r="V27" s="37" t="s">
        <v>33</v>
      </c>
      <c r="W27" s="14">
        <v>0</v>
      </c>
      <c r="X27" s="38">
        <f t="shared" si="9"/>
        <v>0</v>
      </c>
      <c r="Y27" s="39">
        <f t="shared" si="10"/>
        <v>0</v>
      </c>
      <c r="Z27" s="14">
        <v>0</v>
      </c>
      <c r="AA27" s="28" t="s">
        <v>34</v>
      </c>
      <c r="AB27" s="40">
        <f t="shared" si="11"/>
        <v>-0.69</v>
      </c>
      <c r="AC27" s="41">
        <v>2.5151614583333329E-2</v>
      </c>
      <c r="AD27" s="39">
        <f t="shared" si="12"/>
        <v>-3.4709228124999991E-2</v>
      </c>
      <c r="AE27" s="25">
        <v>-3.47</v>
      </c>
      <c r="AF27" s="25">
        <v>-1.2637799999999999</v>
      </c>
      <c r="AG27" s="25">
        <v>0</v>
      </c>
    </row>
    <row r="28" spans="1:33" ht="15.75" customHeight="1" x14ac:dyDescent="0.2">
      <c r="A28" s="14" t="s">
        <v>71</v>
      </c>
      <c r="B28" s="14" t="s">
        <v>461</v>
      </c>
      <c r="C28" s="15">
        <f t="shared" si="4"/>
        <v>7.99</v>
      </c>
      <c r="D28" s="16">
        <v>2</v>
      </c>
      <c r="E28" s="16">
        <v>0</v>
      </c>
      <c r="F28" s="17">
        <v>15.98</v>
      </c>
      <c r="G28" s="17">
        <v>0</v>
      </c>
      <c r="H28" s="31">
        <f t="shared" si="1"/>
        <v>0</v>
      </c>
      <c r="I28" s="31">
        <f t="shared" si="2"/>
        <v>0.25319283753128913</v>
      </c>
      <c r="J28" s="32">
        <f t="shared" si="5"/>
        <v>4.0460215437500002</v>
      </c>
      <c r="K28" s="32">
        <f t="shared" si="3"/>
        <v>2.0230107718750001</v>
      </c>
      <c r="L28" s="16">
        <v>9</v>
      </c>
      <c r="M28" s="33">
        <f t="shared" si="6"/>
        <v>0.22222222222222221</v>
      </c>
      <c r="N28" s="16">
        <v>98</v>
      </c>
      <c r="O28" s="34">
        <f t="shared" ref="O28:P28" si="36">D28/7</f>
        <v>0.2857142857142857</v>
      </c>
      <c r="P28" s="34">
        <f t="shared" si="36"/>
        <v>0</v>
      </c>
      <c r="Q28" s="29">
        <f t="shared" si="8"/>
        <v>343</v>
      </c>
      <c r="R28" s="29"/>
      <c r="S28" s="21">
        <v>1.5375000000000001</v>
      </c>
      <c r="T28" s="28">
        <v>400</v>
      </c>
      <c r="U28" s="36" t="s">
        <v>33</v>
      </c>
      <c r="V28" s="37" t="s">
        <v>33</v>
      </c>
      <c r="W28" s="14">
        <v>0</v>
      </c>
      <c r="X28" s="38">
        <f t="shared" si="9"/>
        <v>0</v>
      </c>
      <c r="Y28" s="39">
        <f t="shared" si="10"/>
        <v>0</v>
      </c>
      <c r="Z28" s="14">
        <v>0</v>
      </c>
      <c r="AA28" s="28" t="s">
        <v>34</v>
      </c>
      <c r="AB28" s="40">
        <f t="shared" si="11"/>
        <v>-0.69</v>
      </c>
      <c r="AC28" s="41">
        <v>2.5151614583333329E-2</v>
      </c>
      <c r="AD28" s="39">
        <f t="shared" si="12"/>
        <v>-6.9418456249999982E-2</v>
      </c>
      <c r="AE28" s="25">
        <v>-3.47</v>
      </c>
      <c r="AF28" s="25">
        <v>-1.2637799999999999</v>
      </c>
      <c r="AG28" s="25">
        <v>0</v>
      </c>
    </row>
    <row r="29" spans="1:33" ht="15.75" customHeight="1" x14ac:dyDescent="0.2">
      <c r="A29" s="28" t="s">
        <v>72</v>
      </c>
      <c r="B29" s="28" t="s">
        <v>462</v>
      </c>
      <c r="C29" s="15">
        <f t="shared" si="4"/>
        <v>7.99</v>
      </c>
      <c r="D29" s="29">
        <v>2</v>
      </c>
      <c r="E29" s="29">
        <v>0</v>
      </c>
      <c r="F29" s="32">
        <v>15.98</v>
      </c>
      <c r="G29" s="32">
        <v>0</v>
      </c>
      <c r="H29" s="31">
        <f t="shared" si="1"/>
        <v>0</v>
      </c>
      <c r="I29" s="31">
        <f t="shared" si="2"/>
        <v>0.25319283753128913</v>
      </c>
      <c r="J29" s="32">
        <f t="shared" si="5"/>
        <v>4.0460215437500002</v>
      </c>
      <c r="K29" s="32">
        <f t="shared" si="3"/>
        <v>2.0230107718750001</v>
      </c>
      <c r="L29" s="29">
        <v>8</v>
      </c>
      <c r="M29" s="33">
        <f t="shared" si="6"/>
        <v>0.25</v>
      </c>
      <c r="N29" s="16">
        <v>86</v>
      </c>
      <c r="O29" s="34">
        <f t="shared" ref="O29:P29" si="37">D29/7</f>
        <v>0.2857142857142857</v>
      </c>
      <c r="P29" s="34">
        <f t="shared" si="37"/>
        <v>0</v>
      </c>
      <c r="Q29" s="29">
        <f t="shared" si="8"/>
        <v>301</v>
      </c>
      <c r="R29" s="29"/>
      <c r="S29" s="21">
        <v>1.556420233463035</v>
      </c>
      <c r="T29" s="28">
        <v>400</v>
      </c>
      <c r="U29" s="36" t="s">
        <v>33</v>
      </c>
      <c r="V29" s="37" t="s">
        <v>33</v>
      </c>
      <c r="W29" s="14">
        <v>0</v>
      </c>
      <c r="X29" s="38">
        <f t="shared" si="9"/>
        <v>0</v>
      </c>
      <c r="Y29" s="39">
        <f t="shared" si="10"/>
        <v>0</v>
      </c>
      <c r="Z29" s="14">
        <v>0</v>
      </c>
      <c r="AA29" s="28" t="s">
        <v>34</v>
      </c>
      <c r="AB29" s="40">
        <f t="shared" si="11"/>
        <v>-0.69</v>
      </c>
      <c r="AC29" s="41">
        <v>2.5151614583333329E-2</v>
      </c>
      <c r="AD29" s="39">
        <f t="shared" si="12"/>
        <v>-6.9418456249999982E-2</v>
      </c>
      <c r="AE29" s="39">
        <v>-3.47</v>
      </c>
      <c r="AF29" s="25">
        <v>-1.2637799999999999</v>
      </c>
      <c r="AG29" s="39">
        <v>0</v>
      </c>
    </row>
    <row r="30" spans="1:33" ht="15.75" customHeight="1" x14ac:dyDescent="0.2">
      <c r="A30" s="14" t="s">
        <v>74</v>
      </c>
      <c r="B30" s="14" t="s">
        <v>47</v>
      </c>
      <c r="C30" s="15">
        <f t="shared" si="4"/>
        <v>7.7166666666666659</v>
      </c>
      <c r="D30" s="16">
        <v>3</v>
      </c>
      <c r="E30" s="16">
        <v>0</v>
      </c>
      <c r="F30" s="17">
        <v>23.15</v>
      </c>
      <c r="G30" s="17">
        <v>-0.08</v>
      </c>
      <c r="H30" s="31">
        <f t="shared" si="1"/>
        <v>3.4557235421166311E-3</v>
      </c>
      <c r="I30" s="31">
        <f t="shared" si="2"/>
        <v>0.23206096749654562</v>
      </c>
      <c r="J30" s="32">
        <f t="shared" si="5"/>
        <v>5.3722113975450307</v>
      </c>
      <c r="K30" s="32">
        <f t="shared" si="3"/>
        <v>1.7907371325150103</v>
      </c>
      <c r="L30" s="16">
        <v>10</v>
      </c>
      <c r="M30" s="33">
        <f t="shared" si="6"/>
        <v>0.3</v>
      </c>
      <c r="N30" s="16">
        <v>87</v>
      </c>
      <c r="O30" s="34">
        <f t="shared" ref="O30:P30" si="38">D30/7</f>
        <v>0.42857142857142855</v>
      </c>
      <c r="P30" s="34">
        <f t="shared" si="38"/>
        <v>0</v>
      </c>
      <c r="Q30" s="29">
        <f t="shared" si="8"/>
        <v>203</v>
      </c>
      <c r="R30" s="29"/>
      <c r="S30" s="21">
        <v>1.65</v>
      </c>
      <c r="T30" s="28">
        <v>400</v>
      </c>
      <c r="U30" s="36" t="s">
        <v>33</v>
      </c>
      <c r="V30" s="37" t="s">
        <v>33</v>
      </c>
      <c r="W30" s="14">
        <v>0</v>
      </c>
      <c r="X30" s="38">
        <f t="shared" si="9"/>
        <v>0</v>
      </c>
      <c r="Y30" s="39">
        <f t="shared" si="10"/>
        <v>0</v>
      </c>
      <c r="Z30" s="14">
        <v>0</v>
      </c>
      <c r="AA30" s="28" t="s">
        <v>34</v>
      </c>
      <c r="AB30" s="40">
        <f t="shared" si="11"/>
        <v>-0.69</v>
      </c>
      <c r="AC30" s="41">
        <v>2.5151614583333329E-2</v>
      </c>
      <c r="AD30" s="39">
        <f t="shared" si="12"/>
        <v>-0.10412768437499997</v>
      </c>
      <c r="AE30" s="25">
        <v>-3.47</v>
      </c>
      <c r="AF30" s="25">
        <v>-1.23705363935999</v>
      </c>
      <c r="AG30" s="25">
        <v>0</v>
      </c>
    </row>
    <row r="31" spans="1:33" ht="15.75" customHeight="1" x14ac:dyDescent="0.2">
      <c r="A31" s="14" t="s">
        <v>75</v>
      </c>
      <c r="B31" s="14"/>
      <c r="C31" s="15">
        <f t="shared" si="4"/>
        <v>6.99</v>
      </c>
      <c r="D31" s="16">
        <v>1</v>
      </c>
      <c r="E31" s="16">
        <v>0</v>
      </c>
      <c r="F31" s="17">
        <v>6.99</v>
      </c>
      <c r="G31" s="42">
        <v>-0.08</v>
      </c>
      <c r="H31" s="31">
        <f t="shared" si="1"/>
        <v>1.1444921316165951E-2</v>
      </c>
      <c r="I31" s="31">
        <f t="shared" si="2"/>
        <v>0.16019129220529327</v>
      </c>
      <c r="J31" s="32">
        <f t="shared" si="5"/>
        <v>1.1197371325150001</v>
      </c>
      <c r="K31" s="32">
        <f t="shared" si="3"/>
        <v>1.1197371325150001</v>
      </c>
      <c r="L31" s="16">
        <v>16</v>
      </c>
      <c r="M31" s="33">
        <f t="shared" si="6"/>
        <v>6.25E-2</v>
      </c>
      <c r="N31" s="16">
        <v>89</v>
      </c>
      <c r="O31" s="34">
        <f t="shared" ref="O31:P32" si="39">D31/7</f>
        <v>0.14285714285714285</v>
      </c>
      <c r="P31" s="34">
        <f t="shared" si="39"/>
        <v>0</v>
      </c>
      <c r="Q31" s="29">
        <f t="shared" si="8"/>
        <v>623</v>
      </c>
      <c r="R31" s="29"/>
      <c r="S31" s="21">
        <v>1.6525821596244099</v>
      </c>
      <c r="T31" s="14">
        <v>300</v>
      </c>
      <c r="U31" s="22">
        <v>200</v>
      </c>
      <c r="V31" s="1" t="s">
        <v>956</v>
      </c>
      <c r="W31" s="14">
        <v>1</v>
      </c>
      <c r="X31" s="38">
        <f t="shared" si="9"/>
        <v>1</v>
      </c>
      <c r="Y31" s="39">
        <f t="shared" si="10"/>
        <v>0.08</v>
      </c>
      <c r="Z31" s="14">
        <v>0</v>
      </c>
      <c r="AA31" s="14" t="s">
        <v>34</v>
      </c>
      <c r="AB31" s="40">
        <f t="shared" si="11"/>
        <v>-0.69</v>
      </c>
      <c r="AC31" s="27">
        <v>2.5151614583333329E-2</v>
      </c>
      <c r="AD31" s="39">
        <f t="shared" si="12"/>
        <v>-3.4709228124999991E-2</v>
      </c>
      <c r="AE31" s="43">
        <v>-3.47</v>
      </c>
      <c r="AF31" s="43">
        <v>-1.2370536393599998</v>
      </c>
      <c r="AG31" s="25">
        <v>0</v>
      </c>
    </row>
    <row r="32" spans="1:33" s="51" customFormat="1" ht="15.75" customHeight="1" x14ac:dyDescent="0.2">
      <c r="A32" s="51" t="s">
        <v>934</v>
      </c>
      <c r="C32" s="15">
        <f t="shared" si="4"/>
        <v>7.015609756097561</v>
      </c>
      <c r="D32" s="52">
        <v>41</v>
      </c>
      <c r="E32" s="52">
        <v>0</v>
      </c>
      <c r="F32" s="53">
        <v>287.64</v>
      </c>
      <c r="G32" s="53">
        <v>0</v>
      </c>
      <c r="H32" s="31">
        <f t="shared" si="1"/>
        <v>0</v>
      </c>
      <c r="I32" s="31">
        <f t="shared" si="2"/>
        <v>0.17464593354875049</v>
      </c>
      <c r="J32" s="32">
        <f t="shared" si="5"/>
        <v>50.235156325962592</v>
      </c>
      <c r="K32" s="32">
        <f t="shared" si="3"/>
        <v>1.2252477152673802</v>
      </c>
      <c r="L32" s="52">
        <v>12</v>
      </c>
      <c r="M32" s="33">
        <f t="shared" si="6"/>
        <v>3.4166666666666665</v>
      </c>
      <c r="N32" s="52">
        <v>51</v>
      </c>
      <c r="O32" s="34">
        <f t="shared" si="39"/>
        <v>5.8571428571428568</v>
      </c>
      <c r="P32" s="34">
        <f t="shared" si="39"/>
        <v>0</v>
      </c>
      <c r="Q32" s="29">
        <f t="shared" si="8"/>
        <v>8</v>
      </c>
      <c r="R32" s="29" t="str">
        <f ca="1">IFERROR(VLOOKUP($B$2,IMPORTRANGE("https://docs.google.com/spreadsheets/d/1KiWZV1ko8G7lnRucBRBd29jj3Be6ltMfljMDqzOkQmI/edit#gid=1381463014","Lookup!A:F"),6,FALSE),"")</f>
        <v/>
      </c>
      <c r="S32" s="54">
        <v>1.688212927756654</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2.2439810185185188E-2</v>
      </c>
      <c r="AD32" s="39">
        <f t="shared" si="12"/>
        <v>-1.2696444602777779</v>
      </c>
      <c r="AE32" s="58">
        <v>-3.47</v>
      </c>
      <c r="AF32" s="58">
        <v>-1.23705363935999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7.1640625" customWidth="1"/>
    <col min="21" max="21" width="25.6640625" customWidth="1"/>
    <col min="22" max="22" width="59.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Info!B1:BJ5000""),3,FALSE),"""")"),"18 AWG Replacement Power Cord with Open End - 10 Ft Black Extension Cable, 18/3 SJT, NEMA 5-15P")</f>
        <v>18 AWG Replacement Power Cord with Open End - 10 Ft Black Extension Cable, 18/3 SJT, NEMA 5-15P</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Info!B1:BJ5000""),2,FALSE),"""")"),"B082FL8H58")</f>
        <v>B082FL8H58</v>
      </c>
      <c r="B2" s="3" t="s">
        <v>463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24.75" customHeight="1" x14ac:dyDescent="0.2">
      <c r="A3" s="76" t="s">
        <v>30</v>
      </c>
      <c r="B3" s="77"/>
      <c r="C3" s="47">
        <f>((AE32+AF32)/0.85)*-1</f>
        <v>6.6558294287058821</v>
      </c>
      <c r="D3" s="5">
        <f>SUM(D4:D99765)</f>
        <v>177</v>
      </c>
      <c r="E3" s="5"/>
      <c r="F3" s="6">
        <f t="shared" ref="F3:G3" si="0">SUM(F4:F99765)</f>
        <v>1967.3000000000004</v>
      </c>
      <c r="G3" s="6">
        <f t="shared" si="0"/>
        <v>-1.07</v>
      </c>
      <c r="H3" s="7">
        <f t="shared" ref="H3:H32" si="1">G3/F3*-1</f>
        <v>5.4389264474152387E-4</v>
      </c>
      <c r="I3" s="8">
        <f t="shared" ref="I3:I32" si="2">J3/F3</f>
        <v>0.38735757108711821</v>
      </c>
      <c r="J3" s="6">
        <f>SUM(J4:J99765)</f>
        <v>762.04854959968782</v>
      </c>
      <c r="K3" s="6">
        <f t="shared" ref="K3:K32" si="3">J3/D3</f>
        <v>4.3053590372863715</v>
      </c>
      <c r="L3" s="5"/>
      <c r="M3" s="9"/>
      <c r="N3" s="10"/>
      <c r="O3" s="5" t="str">
        <f ca="1">IFERROR(__xludf.DUMMYFUNCTION("IFERROR(VLOOKUP(B2,IMPORTRANGE(""https://docs.google.com/spreadsheets/d/1N8jvpEHDVkurDv7NrPxwI3eH6hQsvtb1QltGNCalRjU/edit#gid=865736387"",""Compiled Sheet!a1:g5000""),2,FALSE),"""")"),"1.5 - March
1.5 - April
1.5 - May
1.5 - June
1.5 - July
1.5 - Aug
1.5 - Sept
1.5 - Oct
1.5 - Nov
1.5 - Dec
1.5 - Jan
1.5 - Feb")</f>
        <v>1.5 - March
1.5 - April
1.5 - May
1.5 - June
1.5 - July
1.5 - Aug
1.5 - Sept
1.5 - Oct
1.5 - Nov
1.5 -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v>
      </c>
      <c r="X3" s="7">
        <f>W3/D3</f>
        <v>1.1299435028248588E-2</v>
      </c>
      <c r="Y3" s="6"/>
      <c r="Z3" s="5"/>
      <c r="AA3" s="5"/>
      <c r="AB3" s="5"/>
      <c r="AC3" s="5"/>
      <c r="AD3" s="6">
        <f>SUM(AD4:AD99765)</f>
        <v>-13.250427092989575</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Info!B2:BZ7000""),37,FALSE)),"""")*-1"),-2.0174550144)</f>
        <v>-2.0174550143999999</v>
      </c>
      <c r="AG3" s="6">
        <f>SUM(AG4:AG99765)</f>
        <v>0</v>
      </c>
    </row>
    <row r="4" spans="1:33" ht="15.75" customHeight="1" x14ac:dyDescent="0.2">
      <c r="A4" s="14" t="s">
        <v>31</v>
      </c>
      <c r="B4" s="14" t="s">
        <v>260</v>
      </c>
      <c r="C4" s="15">
        <f t="shared" ref="C4:C32" si="4">IFERROR(F4/D4," - ")</f>
        <v>12.666666666666666</v>
      </c>
      <c r="D4" s="16">
        <v>21</v>
      </c>
      <c r="E4" s="16">
        <v>0</v>
      </c>
      <c r="F4" s="17">
        <v>266</v>
      </c>
      <c r="G4" s="17">
        <v>-0.08</v>
      </c>
      <c r="H4" s="18">
        <f t="shared" si="1"/>
        <v>3.0075187969924811E-4</v>
      </c>
      <c r="I4" s="18">
        <f t="shared" si="2"/>
        <v>0.45931605184837088</v>
      </c>
      <c r="J4" s="17">
        <f t="shared" ref="J4:J32" si="5">F4*0.85+G4+AF4*D4+D4*AE4+AG4+AD4</f>
        <v>122.17806979166666</v>
      </c>
      <c r="K4" s="17">
        <f t="shared" si="3"/>
        <v>5.8180033234126984</v>
      </c>
      <c r="L4" s="16">
        <v>33</v>
      </c>
      <c r="M4" s="19">
        <f t="shared" ref="M4:M32" si="6">IFERROR(D4/L4,"-")</f>
        <v>0.63636363636363635</v>
      </c>
      <c r="N4" s="16">
        <v>31</v>
      </c>
      <c r="O4" s="20">
        <f t="shared" ref="O4:P4" si="7">D4/7</f>
        <v>3</v>
      </c>
      <c r="P4" s="20">
        <f t="shared" si="7"/>
        <v>0</v>
      </c>
      <c r="Q4" s="16">
        <f t="shared" ref="Q4:Q32" si="8">ROUNDDOWN(N4/(O4+P4),0)</f>
        <v>10</v>
      </c>
      <c r="R4" s="16"/>
      <c r="S4" s="21">
        <v>1.3491686460807599</v>
      </c>
      <c r="T4" s="14">
        <v>100</v>
      </c>
      <c r="U4" s="22">
        <v>75</v>
      </c>
      <c r="V4" s="23" t="s">
        <v>404</v>
      </c>
      <c r="W4" s="14">
        <v>0</v>
      </c>
      <c r="X4" s="24">
        <f t="shared" ref="X4:X32" si="9">IFERROR(W4/D4,0)</f>
        <v>0</v>
      </c>
      <c r="Y4" s="25">
        <f t="shared" ref="Y4:Y32" si="10">IFERROR(G4/(W4+Z4)*-1,0)</f>
        <v>0</v>
      </c>
      <c r="Z4" s="14">
        <v>0</v>
      </c>
      <c r="AA4" s="2" t="s">
        <v>34</v>
      </c>
      <c r="AB4" s="26">
        <f t="shared" ref="AB4:AB32" si="11">IF(OR(AA4="UsLargeStandardSize",AA4="UsSmallStandardSize"),-0.69,-0.48)</f>
        <v>-0.69</v>
      </c>
      <c r="AC4" s="27">
        <v>5.4241898148148157E-2</v>
      </c>
      <c r="AD4" s="25">
        <f t="shared" ref="AD4:AD32" si="12">IFERROR(AB4*AC4*D4*2,0)</f>
        <v>-1.5719302083333335</v>
      </c>
      <c r="AE4" s="25">
        <v>-3.48</v>
      </c>
      <c r="AF4" s="25">
        <v>-1.39</v>
      </c>
      <c r="AG4" s="25">
        <v>0</v>
      </c>
    </row>
    <row r="5" spans="1:33" ht="15.75" customHeight="1" x14ac:dyDescent="0.2">
      <c r="A5" s="28" t="s">
        <v>35</v>
      </c>
      <c r="B5" s="28" t="s">
        <v>194</v>
      </c>
      <c r="C5" s="15">
        <f t="shared" si="4"/>
        <v>12.675333333333333</v>
      </c>
      <c r="D5" s="29">
        <v>15</v>
      </c>
      <c r="E5" s="29">
        <v>0</v>
      </c>
      <c r="F5" s="30">
        <v>190.13</v>
      </c>
      <c r="G5" s="30">
        <v>0</v>
      </c>
      <c r="H5" s="31">
        <f t="shared" si="1"/>
        <v>0</v>
      </c>
      <c r="I5" s="31">
        <f t="shared" si="2"/>
        <v>0.45987688243312697</v>
      </c>
      <c r="J5" s="32">
        <f t="shared" si="5"/>
        <v>87.436391657010432</v>
      </c>
      <c r="K5" s="32">
        <f t="shared" si="3"/>
        <v>5.8290927771340284</v>
      </c>
      <c r="L5" s="29">
        <v>60</v>
      </c>
      <c r="M5" s="33">
        <f t="shared" si="6"/>
        <v>0.25</v>
      </c>
      <c r="N5" s="29">
        <v>17</v>
      </c>
      <c r="O5" s="34">
        <f t="shared" ref="O5:P5" si="13">D5/7</f>
        <v>2.1428571428571428</v>
      </c>
      <c r="P5" s="34">
        <f t="shared" si="13"/>
        <v>0</v>
      </c>
      <c r="Q5" s="29">
        <f t="shared" si="8"/>
        <v>7</v>
      </c>
      <c r="R5" s="29"/>
      <c r="S5" s="35">
        <v>1.61517615176151</v>
      </c>
      <c r="T5" s="28">
        <v>100</v>
      </c>
      <c r="U5" s="36">
        <v>75</v>
      </c>
      <c r="V5" s="37" t="s">
        <v>405</v>
      </c>
      <c r="W5" s="28">
        <v>0</v>
      </c>
      <c r="X5" s="38">
        <f t="shared" si="9"/>
        <v>0</v>
      </c>
      <c r="Y5" s="39">
        <f t="shared" si="10"/>
        <v>0</v>
      </c>
      <c r="Z5" s="28">
        <v>0</v>
      </c>
      <c r="AA5" s="28" t="s">
        <v>34</v>
      </c>
      <c r="AB5" s="40">
        <f t="shared" si="11"/>
        <v>-0.69</v>
      </c>
      <c r="AC5" s="41">
        <v>5.4304750869061426E-2</v>
      </c>
      <c r="AD5" s="39">
        <f t="shared" si="12"/>
        <v>-1.1241083429895713</v>
      </c>
      <c r="AE5" s="39">
        <v>-3.48</v>
      </c>
      <c r="AF5" s="39">
        <v>-1.39</v>
      </c>
      <c r="AG5" s="39">
        <v>0</v>
      </c>
    </row>
    <row r="6" spans="1:33" ht="15.75" customHeight="1" x14ac:dyDescent="0.2">
      <c r="A6" s="28" t="s">
        <v>37</v>
      </c>
      <c r="B6" s="28" t="s">
        <v>194</v>
      </c>
      <c r="C6" s="15">
        <f t="shared" si="4"/>
        <v>12.734999999999999</v>
      </c>
      <c r="D6" s="29">
        <v>8</v>
      </c>
      <c r="E6" s="29">
        <v>0</v>
      </c>
      <c r="F6" s="30">
        <v>101.88</v>
      </c>
      <c r="G6" s="30">
        <v>-0.08</v>
      </c>
      <c r="H6" s="31">
        <f t="shared" si="1"/>
        <v>7.8523753435414214E-4</v>
      </c>
      <c r="I6" s="31">
        <f t="shared" si="2"/>
        <v>0.46092628037342398</v>
      </c>
      <c r="J6" s="32">
        <f t="shared" si="5"/>
        <v>46.959169444444434</v>
      </c>
      <c r="K6" s="32">
        <f t="shared" si="3"/>
        <v>5.8698961805555543</v>
      </c>
      <c r="L6" s="29">
        <v>30</v>
      </c>
      <c r="M6" s="33">
        <f t="shared" si="6"/>
        <v>0.26666666666666666</v>
      </c>
      <c r="N6" s="29">
        <v>8</v>
      </c>
      <c r="O6" s="34">
        <f t="shared" ref="O6:P6" si="14">D6/7</f>
        <v>1.1428571428571428</v>
      </c>
      <c r="P6" s="34">
        <f t="shared" si="14"/>
        <v>0</v>
      </c>
      <c r="Q6" s="29">
        <f t="shared" si="8"/>
        <v>7</v>
      </c>
      <c r="R6" s="29"/>
      <c r="S6" s="35">
        <v>1.8031746031746001</v>
      </c>
      <c r="T6" s="28">
        <v>100</v>
      </c>
      <c r="U6" s="36">
        <v>75</v>
      </c>
      <c r="V6" s="37" t="s">
        <v>231</v>
      </c>
      <c r="W6" s="28">
        <v>0</v>
      </c>
      <c r="X6" s="38">
        <f t="shared" si="9"/>
        <v>0</v>
      </c>
      <c r="Y6" s="39">
        <f t="shared" si="10"/>
        <v>0</v>
      </c>
      <c r="Z6" s="28">
        <v>0</v>
      </c>
      <c r="AA6" s="28" t="s">
        <v>34</v>
      </c>
      <c r="AB6" s="40">
        <f t="shared" si="11"/>
        <v>-0.69</v>
      </c>
      <c r="AC6" s="41">
        <v>5.4241898148148157E-2</v>
      </c>
      <c r="AD6" s="39">
        <f t="shared" si="12"/>
        <v>-0.59883055555555564</v>
      </c>
      <c r="AE6" s="39">
        <v>-3.48</v>
      </c>
      <c r="AF6" s="39">
        <v>-1.39</v>
      </c>
      <c r="AG6" s="39">
        <v>0</v>
      </c>
    </row>
    <row r="7" spans="1:33" ht="15.75" customHeight="1" x14ac:dyDescent="0.2">
      <c r="A7" s="28" t="s">
        <v>40</v>
      </c>
      <c r="B7" s="28" t="s">
        <v>131</v>
      </c>
      <c r="C7" s="15">
        <f t="shared" si="4"/>
        <v>12.5</v>
      </c>
      <c r="D7" s="29">
        <v>3</v>
      </c>
      <c r="E7" s="29">
        <v>0</v>
      </c>
      <c r="F7" s="30">
        <v>37.5</v>
      </c>
      <c r="G7" s="30">
        <v>0</v>
      </c>
      <c r="H7" s="31">
        <f t="shared" si="1"/>
        <v>0</v>
      </c>
      <c r="I7" s="31">
        <f t="shared" si="2"/>
        <v>0.45441169444444446</v>
      </c>
      <c r="J7" s="32">
        <f t="shared" si="5"/>
        <v>17.040438541666667</v>
      </c>
      <c r="K7" s="32">
        <f t="shared" si="3"/>
        <v>5.680146180555556</v>
      </c>
      <c r="L7" s="29">
        <v>8</v>
      </c>
      <c r="M7" s="33">
        <f t="shared" si="6"/>
        <v>0.375</v>
      </c>
      <c r="N7" s="29">
        <v>0</v>
      </c>
      <c r="O7" s="34">
        <f t="shared" ref="O7:P7" si="15">D7/7</f>
        <v>0.42857142857142855</v>
      </c>
      <c r="P7" s="34">
        <f t="shared" si="15"/>
        <v>0</v>
      </c>
      <c r="Q7" s="29">
        <f t="shared" si="8"/>
        <v>0</v>
      </c>
      <c r="R7" s="29"/>
      <c r="S7" s="35" t="e">
        <v>#N/A</v>
      </c>
      <c r="T7" s="28">
        <v>100</v>
      </c>
      <c r="U7" s="36">
        <v>75</v>
      </c>
      <c r="V7" s="37" t="s">
        <v>464</v>
      </c>
      <c r="W7" s="28">
        <v>0</v>
      </c>
      <c r="X7" s="38">
        <f t="shared" si="9"/>
        <v>0</v>
      </c>
      <c r="Y7" s="39">
        <f t="shared" si="10"/>
        <v>0</v>
      </c>
      <c r="Z7" s="28">
        <v>0</v>
      </c>
      <c r="AA7" s="28" t="s">
        <v>34</v>
      </c>
      <c r="AB7" s="40">
        <f t="shared" si="11"/>
        <v>-0.69</v>
      </c>
      <c r="AC7" s="41">
        <v>5.4241898148148157E-2</v>
      </c>
      <c r="AD7" s="39">
        <f t="shared" si="12"/>
        <v>-0.22456145833333335</v>
      </c>
      <c r="AE7" s="39">
        <v>-3.48</v>
      </c>
      <c r="AF7" s="39">
        <v>-1.39</v>
      </c>
      <c r="AG7" s="39">
        <v>0</v>
      </c>
    </row>
    <row r="8" spans="1:33" ht="15.75" customHeight="1" x14ac:dyDescent="0.2">
      <c r="A8" s="28" t="s">
        <v>42</v>
      </c>
      <c r="B8" s="28" t="s">
        <v>465</v>
      </c>
      <c r="C8" s="15">
        <f t="shared" si="4"/>
        <v>12.82</v>
      </c>
      <c r="D8" s="29">
        <v>2</v>
      </c>
      <c r="E8" s="29">
        <v>0</v>
      </c>
      <c r="F8" s="30">
        <v>25.64</v>
      </c>
      <c r="G8" s="30">
        <v>0</v>
      </c>
      <c r="H8" s="31">
        <f t="shared" si="1"/>
        <v>0</v>
      </c>
      <c r="I8" s="31">
        <f t="shared" si="2"/>
        <v>0.46428597352227413</v>
      </c>
      <c r="J8" s="32">
        <f t="shared" si="5"/>
        <v>11.904292361111109</v>
      </c>
      <c r="K8" s="32">
        <f t="shared" si="3"/>
        <v>5.9521461805555544</v>
      </c>
      <c r="L8" s="29">
        <v>0</v>
      </c>
      <c r="M8" s="33" t="str">
        <f t="shared" si="6"/>
        <v>-</v>
      </c>
      <c r="N8" s="29">
        <v>50</v>
      </c>
      <c r="O8" s="34">
        <f t="shared" ref="O8:P8" si="16">D8/7</f>
        <v>0.2857142857142857</v>
      </c>
      <c r="P8" s="34">
        <f t="shared" si="16"/>
        <v>0</v>
      </c>
      <c r="Q8" s="29">
        <f t="shared" si="8"/>
        <v>175</v>
      </c>
      <c r="R8" s="29"/>
      <c r="S8" s="35">
        <v>1.6406779661016899</v>
      </c>
      <c r="T8" s="28">
        <v>25</v>
      </c>
      <c r="U8" s="36">
        <v>25</v>
      </c>
      <c r="V8" s="37" t="s">
        <v>466</v>
      </c>
      <c r="W8" s="28">
        <v>0</v>
      </c>
      <c r="X8" s="38">
        <f t="shared" si="9"/>
        <v>0</v>
      </c>
      <c r="Y8" s="39">
        <f t="shared" si="10"/>
        <v>0</v>
      </c>
      <c r="Z8" s="28">
        <v>0</v>
      </c>
      <c r="AA8" s="28" t="s">
        <v>34</v>
      </c>
      <c r="AB8" s="40">
        <f t="shared" si="11"/>
        <v>-0.69</v>
      </c>
      <c r="AC8" s="41">
        <v>5.4241898148148157E-2</v>
      </c>
      <c r="AD8" s="39">
        <f t="shared" si="12"/>
        <v>-0.14970763888888891</v>
      </c>
      <c r="AE8" s="39">
        <v>-3.48</v>
      </c>
      <c r="AF8" s="39">
        <v>-1.39</v>
      </c>
      <c r="AG8" s="39">
        <v>0</v>
      </c>
    </row>
    <row r="9" spans="1:33" ht="15.75" customHeight="1" x14ac:dyDescent="0.2">
      <c r="A9" s="28" t="s">
        <v>44</v>
      </c>
      <c r="B9" s="28" t="s">
        <v>194</v>
      </c>
      <c r="C9" s="15">
        <f t="shared" si="4"/>
        <v>13.077777777777778</v>
      </c>
      <c r="D9" s="29">
        <v>9</v>
      </c>
      <c r="E9" s="29">
        <v>0</v>
      </c>
      <c r="F9" s="30">
        <v>117.7</v>
      </c>
      <c r="G9" s="30">
        <v>0</v>
      </c>
      <c r="H9" s="31">
        <f t="shared" si="1"/>
        <v>0</v>
      </c>
      <c r="I9" s="31">
        <f t="shared" si="2"/>
        <v>0.47188883283772298</v>
      </c>
      <c r="J9" s="32">
        <f t="shared" si="5"/>
        <v>55.541315624999996</v>
      </c>
      <c r="K9" s="32">
        <f t="shared" si="3"/>
        <v>6.1712572916666666</v>
      </c>
      <c r="L9" s="29">
        <v>47</v>
      </c>
      <c r="M9" s="33">
        <f t="shared" si="6"/>
        <v>0.19148936170212766</v>
      </c>
      <c r="N9" s="29">
        <v>41</v>
      </c>
      <c r="O9" s="34">
        <f t="shared" ref="O9:P9" si="17">D9/7</f>
        <v>1.2857142857142858</v>
      </c>
      <c r="P9" s="34">
        <f t="shared" si="17"/>
        <v>0</v>
      </c>
      <c r="Q9" s="29">
        <f t="shared" si="8"/>
        <v>31</v>
      </c>
      <c r="R9" s="29"/>
      <c r="S9" s="35">
        <v>1.8412698412698401</v>
      </c>
      <c r="T9" s="28">
        <v>25</v>
      </c>
      <c r="U9" s="36">
        <v>25</v>
      </c>
      <c r="V9" s="37" t="s">
        <v>467</v>
      </c>
      <c r="W9" s="28">
        <v>0</v>
      </c>
      <c r="X9" s="38">
        <f t="shared" si="9"/>
        <v>0</v>
      </c>
      <c r="Y9" s="39">
        <f t="shared" si="10"/>
        <v>0</v>
      </c>
      <c r="Z9" s="28">
        <v>0</v>
      </c>
      <c r="AA9" s="28" t="s">
        <v>34</v>
      </c>
      <c r="AB9" s="40">
        <f t="shared" si="11"/>
        <v>-0.69</v>
      </c>
      <c r="AC9" s="41">
        <v>5.4241898148148157E-2</v>
      </c>
      <c r="AD9" s="39">
        <f t="shared" si="12"/>
        <v>-0.67368437500000011</v>
      </c>
      <c r="AE9" s="39">
        <v>-3.48</v>
      </c>
      <c r="AF9" s="39">
        <v>-1.39</v>
      </c>
      <c r="AG9" s="39">
        <v>0</v>
      </c>
    </row>
    <row r="10" spans="1:33" ht="15.75" customHeight="1" x14ac:dyDescent="0.2">
      <c r="A10" s="28" t="s">
        <v>46</v>
      </c>
      <c r="B10" s="28" t="s">
        <v>468</v>
      </c>
      <c r="C10" s="15">
        <f t="shared" si="4"/>
        <v>12.623333333333333</v>
      </c>
      <c r="D10" s="29">
        <v>3</v>
      </c>
      <c r="E10" s="29">
        <v>0</v>
      </c>
      <c r="F10" s="30">
        <v>37.869999999999997</v>
      </c>
      <c r="G10" s="30">
        <v>-0.08</v>
      </c>
      <c r="H10" s="31">
        <f t="shared" si="1"/>
        <v>2.112490097702667E-3</v>
      </c>
      <c r="I10" s="31">
        <f t="shared" si="2"/>
        <v>0.44831874437177172</v>
      </c>
      <c r="J10" s="32">
        <f t="shared" si="5"/>
        <v>16.977830849358995</v>
      </c>
      <c r="K10" s="32">
        <f t="shared" si="3"/>
        <v>5.6592769497863316</v>
      </c>
      <c r="L10" s="29">
        <v>32</v>
      </c>
      <c r="M10" s="33">
        <f t="shared" si="6"/>
        <v>9.375E-2</v>
      </c>
      <c r="N10" s="29">
        <v>61</v>
      </c>
      <c r="O10" s="34">
        <f t="shared" ref="O10:P10" si="18">D10/7</f>
        <v>0.42857142857142855</v>
      </c>
      <c r="P10" s="34">
        <f t="shared" si="18"/>
        <v>0</v>
      </c>
      <c r="Q10" s="29">
        <f t="shared" si="8"/>
        <v>142</v>
      </c>
      <c r="R10" s="29"/>
      <c r="S10" s="35">
        <v>1.9246861924686101</v>
      </c>
      <c r="T10" s="28">
        <v>25</v>
      </c>
      <c r="U10" s="36">
        <v>25</v>
      </c>
      <c r="V10" s="37" t="s">
        <v>469</v>
      </c>
      <c r="W10" s="28">
        <v>0</v>
      </c>
      <c r="X10" s="38">
        <f t="shared" si="9"/>
        <v>0</v>
      </c>
      <c r="Y10" s="39">
        <f t="shared" si="10"/>
        <v>0</v>
      </c>
      <c r="Z10" s="28">
        <v>0</v>
      </c>
      <c r="AA10" s="28" t="s">
        <v>34</v>
      </c>
      <c r="AB10" s="40">
        <f t="shared" si="11"/>
        <v>-0.69</v>
      </c>
      <c r="AC10" s="41">
        <v>5.4241898148148157E-2</v>
      </c>
      <c r="AD10" s="39">
        <f t="shared" si="12"/>
        <v>-0.22456145833333335</v>
      </c>
      <c r="AE10" s="39">
        <v>-3.48</v>
      </c>
      <c r="AF10" s="39">
        <v>-1.4890358974358899</v>
      </c>
      <c r="AG10" s="39">
        <v>0</v>
      </c>
    </row>
    <row r="11" spans="1:33" ht="15.75" customHeight="1" x14ac:dyDescent="0.2">
      <c r="A11" s="28" t="s">
        <v>48</v>
      </c>
      <c r="B11" s="28" t="s">
        <v>470</v>
      </c>
      <c r="C11" s="15">
        <f t="shared" si="4"/>
        <v>11.77</v>
      </c>
      <c r="D11" s="29">
        <v>1</v>
      </c>
      <c r="E11" s="29">
        <v>0</v>
      </c>
      <c r="F11" s="30">
        <v>11.77</v>
      </c>
      <c r="G11" s="30">
        <v>-0.06</v>
      </c>
      <c r="H11" s="31">
        <f t="shared" si="1"/>
        <v>5.0977060322854716E-3</v>
      </c>
      <c r="I11" s="31">
        <f t="shared" si="2"/>
        <v>0.41636451003565539</v>
      </c>
      <c r="J11" s="32">
        <f t="shared" si="5"/>
        <v>4.9006102831196641</v>
      </c>
      <c r="K11" s="32">
        <f t="shared" si="3"/>
        <v>4.9006102831196641</v>
      </c>
      <c r="L11" s="29">
        <v>0</v>
      </c>
      <c r="M11" s="33" t="str">
        <f t="shared" si="6"/>
        <v>-</v>
      </c>
      <c r="N11" s="29">
        <v>56</v>
      </c>
      <c r="O11" s="34">
        <f t="shared" ref="O11:P11" si="19">D11/7</f>
        <v>0.14285714285714285</v>
      </c>
      <c r="P11" s="34">
        <f t="shared" si="19"/>
        <v>0</v>
      </c>
      <c r="Q11" s="29">
        <f t="shared" si="8"/>
        <v>392</v>
      </c>
      <c r="R11" s="29"/>
      <c r="S11" s="35">
        <v>2.0289855072463698</v>
      </c>
      <c r="T11" s="28">
        <v>275</v>
      </c>
      <c r="U11" s="36">
        <v>25</v>
      </c>
      <c r="V11" s="37" t="s">
        <v>471</v>
      </c>
      <c r="W11" s="28">
        <v>0</v>
      </c>
      <c r="X11" s="38">
        <f t="shared" si="9"/>
        <v>0</v>
      </c>
      <c r="Y11" s="39">
        <f t="shared" si="10"/>
        <v>0</v>
      </c>
      <c r="Z11" s="28">
        <v>0</v>
      </c>
      <c r="AA11" s="28" t="s">
        <v>34</v>
      </c>
      <c r="AB11" s="40">
        <f t="shared" si="11"/>
        <v>-0.69</v>
      </c>
      <c r="AC11" s="41">
        <v>5.4241898148148157E-2</v>
      </c>
      <c r="AD11" s="39">
        <f t="shared" si="12"/>
        <v>-7.4853819444444455E-2</v>
      </c>
      <c r="AE11" s="39">
        <v>-3.48</v>
      </c>
      <c r="AF11" s="39">
        <v>-1.4890358974358899</v>
      </c>
      <c r="AG11" s="39">
        <v>0</v>
      </c>
    </row>
    <row r="12" spans="1:33" ht="15.75" customHeight="1" x14ac:dyDescent="0.2">
      <c r="A12" s="28" t="s">
        <v>49</v>
      </c>
      <c r="B12" s="28" t="s">
        <v>472</v>
      </c>
      <c r="C12" s="15">
        <f t="shared" si="4"/>
        <v>11.5</v>
      </c>
      <c r="D12" s="29">
        <v>5</v>
      </c>
      <c r="E12" s="29">
        <v>0</v>
      </c>
      <c r="F12" s="30">
        <v>57.5</v>
      </c>
      <c r="G12" s="30">
        <v>-0.15000000000000002</v>
      </c>
      <c r="H12" s="31">
        <f t="shared" si="1"/>
        <v>2.6086956521739132E-3</v>
      </c>
      <c r="I12" s="31">
        <f t="shared" si="2"/>
        <v>0.40879219853214488</v>
      </c>
      <c r="J12" s="32">
        <f t="shared" si="5"/>
        <v>23.50555141559833</v>
      </c>
      <c r="K12" s="32">
        <f t="shared" si="3"/>
        <v>4.7011102831196663</v>
      </c>
      <c r="L12" s="29">
        <v>19</v>
      </c>
      <c r="M12" s="33">
        <f t="shared" si="6"/>
        <v>0.26315789473684209</v>
      </c>
      <c r="N12" s="29">
        <v>55</v>
      </c>
      <c r="O12" s="34">
        <f t="shared" ref="O12:P12" si="20">D12/7</f>
        <v>0.7142857142857143</v>
      </c>
      <c r="P12" s="34">
        <f t="shared" si="20"/>
        <v>0</v>
      </c>
      <c r="Q12" s="29">
        <f t="shared" si="8"/>
        <v>77</v>
      </c>
      <c r="R12" s="29"/>
      <c r="S12" s="35">
        <v>2.1224489795918302</v>
      </c>
      <c r="T12" s="28">
        <v>250</v>
      </c>
      <c r="U12" s="36" t="s">
        <v>33</v>
      </c>
      <c r="V12" s="37" t="s">
        <v>33</v>
      </c>
      <c r="W12" s="28">
        <v>0</v>
      </c>
      <c r="X12" s="38">
        <f t="shared" si="9"/>
        <v>0</v>
      </c>
      <c r="Y12" s="39">
        <f t="shared" si="10"/>
        <v>0</v>
      </c>
      <c r="Z12" s="28">
        <v>0</v>
      </c>
      <c r="AA12" s="28" t="s">
        <v>34</v>
      </c>
      <c r="AB12" s="40">
        <f t="shared" si="11"/>
        <v>-0.69</v>
      </c>
      <c r="AC12" s="41">
        <v>5.4241898148148157E-2</v>
      </c>
      <c r="AD12" s="39">
        <f t="shared" si="12"/>
        <v>-0.37426909722222229</v>
      </c>
      <c r="AE12" s="39">
        <v>-3.48</v>
      </c>
      <c r="AF12" s="39">
        <v>-1.4890358974358899</v>
      </c>
      <c r="AG12" s="39">
        <v>0</v>
      </c>
    </row>
    <row r="13" spans="1:33" ht="15.75" customHeight="1" x14ac:dyDescent="0.2">
      <c r="A13" s="28" t="s">
        <v>50</v>
      </c>
      <c r="B13" s="28" t="s">
        <v>47</v>
      </c>
      <c r="C13" s="15">
        <f t="shared" si="4"/>
        <v>11.147500000000001</v>
      </c>
      <c r="D13" s="29">
        <v>8</v>
      </c>
      <c r="E13" s="29">
        <v>0</v>
      </c>
      <c r="F13" s="32">
        <v>89.18</v>
      </c>
      <c r="G13" s="30">
        <v>0</v>
      </c>
      <c r="H13" s="31">
        <f t="shared" si="1"/>
        <v>0</v>
      </c>
      <c r="I13" s="31">
        <f t="shared" si="2"/>
        <v>0.39622526849567746</v>
      </c>
      <c r="J13" s="32">
        <f t="shared" si="5"/>
        <v>35.335369444444517</v>
      </c>
      <c r="K13" s="32">
        <f t="shared" si="3"/>
        <v>4.4169211805555646</v>
      </c>
      <c r="L13" s="29">
        <v>19</v>
      </c>
      <c r="M13" s="33">
        <f t="shared" si="6"/>
        <v>0.42105263157894735</v>
      </c>
      <c r="N13" s="29">
        <v>74</v>
      </c>
      <c r="O13" s="34">
        <f t="shared" ref="O13:P13" si="21">D13/7</f>
        <v>1.1428571428571428</v>
      </c>
      <c r="P13" s="34">
        <f t="shared" si="21"/>
        <v>0</v>
      </c>
      <c r="Q13" s="29">
        <f t="shared" si="8"/>
        <v>64</v>
      </c>
      <c r="R13" s="29"/>
      <c r="S13" s="35">
        <v>1.63706563706563</v>
      </c>
      <c r="T13" s="28">
        <v>250</v>
      </c>
      <c r="U13" s="36" t="s">
        <v>33</v>
      </c>
      <c r="V13" s="37" t="s">
        <v>33</v>
      </c>
      <c r="W13" s="28">
        <v>0</v>
      </c>
      <c r="X13" s="38">
        <f t="shared" si="9"/>
        <v>0</v>
      </c>
      <c r="Y13" s="39">
        <f t="shared" si="10"/>
        <v>0</v>
      </c>
      <c r="Z13" s="28">
        <v>0</v>
      </c>
      <c r="AA13" s="28" t="s">
        <v>34</v>
      </c>
      <c r="AB13" s="40">
        <f t="shared" si="11"/>
        <v>-0.69</v>
      </c>
      <c r="AC13" s="41">
        <v>5.4241898148148157E-2</v>
      </c>
      <c r="AD13" s="39">
        <f t="shared" si="12"/>
        <v>-0.59883055555555564</v>
      </c>
      <c r="AE13" s="39">
        <v>-3.48</v>
      </c>
      <c r="AF13" s="39">
        <v>-1.5035999999999901</v>
      </c>
      <c r="AG13" s="39">
        <v>0</v>
      </c>
    </row>
    <row r="14" spans="1:33" ht="15.75" customHeight="1" x14ac:dyDescent="0.2">
      <c r="A14" s="28" t="s">
        <v>51</v>
      </c>
      <c r="B14" s="28" t="s">
        <v>47</v>
      </c>
      <c r="C14" s="15">
        <f t="shared" si="4"/>
        <v>11</v>
      </c>
      <c r="D14" s="29">
        <v>6</v>
      </c>
      <c r="E14" s="29">
        <v>0</v>
      </c>
      <c r="F14" s="32">
        <v>66</v>
      </c>
      <c r="G14" s="30">
        <v>0</v>
      </c>
      <c r="H14" s="31">
        <f t="shared" si="1"/>
        <v>0</v>
      </c>
      <c r="I14" s="31">
        <f t="shared" si="2"/>
        <v>0.39014056186868779</v>
      </c>
      <c r="J14" s="32">
        <f t="shared" si="5"/>
        <v>25.749277083333393</v>
      </c>
      <c r="K14" s="32">
        <f t="shared" si="3"/>
        <v>4.2915461805555655</v>
      </c>
      <c r="L14" s="29">
        <v>22</v>
      </c>
      <c r="M14" s="33">
        <f t="shared" si="6"/>
        <v>0.27272727272727271</v>
      </c>
      <c r="N14" s="29">
        <v>69</v>
      </c>
      <c r="O14" s="34">
        <f t="shared" ref="O14:P14" si="22">D14/7</f>
        <v>0.8571428571428571</v>
      </c>
      <c r="P14" s="34">
        <f t="shared" si="22"/>
        <v>0</v>
      </c>
      <c r="Q14" s="29">
        <f t="shared" si="8"/>
        <v>80</v>
      </c>
      <c r="R14" s="29"/>
      <c r="S14" s="35">
        <v>1.7757847533632201</v>
      </c>
      <c r="T14" s="28">
        <v>250</v>
      </c>
      <c r="U14" s="36" t="s">
        <v>33</v>
      </c>
      <c r="V14" s="37" t="s">
        <v>33</v>
      </c>
      <c r="W14" s="28">
        <v>0</v>
      </c>
      <c r="X14" s="38">
        <f t="shared" si="9"/>
        <v>0</v>
      </c>
      <c r="Y14" s="39">
        <f t="shared" si="10"/>
        <v>0</v>
      </c>
      <c r="Z14" s="28">
        <v>0</v>
      </c>
      <c r="AA14" s="28" t="s">
        <v>34</v>
      </c>
      <c r="AB14" s="40">
        <f t="shared" si="11"/>
        <v>-0.69</v>
      </c>
      <c r="AC14" s="41">
        <v>5.4241898148148157E-2</v>
      </c>
      <c r="AD14" s="39">
        <f t="shared" si="12"/>
        <v>-0.4491229166666667</v>
      </c>
      <c r="AE14" s="39">
        <v>-3.48</v>
      </c>
      <c r="AF14" s="39">
        <v>-1.5035999999999901</v>
      </c>
      <c r="AG14" s="39">
        <v>0</v>
      </c>
    </row>
    <row r="15" spans="1:33" ht="15.75" customHeight="1" x14ac:dyDescent="0.2">
      <c r="A15" s="28" t="s">
        <v>53</v>
      </c>
      <c r="B15" s="28" t="s">
        <v>473</v>
      </c>
      <c r="C15" s="15">
        <f t="shared" si="4"/>
        <v>11.12</v>
      </c>
      <c r="D15" s="29">
        <v>2</v>
      </c>
      <c r="E15" s="29">
        <v>0</v>
      </c>
      <c r="F15" s="32">
        <v>22.24</v>
      </c>
      <c r="G15" s="30">
        <v>-0.08</v>
      </c>
      <c r="H15" s="31">
        <f t="shared" si="1"/>
        <v>3.5971223021582736E-3</v>
      </c>
      <c r="I15" s="31">
        <f t="shared" si="2"/>
        <v>0.3915059514888099</v>
      </c>
      <c r="J15" s="32">
        <f t="shared" si="5"/>
        <v>8.7070923611111315</v>
      </c>
      <c r="K15" s="32">
        <f t="shared" si="3"/>
        <v>4.3535461805555657</v>
      </c>
      <c r="L15" s="29">
        <v>25</v>
      </c>
      <c r="M15" s="33">
        <f t="shared" si="6"/>
        <v>0.08</v>
      </c>
      <c r="N15" s="29">
        <v>67</v>
      </c>
      <c r="O15" s="34">
        <f t="shared" ref="O15:P15" si="23">D15/7</f>
        <v>0.2857142857142857</v>
      </c>
      <c r="P15" s="34">
        <f t="shared" si="23"/>
        <v>0</v>
      </c>
      <c r="Q15" s="29">
        <f t="shared" si="8"/>
        <v>234</v>
      </c>
      <c r="R15" s="29"/>
      <c r="S15" s="35">
        <v>2.0212765957446801</v>
      </c>
      <c r="T15" s="28">
        <v>250</v>
      </c>
      <c r="U15" s="36" t="s">
        <v>33</v>
      </c>
      <c r="V15" s="37" t="s">
        <v>33</v>
      </c>
      <c r="W15" s="28">
        <v>0</v>
      </c>
      <c r="X15" s="38">
        <f t="shared" si="9"/>
        <v>0</v>
      </c>
      <c r="Y15" s="39">
        <f t="shared" si="10"/>
        <v>0</v>
      </c>
      <c r="Z15" s="28">
        <v>0</v>
      </c>
      <c r="AA15" s="28" t="s">
        <v>34</v>
      </c>
      <c r="AB15" s="40">
        <f t="shared" si="11"/>
        <v>-0.69</v>
      </c>
      <c r="AC15" s="41">
        <v>5.4241898148148157E-2</v>
      </c>
      <c r="AD15" s="39">
        <f t="shared" si="12"/>
        <v>-0.14970763888888891</v>
      </c>
      <c r="AE15" s="39">
        <v>-3.48</v>
      </c>
      <c r="AF15" s="39">
        <v>-1.5035999999999901</v>
      </c>
      <c r="AG15" s="39">
        <v>0</v>
      </c>
    </row>
    <row r="16" spans="1:33" ht="15.75" customHeight="1" x14ac:dyDescent="0.2">
      <c r="A16" s="28" t="s">
        <v>54</v>
      </c>
      <c r="B16" s="28" t="s">
        <v>47</v>
      </c>
      <c r="C16" s="15">
        <f t="shared" si="4"/>
        <v>10.163333333333334</v>
      </c>
      <c r="D16" s="29">
        <v>6</v>
      </c>
      <c r="E16" s="29">
        <v>0</v>
      </c>
      <c r="F16" s="32">
        <v>60.980000000000004</v>
      </c>
      <c r="G16" s="30">
        <v>0</v>
      </c>
      <c r="H16" s="31">
        <f t="shared" si="1"/>
        <v>0</v>
      </c>
      <c r="I16" s="31">
        <f t="shared" si="2"/>
        <v>0.35228397972012782</v>
      </c>
      <c r="J16" s="32">
        <f t="shared" si="5"/>
        <v>21.482277083333397</v>
      </c>
      <c r="K16" s="32">
        <f t="shared" si="3"/>
        <v>3.5803795138888996</v>
      </c>
      <c r="L16" s="29">
        <v>20</v>
      </c>
      <c r="M16" s="33">
        <f t="shared" si="6"/>
        <v>0.3</v>
      </c>
      <c r="N16" s="29">
        <v>63</v>
      </c>
      <c r="O16" s="34">
        <f t="shared" ref="O16:P16" si="24">D16/7</f>
        <v>0.8571428571428571</v>
      </c>
      <c r="P16" s="34">
        <f t="shared" si="24"/>
        <v>0</v>
      </c>
      <c r="Q16" s="29">
        <f t="shared" si="8"/>
        <v>73</v>
      </c>
      <c r="R16" s="29"/>
      <c r="S16" s="35">
        <v>2.1040462427745599</v>
      </c>
      <c r="T16" s="28">
        <v>250</v>
      </c>
      <c r="U16" s="36" t="s">
        <v>33</v>
      </c>
      <c r="V16" s="37" t="s">
        <v>33</v>
      </c>
      <c r="W16" s="28">
        <v>0</v>
      </c>
      <c r="X16" s="38">
        <f t="shared" si="9"/>
        <v>0</v>
      </c>
      <c r="Y16" s="39">
        <f t="shared" si="10"/>
        <v>0</v>
      </c>
      <c r="Z16" s="28">
        <v>0</v>
      </c>
      <c r="AA16" s="28" t="s">
        <v>34</v>
      </c>
      <c r="AB16" s="40">
        <f t="shared" si="11"/>
        <v>-0.69</v>
      </c>
      <c r="AC16" s="41">
        <v>5.4241898148148157E-2</v>
      </c>
      <c r="AD16" s="39">
        <f t="shared" si="12"/>
        <v>-0.4491229166666667</v>
      </c>
      <c r="AE16" s="39">
        <v>-3.48</v>
      </c>
      <c r="AF16" s="39">
        <v>-1.5035999999999901</v>
      </c>
      <c r="AG16" s="39">
        <v>0</v>
      </c>
    </row>
    <row r="17" spans="1:33" ht="15.75" customHeight="1" x14ac:dyDescent="0.2">
      <c r="A17" s="28" t="s">
        <v>55</v>
      </c>
      <c r="B17" s="28" t="s">
        <v>47</v>
      </c>
      <c r="C17" s="15">
        <f t="shared" si="4"/>
        <v>9.9920000000000009</v>
      </c>
      <c r="D17" s="29">
        <v>5</v>
      </c>
      <c r="E17" s="29">
        <v>0</v>
      </c>
      <c r="F17" s="32">
        <v>49.96</v>
      </c>
      <c r="G17" s="30">
        <v>0</v>
      </c>
      <c r="H17" s="31">
        <f t="shared" si="1"/>
        <v>0</v>
      </c>
      <c r="I17" s="31">
        <f t="shared" si="2"/>
        <v>0.34374961774975643</v>
      </c>
      <c r="J17" s="32">
        <f t="shared" si="5"/>
        <v>17.17373090277783</v>
      </c>
      <c r="K17" s="32">
        <f t="shared" si="3"/>
        <v>3.4347461805555661</v>
      </c>
      <c r="L17" s="29">
        <v>20</v>
      </c>
      <c r="M17" s="33">
        <f t="shared" si="6"/>
        <v>0.25</v>
      </c>
      <c r="N17" s="29">
        <v>56</v>
      </c>
      <c r="O17" s="34">
        <f t="shared" ref="O17:P17" si="25">D17/7</f>
        <v>0.7142857142857143</v>
      </c>
      <c r="P17" s="34">
        <f t="shared" si="25"/>
        <v>0</v>
      </c>
      <c r="Q17" s="29">
        <f t="shared" si="8"/>
        <v>78</v>
      </c>
      <c r="R17" s="29"/>
      <c r="S17" s="35">
        <v>1.53303964757709</v>
      </c>
      <c r="T17" s="28">
        <v>250</v>
      </c>
      <c r="U17" s="36" t="s">
        <v>33</v>
      </c>
      <c r="V17" s="37" t="s">
        <v>33</v>
      </c>
      <c r="W17" s="28">
        <v>0</v>
      </c>
      <c r="X17" s="38">
        <f t="shared" si="9"/>
        <v>0</v>
      </c>
      <c r="Y17" s="39">
        <f t="shared" si="10"/>
        <v>0</v>
      </c>
      <c r="Z17" s="28">
        <v>0</v>
      </c>
      <c r="AA17" s="28" t="s">
        <v>34</v>
      </c>
      <c r="AB17" s="40">
        <f t="shared" si="11"/>
        <v>-0.69</v>
      </c>
      <c r="AC17" s="41">
        <v>5.4241898148148157E-2</v>
      </c>
      <c r="AD17" s="39">
        <f t="shared" si="12"/>
        <v>-0.37426909722222229</v>
      </c>
      <c r="AE17" s="39">
        <v>-3.48</v>
      </c>
      <c r="AF17" s="39">
        <v>-1.5035999999999901</v>
      </c>
      <c r="AG17" s="39">
        <v>0</v>
      </c>
    </row>
    <row r="18" spans="1:33" ht="15.75" customHeight="1" x14ac:dyDescent="0.2">
      <c r="A18" s="28" t="s">
        <v>56</v>
      </c>
      <c r="B18" s="28" t="s">
        <v>47</v>
      </c>
      <c r="C18" s="15">
        <f t="shared" si="4"/>
        <v>9.99</v>
      </c>
      <c r="D18" s="29">
        <v>9</v>
      </c>
      <c r="E18" s="29">
        <v>1</v>
      </c>
      <c r="F18" s="32">
        <v>89.91</v>
      </c>
      <c r="G18" s="30">
        <v>-0.06</v>
      </c>
      <c r="H18" s="31">
        <f t="shared" si="1"/>
        <v>6.6733400066733403E-4</v>
      </c>
      <c r="I18" s="31">
        <f t="shared" si="2"/>
        <v>0.34298093232121096</v>
      </c>
      <c r="J18" s="32">
        <f t="shared" si="5"/>
        <v>30.837415625000077</v>
      </c>
      <c r="K18" s="32">
        <f t="shared" si="3"/>
        <v>3.4263795138888975</v>
      </c>
      <c r="L18" s="29">
        <v>22</v>
      </c>
      <c r="M18" s="33">
        <f t="shared" si="6"/>
        <v>0.40909090909090912</v>
      </c>
      <c r="N18" s="29">
        <v>46</v>
      </c>
      <c r="O18" s="34">
        <f t="shared" ref="O18:P18" si="26">D18/7</f>
        <v>1.2857142857142858</v>
      </c>
      <c r="P18" s="34">
        <f t="shared" si="26"/>
        <v>0.14285714285714285</v>
      </c>
      <c r="Q18" s="29">
        <f t="shared" si="8"/>
        <v>32</v>
      </c>
      <c r="R18" s="29"/>
      <c r="S18" s="35">
        <v>1.57777777777777</v>
      </c>
      <c r="T18" s="28">
        <v>250</v>
      </c>
      <c r="U18" s="36">
        <v>0</v>
      </c>
      <c r="V18" s="37" t="s">
        <v>391</v>
      </c>
      <c r="W18" s="28">
        <v>0</v>
      </c>
      <c r="X18" s="38">
        <f t="shared" si="9"/>
        <v>0</v>
      </c>
      <c r="Y18" s="39">
        <f t="shared" si="10"/>
        <v>0</v>
      </c>
      <c r="Z18" s="28">
        <v>0</v>
      </c>
      <c r="AA18" s="28" t="s">
        <v>34</v>
      </c>
      <c r="AB18" s="40">
        <f t="shared" si="11"/>
        <v>-0.69</v>
      </c>
      <c r="AC18" s="41">
        <v>5.4241898148148157E-2</v>
      </c>
      <c r="AD18" s="39">
        <f t="shared" si="12"/>
        <v>-0.67368437500000011</v>
      </c>
      <c r="AE18" s="39">
        <v>-3.48</v>
      </c>
      <c r="AF18" s="39">
        <v>-1.5035999999999901</v>
      </c>
      <c r="AG18" s="39">
        <v>0</v>
      </c>
    </row>
    <row r="19" spans="1:33" ht="15.75" customHeight="1" x14ac:dyDescent="0.2">
      <c r="A19" s="28" t="s">
        <v>57</v>
      </c>
      <c r="B19" s="28" t="s">
        <v>47</v>
      </c>
      <c r="C19" s="15">
        <f t="shared" si="4"/>
        <v>9.99</v>
      </c>
      <c r="D19" s="29">
        <v>6</v>
      </c>
      <c r="E19" s="29">
        <v>0</v>
      </c>
      <c r="F19" s="32">
        <v>59.940000000000005</v>
      </c>
      <c r="G19" s="30">
        <v>-0.08</v>
      </c>
      <c r="H19" s="31">
        <f t="shared" si="1"/>
        <v>1.3346680013346678E-3</v>
      </c>
      <c r="I19" s="31">
        <f t="shared" si="2"/>
        <v>0.33535664136358589</v>
      </c>
      <c r="J19" s="32">
        <f t="shared" si="5"/>
        <v>20.10127708333334</v>
      </c>
      <c r="K19" s="32">
        <f t="shared" si="3"/>
        <v>3.3502128472222235</v>
      </c>
      <c r="L19" s="29">
        <v>27</v>
      </c>
      <c r="M19" s="33">
        <f t="shared" si="6"/>
        <v>0.22222222222222221</v>
      </c>
      <c r="N19" s="29">
        <v>43</v>
      </c>
      <c r="O19" s="34">
        <f t="shared" ref="O19:P19" si="27">D19/7</f>
        <v>0.8571428571428571</v>
      </c>
      <c r="P19" s="34">
        <f t="shared" si="27"/>
        <v>0</v>
      </c>
      <c r="Q19" s="29">
        <f t="shared" si="8"/>
        <v>50</v>
      </c>
      <c r="R19" s="29"/>
      <c r="S19" s="35">
        <v>1.3978494623655899</v>
      </c>
      <c r="T19" s="28">
        <v>250</v>
      </c>
      <c r="U19" s="36">
        <v>100</v>
      </c>
      <c r="V19" s="37" t="s">
        <v>392</v>
      </c>
      <c r="W19" s="28">
        <v>1</v>
      </c>
      <c r="X19" s="38">
        <f t="shared" si="9"/>
        <v>0.16666666666666666</v>
      </c>
      <c r="Y19" s="39">
        <f t="shared" si="10"/>
        <v>0.08</v>
      </c>
      <c r="Z19" s="28">
        <v>0</v>
      </c>
      <c r="AA19" s="28" t="s">
        <v>34</v>
      </c>
      <c r="AB19" s="40">
        <f t="shared" si="11"/>
        <v>-0.69</v>
      </c>
      <c r="AC19" s="41">
        <v>5.4241898148148157E-2</v>
      </c>
      <c r="AD19" s="39">
        <f t="shared" si="12"/>
        <v>-0.4491229166666667</v>
      </c>
      <c r="AE19" s="39">
        <v>-3.48</v>
      </c>
      <c r="AF19" s="39">
        <v>-1.5730999999999999</v>
      </c>
      <c r="AG19" s="39">
        <v>0</v>
      </c>
    </row>
    <row r="20" spans="1:33" ht="15.75" customHeight="1" x14ac:dyDescent="0.2">
      <c r="A20" s="28" t="s">
        <v>58</v>
      </c>
      <c r="B20" s="28" t="s">
        <v>47</v>
      </c>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42</v>
      </c>
      <c r="O20" s="34">
        <f t="shared" ref="O20:P20" si="28">D20/7</f>
        <v>0</v>
      </c>
      <c r="P20" s="34">
        <f t="shared" si="28"/>
        <v>0</v>
      </c>
      <c r="Q20" s="29" t="e">
        <f t="shared" si="8"/>
        <v>#DIV/0!</v>
      </c>
      <c r="R20" s="29"/>
      <c r="S20" s="35">
        <v>1.5180722891566201</v>
      </c>
      <c r="T20" s="28">
        <v>250</v>
      </c>
      <c r="U20" s="36">
        <v>100</v>
      </c>
      <c r="V20" s="37" t="s">
        <v>474</v>
      </c>
      <c r="W20" s="28">
        <v>0</v>
      </c>
      <c r="X20" s="38">
        <f t="shared" si="9"/>
        <v>0</v>
      </c>
      <c r="Y20" s="39">
        <f t="shared" si="10"/>
        <v>0</v>
      </c>
      <c r="Z20" s="28">
        <v>0</v>
      </c>
      <c r="AA20" s="28" t="s">
        <v>34</v>
      </c>
      <c r="AB20" s="40">
        <f t="shared" si="11"/>
        <v>-0.69</v>
      </c>
      <c r="AC20" s="41">
        <v>5.4241898148148157E-2</v>
      </c>
      <c r="AD20" s="39">
        <f t="shared" si="12"/>
        <v>0</v>
      </c>
      <c r="AE20" s="39">
        <v>-3.48</v>
      </c>
      <c r="AF20" s="39">
        <v>-1.5730999999999999</v>
      </c>
      <c r="AG20" s="39">
        <v>0</v>
      </c>
    </row>
    <row r="21" spans="1:33" ht="15.75" customHeight="1" x14ac:dyDescent="0.2">
      <c r="A21" s="28" t="s">
        <v>59</v>
      </c>
      <c r="B21" s="28" t="s">
        <v>47</v>
      </c>
      <c r="C21" s="15">
        <f t="shared" si="4"/>
        <v>10.024545454545455</v>
      </c>
      <c r="D21" s="29">
        <v>11</v>
      </c>
      <c r="E21" s="29">
        <v>0</v>
      </c>
      <c r="F21" s="32">
        <v>110.27000000000001</v>
      </c>
      <c r="G21" s="30">
        <v>0</v>
      </c>
      <c r="H21" s="31">
        <f t="shared" si="1"/>
        <v>0</v>
      </c>
      <c r="I21" s="31">
        <f t="shared" si="2"/>
        <v>0.33846021570790874</v>
      </c>
      <c r="J21" s="32">
        <f t="shared" si="5"/>
        <v>37.322007986111103</v>
      </c>
      <c r="K21" s="32">
        <f t="shared" si="3"/>
        <v>3.3929098169191914</v>
      </c>
      <c r="L21" s="29">
        <v>12</v>
      </c>
      <c r="M21" s="33">
        <f t="shared" si="6"/>
        <v>0.91666666666666663</v>
      </c>
      <c r="N21" s="29">
        <v>33</v>
      </c>
      <c r="O21" s="34">
        <f t="shared" ref="O21:P21" si="29">D21/7</f>
        <v>1.5714285714285714</v>
      </c>
      <c r="P21" s="34">
        <f t="shared" si="29"/>
        <v>0</v>
      </c>
      <c r="Q21" s="29">
        <f t="shared" si="8"/>
        <v>21</v>
      </c>
      <c r="R21" s="29"/>
      <c r="S21" s="35">
        <v>1.3394495412844001</v>
      </c>
      <c r="T21" s="28">
        <v>250</v>
      </c>
      <c r="U21" s="36">
        <v>100</v>
      </c>
      <c r="V21" s="37" t="s">
        <v>475</v>
      </c>
      <c r="W21" s="28">
        <v>0</v>
      </c>
      <c r="X21" s="38">
        <f t="shared" si="9"/>
        <v>0</v>
      </c>
      <c r="Y21" s="39">
        <f t="shared" si="10"/>
        <v>0</v>
      </c>
      <c r="Z21" s="28">
        <v>0</v>
      </c>
      <c r="AA21" s="28" t="s">
        <v>34</v>
      </c>
      <c r="AB21" s="40">
        <f t="shared" si="11"/>
        <v>-0.69</v>
      </c>
      <c r="AC21" s="41">
        <v>5.4241898148148157E-2</v>
      </c>
      <c r="AD21" s="39">
        <f t="shared" si="12"/>
        <v>-0.82339201388888905</v>
      </c>
      <c r="AE21" s="39">
        <v>-3.48</v>
      </c>
      <c r="AF21" s="39">
        <v>-1.5730999999999999</v>
      </c>
      <c r="AG21" s="39">
        <v>0</v>
      </c>
    </row>
    <row r="22" spans="1:33" ht="15.75" customHeight="1" x14ac:dyDescent="0.2">
      <c r="A22" s="28" t="s">
        <v>60</v>
      </c>
      <c r="B22" s="28" t="s">
        <v>47</v>
      </c>
      <c r="C22" s="15">
        <f t="shared" si="4"/>
        <v>10.104166666666666</v>
      </c>
      <c r="D22" s="29">
        <v>12</v>
      </c>
      <c r="E22" s="29">
        <v>0</v>
      </c>
      <c r="F22" s="30">
        <v>121.24999999999999</v>
      </c>
      <c r="G22" s="30">
        <v>-0.14000000000000001</v>
      </c>
      <c r="H22" s="31">
        <f t="shared" si="1"/>
        <v>1.1546391752577322E-3</v>
      </c>
      <c r="I22" s="31">
        <f t="shared" si="2"/>
        <v>0.34133652920962193</v>
      </c>
      <c r="J22" s="32">
        <f t="shared" si="5"/>
        <v>41.387054166666651</v>
      </c>
      <c r="K22" s="32">
        <f t="shared" si="3"/>
        <v>3.4489211805555544</v>
      </c>
      <c r="L22" s="29">
        <v>30</v>
      </c>
      <c r="M22" s="33">
        <f t="shared" si="6"/>
        <v>0.4</v>
      </c>
      <c r="N22" s="29">
        <v>20</v>
      </c>
      <c r="O22" s="34">
        <f t="shared" ref="O22:P22" si="30">D22/7</f>
        <v>1.7142857142857142</v>
      </c>
      <c r="P22" s="34">
        <f t="shared" si="30"/>
        <v>0</v>
      </c>
      <c r="Q22" s="29">
        <f t="shared" si="8"/>
        <v>11</v>
      </c>
      <c r="R22" s="29"/>
      <c r="S22" s="35">
        <v>1.66120218579234</v>
      </c>
      <c r="T22" s="28">
        <v>200</v>
      </c>
      <c r="U22" s="36">
        <v>100</v>
      </c>
      <c r="V22" s="37" t="s">
        <v>395</v>
      </c>
      <c r="W22" s="28">
        <v>0</v>
      </c>
      <c r="X22" s="38">
        <f t="shared" si="9"/>
        <v>0</v>
      </c>
      <c r="Y22" s="39">
        <f t="shared" si="10"/>
        <v>7.0000000000000007E-2</v>
      </c>
      <c r="Z22" s="28">
        <v>2</v>
      </c>
      <c r="AA22" s="28" t="s">
        <v>34</v>
      </c>
      <c r="AB22" s="40">
        <f t="shared" si="11"/>
        <v>-0.69</v>
      </c>
      <c r="AC22" s="41">
        <v>5.4241898148148157E-2</v>
      </c>
      <c r="AD22" s="39">
        <f t="shared" si="12"/>
        <v>-0.89824583333333341</v>
      </c>
      <c r="AE22" s="39">
        <v>-3.48</v>
      </c>
      <c r="AF22" s="39">
        <v>-1.5730999999999999</v>
      </c>
      <c r="AG22" s="39">
        <v>0</v>
      </c>
    </row>
    <row r="23" spans="1:33" ht="15.75" customHeight="1" x14ac:dyDescent="0.2">
      <c r="A23" s="28" t="s">
        <v>62</v>
      </c>
      <c r="B23" s="28" t="s">
        <v>150</v>
      </c>
      <c r="C23" s="15">
        <f t="shared" si="4"/>
        <v>10.204444444444444</v>
      </c>
      <c r="D23" s="29">
        <v>9</v>
      </c>
      <c r="E23" s="29">
        <v>0</v>
      </c>
      <c r="F23" s="32">
        <v>91.84</v>
      </c>
      <c r="G23" s="30">
        <v>0</v>
      </c>
      <c r="H23" s="31">
        <f t="shared" si="1"/>
        <v>0</v>
      </c>
      <c r="I23" s="31">
        <f t="shared" si="2"/>
        <v>0.34747839312935547</v>
      </c>
      <c r="J23" s="32">
        <f t="shared" si="5"/>
        <v>31.912415625000008</v>
      </c>
      <c r="K23" s="32">
        <f t="shared" si="3"/>
        <v>3.5458239583333344</v>
      </c>
      <c r="L23" s="29">
        <v>26</v>
      </c>
      <c r="M23" s="33">
        <f t="shared" si="6"/>
        <v>0.34615384615384615</v>
      </c>
      <c r="N23" s="29">
        <v>12</v>
      </c>
      <c r="O23" s="34">
        <f t="shared" ref="O23:P23" si="31">D23/7</f>
        <v>1.2857142857142858</v>
      </c>
      <c r="P23" s="34">
        <f t="shared" si="31"/>
        <v>0</v>
      </c>
      <c r="Q23" s="29">
        <f t="shared" si="8"/>
        <v>9</v>
      </c>
      <c r="R23" s="29"/>
      <c r="S23" s="35">
        <v>1.59585492227979</v>
      </c>
      <c r="T23" s="28">
        <v>250</v>
      </c>
      <c r="U23" s="36">
        <v>100</v>
      </c>
      <c r="V23" s="37" t="s">
        <v>395</v>
      </c>
      <c r="W23" s="28">
        <v>0</v>
      </c>
      <c r="X23" s="38">
        <f t="shared" si="9"/>
        <v>0</v>
      </c>
      <c r="Y23" s="39">
        <f t="shared" si="10"/>
        <v>0</v>
      </c>
      <c r="Z23" s="28">
        <v>0</v>
      </c>
      <c r="AA23" s="28" t="s">
        <v>34</v>
      </c>
      <c r="AB23" s="40">
        <f t="shared" si="11"/>
        <v>-0.69</v>
      </c>
      <c r="AC23" s="41">
        <v>5.4241898148148157E-2</v>
      </c>
      <c r="AD23" s="39">
        <f t="shared" si="12"/>
        <v>-0.67368437500000011</v>
      </c>
      <c r="AE23" s="39">
        <v>-3.48</v>
      </c>
      <c r="AF23" s="39">
        <v>-1.5730999999999999</v>
      </c>
      <c r="AG23" s="39">
        <v>0</v>
      </c>
    </row>
    <row r="24" spans="1:33" ht="15.75" customHeight="1" x14ac:dyDescent="0.2">
      <c r="A24" s="28" t="s">
        <v>64</v>
      </c>
      <c r="B24" s="28"/>
      <c r="C24" s="15">
        <f t="shared" si="4"/>
        <v>9.9999999999999982</v>
      </c>
      <c r="D24" s="29">
        <v>10</v>
      </c>
      <c r="E24" s="29">
        <v>0</v>
      </c>
      <c r="F24" s="32">
        <v>99.999999999999986</v>
      </c>
      <c r="G24" s="32">
        <v>0</v>
      </c>
      <c r="H24" s="31">
        <f t="shared" si="1"/>
        <v>0</v>
      </c>
      <c r="I24" s="31">
        <f t="shared" si="2"/>
        <v>0.33720461805555557</v>
      </c>
      <c r="J24" s="32">
        <f t="shared" si="5"/>
        <v>33.720461805555551</v>
      </c>
      <c r="K24" s="32">
        <f t="shared" si="3"/>
        <v>3.3720461805555551</v>
      </c>
      <c r="L24" s="29">
        <v>27</v>
      </c>
      <c r="M24" s="33">
        <f t="shared" si="6"/>
        <v>0.37037037037037035</v>
      </c>
      <c r="N24" s="29">
        <v>2</v>
      </c>
      <c r="O24" s="34">
        <f t="shared" ref="O24:P24" si="32">D24/7</f>
        <v>1.4285714285714286</v>
      </c>
      <c r="P24" s="34">
        <f t="shared" si="32"/>
        <v>0</v>
      </c>
      <c r="Q24" s="29">
        <f t="shared" si="8"/>
        <v>1</v>
      </c>
      <c r="R24" s="29"/>
      <c r="S24" s="35">
        <v>1.92</v>
      </c>
      <c r="T24" s="28">
        <v>250</v>
      </c>
      <c r="U24" s="36">
        <v>100</v>
      </c>
      <c r="V24" s="37" t="s">
        <v>398</v>
      </c>
      <c r="W24" s="28">
        <v>0</v>
      </c>
      <c r="X24" s="38">
        <f t="shared" si="9"/>
        <v>0</v>
      </c>
      <c r="Y24" s="39">
        <f t="shared" si="10"/>
        <v>0</v>
      </c>
      <c r="Z24" s="28">
        <v>0</v>
      </c>
      <c r="AA24" s="28" t="s">
        <v>34</v>
      </c>
      <c r="AB24" s="40">
        <f t="shared" si="11"/>
        <v>-0.69</v>
      </c>
      <c r="AC24" s="41">
        <v>5.4241898148148157E-2</v>
      </c>
      <c r="AD24" s="39">
        <f t="shared" si="12"/>
        <v>-0.74853819444444458</v>
      </c>
      <c r="AE24" s="39">
        <v>-3.48</v>
      </c>
      <c r="AF24" s="39">
        <v>-1.5730999999999999</v>
      </c>
      <c r="AG24" s="39">
        <v>0</v>
      </c>
    </row>
    <row r="25" spans="1:33" ht="15.75" customHeight="1" x14ac:dyDescent="0.2">
      <c r="A25" s="28" t="s">
        <v>65</v>
      </c>
      <c r="B25" s="14" t="s">
        <v>52</v>
      </c>
      <c r="C25" s="15">
        <f t="shared" si="4"/>
        <v>9.99</v>
      </c>
      <c r="D25" s="29">
        <v>1</v>
      </c>
      <c r="E25" s="29">
        <v>0</v>
      </c>
      <c r="F25" s="32">
        <v>9.99</v>
      </c>
      <c r="G25" s="32">
        <v>-0.08</v>
      </c>
      <c r="H25" s="31">
        <f t="shared" si="1"/>
        <v>8.0080080080080079E-3</v>
      </c>
      <c r="I25" s="31">
        <f t="shared" si="2"/>
        <v>0.3289936116672228</v>
      </c>
      <c r="J25" s="32">
        <f t="shared" si="5"/>
        <v>3.2866461805555556</v>
      </c>
      <c r="K25" s="32">
        <f t="shared" si="3"/>
        <v>3.2866461805555556</v>
      </c>
      <c r="L25" s="29">
        <v>20</v>
      </c>
      <c r="M25" s="33">
        <f t="shared" si="6"/>
        <v>0.05</v>
      </c>
      <c r="N25" s="29">
        <v>0</v>
      </c>
      <c r="O25" s="34">
        <f t="shared" ref="O25:P25" si="33">D25/7</f>
        <v>0.14285714285714285</v>
      </c>
      <c r="P25" s="34">
        <f t="shared" si="33"/>
        <v>0</v>
      </c>
      <c r="Q25" s="29">
        <f t="shared" si="8"/>
        <v>0</v>
      </c>
      <c r="R25" s="29"/>
      <c r="S25" s="35">
        <v>0</v>
      </c>
      <c r="T25" s="28">
        <v>350</v>
      </c>
      <c r="U25" s="36">
        <v>100</v>
      </c>
      <c r="V25" s="37" t="s">
        <v>399</v>
      </c>
      <c r="W25" s="14">
        <v>0</v>
      </c>
      <c r="X25" s="38">
        <f t="shared" si="9"/>
        <v>0</v>
      </c>
      <c r="Y25" s="39">
        <f t="shared" si="10"/>
        <v>0</v>
      </c>
      <c r="Z25" s="14">
        <v>0</v>
      </c>
      <c r="AA25" s="28" t="s">
        <v>34</v>
      </c>
      <c r="AB25" s="40">
        <f t="shared" si="11"/>
        <v>-0.69</v>
      </c>
      <c r="AC25" s="41">
        <v>5.4241898148148157E-2</v>
      </c>
      <c r="AD25" s="39">
        <f t="shared" si="12"/>
        <v>-7.4853819444444455E-2</v>
      </c>
      <c r="AE25" s="39">
        <v>-3.48</v>
      </c>
      <c r="AF25" s="39">
        <v>-1.57</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250</v>
      </c>
      <c r="U26" s="36" t="s">
        <v>33</v>
      </c>
      <c r="V26" s="37" t="s">
        <v>33</v>
      </c>
      <c r="W26" s="14">
        <v>0</v>
      </c>
      <c r="X26" s="38">
        <f t="shared" si="9"/>
        <v>0</v>
      </c>
      <c r="Y26" s="39">
        <f t="shared" si="10"/>
        <v>0</v>
      </c>
      <c r="Z26" s="14">
        <v>0</v>
      </c>
      <c r="AA26" s="28" t="s">
        <v>34</v>
      </c>
      <c r="AB26" s="40">
        <f t="shared" si="11"/>
        <v>-0.69</v>
      </c>
      <c r="AC26" s="41">
        <v>5.4241898148148157E-2</v>
      </c>
      <c r="AD26" s="39">
        <f t="shared" si="12"/>
        <v>0</v>
      </c>
      <c r="AE26" s="25">
        <v>-3.48</v>
      </c>
      <c r="AF26" s="25">
        <v>-1.5787799999999901</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101</v>
      </c>
      <c r="O27" s="34">
        <f t="shared" ref="O27:P27" si="35">D27/7</f>
        <v>0</v>
      </c>
      <c r="P27" s="34">
        <f t="shared" si="35"/>
        <v>0</v>
      </c>
      <c r="Q27" s="29" t="e">
        <f t="shared" si="8"/>
        <v>#DIV/0!</v>
      </c>
      <c r="R27" s="29"/>
      <c r="S27" s="21">
        <v>1.2360515021459231</v>
      </c>
      <c r="T27" s="28">
        <v>250</v>
      </c>
      <c r="U27" s="36" t="s">
        <v>33</v>
      </c>
      <c r="V27" s="37" t="s">
        <v>33</v>
      </c>
      <c r="W27" s="14">
        <v>0</v>
      </c>
      <c r="X27" s="38">
        <f t="shared" si="9"/>
        <v>0</v>
      </c>
      <c r="Y27" s="39">
        <f t="shared" si="10"/>
        <v>0</v>
      </c>
      <c r="Z27" s="14">
        <v>0</v>
      </c>
      <c r="AA27" s="28" t="s">
        <v>34</v>
      </c>
      <c r="AB27" s="40">
        <f t="shared" si="11"/>
        <v>-0.69</v>
      </c>
      <c r="AC27" s="41">
        <v>5.4241898148148157E-2</v>
      </c>
      <c r="AD27" s="39">
        <f t="shared" si="12"/>
        <v>0</v>
      </c>
      <c r="AE27" s="25">
        <v>-3.48</v>
      </c>
      <c r="AF27" s="25">
        <v>-2.0407799999999998</v>
      </c>
      <c r="AG27" s="25">
        <v>0</v>
      </c>
    </row>
    <row r="28" spans="1:33" ht="15.75" customHeight="1" x14ac:dyDescent="0.2">
      <c r="A28" s="14" t="s">
        <v>71</v>
      </c>
      <c r="B28" s="14" t="s">
        <v>280</v>
      </c>
      <c r="C28" s="15">
        <f t="shared" si="4"/>
        <v>9.99</v>
      </c>
      <c r="D28" s="16">
        <v>2</v>
      </c>
      <c r="E28" s="16">
        <v>0</v>
      </c>
      <c r="F28" s="17">
        <v>19.98</v>
      </c>
      <c r="G28" s="17">
        <v>-0.08</v>
      </c>
      <c r="H28" s="31">
        <f t="shared" si="1"/>
        <v>4.004004004004004E-3</v>
      </c>
      <c r="I28" s="31">
        <f t="shared" si="2"/>
        <v>0.26985647453008577</v>
      </c>
      <c r="J28" s="32">
        <f t="shared" si="5"/>
        <v>5.3917323611111136</v>
      </c>
      <c r="K28" s="32">
        <f t="shared" si="3"/>
        <v>2.6958661805555568</v>
      </c>
      <c r="L28" s="16">
        <v>15</v>
      </c>
      <c r="M28" s="33">
        <f t="shared" si="6"/>
        <v>0.13333333333333333</v>
      </c>
      <c r="N28" s="16">
        <v>100</v>
      </c>
      <c r="O28" s="34">
        <f t="shared" ref="O28:P28" si="36">D28/7</f>
        <v>0.2857142857142857</v>
      </c>
      <c r="P28" s="34">
        <f t="shared" si="36"/>
        <v>0</v>
      </c>
      <c r="Q28" s="29">
        <f t="shared" si="8"/>
        <v>350</v>
      </c>
      <c r="R28" s="29"/>
      <c r="S28" s="21">
        <v>1.261261261261261</v>
      </c>
      <c r="T28" s="28">
        <v>250</v>
      </c>
      <c r="U28" s="36" t="s">
        <v>33</v>
      </c>
      <c r="V28" s="37" t="s">
        <v>33</v>
      </c>
      <c r="W28" s="14">
        <v>0</v>
      </c>
      <c r="X28" s="38">
        <f t="shared" si="9"/>
        <v>0</v>
      </c>
      <c r="Y28" s="39">
        <f t="shared" si="10"/>
        <v>0</v>
      </c>
      <c r="Z28" s="14">
        <v>0</v>
      </c>
      <c r="AA28" s="28" t="s">
        <v>34</v>
      </c>
      <c r="AB28" s="40">
        <f t="shared" si="11"/>
        <v>-0.69</v>
      </c>
      <c r="AC28" s="41">
        <v>5.4241898148148157E-2</v>
      </c>
      <c r="AD28" s="39">
        <f t="shared" si="12"/>
        <v>-0.14970763888888891</v>
      </c>
      <c r="AE28" s="25">
        <v>-3.64</v>
      </c>
      <c r="AF28" s="25">
        <v>-2.0407799999999998</v>
      </c>
      <c r="AG28" s="25">
        <v>0</v>
      </c>
    </row>
    <row r="29" spans="1:33" ht="15.75" customHeight="1" x14ac:dyDescent="0.2">
      <c r="A29" s="28" t="s">
        <v>72</v>
      </c>
      <c r="B29" s="28" t="s">
        <v>47</v>
      </c>
      <c r="C29" s="15">
        <f t="shared" si="4"/>
        <v>9.99</v>
      </c>
      <c r="D29" s="29">
        <v>7</v>
      </c>
      <c r="E29" s="29">
        <v>0</v>
      </c>
      <c r="F29" s="32">
        <v>69.930000000000007</v>
      </c>
      <c r="G29" s="32">
        <v>0</v>
      </c>
      <c r="H29" s="31">
        <f t="shared" si="1"/>
        <v>0</v>
      </c>
      <c r="I29" s="31">
        <f t="shared" si="2"/>
        <v>0.27386047853408968</v>
      </c>
      <c r="J29" s="32">
        <f t="shared" si="5"/>
        <v>19.151063263888894</v>
      </c>
      <c r="K29" s="32">
        <f t="shared" si="3"/>
        <v>2.7358661805555564</v>
      </c>
      <c r="L29" s="29">
        <v>16</v>
      </c>
      <c r="M29" s="33">
        <f t="shared" si="6"/>
        <v>0.4375</v>
      </c>
      <c r="N29" s="16">
        <v>86</v>
      </c>
      <c r="O29" s="34">
        <f t="shared" ref="O29:P29" si="37">D29/7</f>
        <v>1</v>
      </c>
      <c r="P29" s="34">
        <f t="shared" si="37"/>
        <v>0</v>
      </c>
      <c r="Q29" s="29">
        <f t="shared" si="8"/>
        <v>86</v>
      </c>
      <c r="R29" s="29"/>
      <c r="S29" s="21">
        <v>1.56989247311828</v>
      </c>
      <c r="T29" s="28">
        <v>250</v>
      </c>
      <c r="U29" s="36" t="s">
        <v>33</v>
      </c>
      <c r="V29" s="37" t="s">
        <v>33</v>
      </c>
      <c r="W29" s="14">
        <v>0</v>
      </c>
      <c r="X29" s="38">
        <f t="shared" si="9"/>
        <v>0</v>
      </c>
      <c r="Y29" s="39">
        <f t="shared" si="10"/>
        <v>0</v>
      </c>
      <c r="Z29" s="14">
        <v>0</v>
      </c>
      <c r="AA29" s="28" t="s">
        <v>34</v>
      </c>
      <c r="AB29" s="40">
        <f t="shared" si="11"/>
        <v>-0.69</v>
      </c>
      <c r="AC29" s="41">
        <v>5.4241898148148157E-2</v>
      </c>
      <c r="AD29" s="39">
        <f t="shared" si="12"/>
        <v>-0.52397673611111117</v>
      </c>
      <c r="AE29" s="39">
        <v>-3.64</v>
      </c>
      <c r="AF29" s="25">
        <v>-2.0407799999999998</v>
      </c>
      <c r="AG29" s="39">
        <v>0</v>
      </c>
    </row>
    <row r="30" spans="1:33" ht="15.75" customHeight="1" x14ac:dyDescent="0.2">
      <c r="A30" s="14" t="s">
        <v>74</v>
      </c>
      <c r="B30" s="14" t="s">
        <v>225</v>
      </c>
      <c r="C30" s="15">
        <f t="shared" si="4"/>
        <v>9.99</v>
      </c>
      <c r="D30" s="16">
        <v>3</v>
      </c>
      <c r="E30" s="16">
        <v>0</v>
      </c>
      <c r="F30" s="17">
        <v>29.97</v>
      </c>
      <c r="G30" s="17">
        <v>0</v>
      </c>
      <c r="H30" s="31">
        <f t="shared" si="1"/>
        <v>0</v>
      </c>
      <c r="I30" s="31">
        <f t="shared" si="2"/>
        <v>0.27619531192748309</v>
      </c>
      <c r="J30" s="32">
        <f t="shared" si="5"/>
        <v>8.2775734984666673</v>
      </c>
      <c r="K30" s="32">
        <f t="shared" si="3"/>
        <v>2.7591911661555559</v>
      </c>
      <c r="L30" s="16">
        <v>29</v>
      </c>
      <c r="M30" s="33">
        <f t="shared" si="6"/>
        <v>0.10344827586206896</v>
      </c>
      <c r="N30" s="16">
        <v>89</v>
      </c>
      <c r="O30" s="34">
        <f t="shared" ref="O30:P30" si="38">D30/7</f>
        <v>0.42857142857142855</v>
      </c>
      <c r="P30" s="34">
        <f t="shared" si="38"/>
        <v>0</v>
      </c>
      <c r="Q30" s="29">
        <f t="shared" si="8"/>
        <v>207</v>
      </c>
      <c r="R30" s="29"/>
      <c r="S30" s="21">
        <v>1.538461538461539</v>
      </c>
      <c r="T30" s="28">
        <v>250</v>
      </c>
      <c r="U30" s="36" t="s">
        <v>33</v>
      </c>
      <c r="V30" s="37" t="s">
        <v>33</v>
      </c>
      <c r="W30" s="14">
        <v>0</v>
      </c>
      <c r="X30" s="38">
        <f t="shared" si="9"/>
        <v>0</v>
      </c>
      <c r="Y30" s="39">
        <f t="shared" si="10"/>
        <v>0</v>
      </c>
      <c r="Z30" s="14">
        <v>0</v>
      </c>
      <c r="AA30" s="28" t="s">
        <v>34</v>
      </c>
      <c r="AB30" s="40">
        <f t="shared" si="11"/>
        <v>-0.69</v>
      </c>
      <c r="AC30" s="41">
        <v>5.4241898148148157E-2</v>
      </c>
      <c r="AD30" s="39">
        <f t="shared" si="12"/>
        <v>-0.22456145833333335</v>
      </c>
      <c r="AE30" s="25">
        <v>-3.64</v>
      </c>
      <c r="AF30" s="25">
        <v>-2.0174550143999999</v>
      </c>
      <c r="AG30" s="25">
        <v>0</v>
      </c>
    </row>
    <row r="31" spans="1:33" ht="15.75" customHeight="1" x14ac:dyDescent="0.2">
      <c r="A31" s="14" t="s">
        <v>75</v>
      </c>
      <c r="B31" s="14"/>
      <c r="C31" s="15">
        <f t="shared" si="4"/>
        <v>9.99</v>
      </c>
      <c r="D31" s="16">
        <v>7</v>
      </c>
      <c r="E31" s="16">
        <v>0</v>
      </c>
      <c r="F31" s="17">
        <v>69.930000000000007</v>
      </c>
      <c r="G31" s="42">
        <v>0</v>
      </c>
      <c r="H31" s="31">
        <f t="shared" si="1"/>
        <v>0</v>
      </c>
      <c r="I31" s="31">
        <f t="shared" si="2"/>
        <v>0.27619531192748303</v>
      </c>
      <c r="J31" s="32">
        <f t="shared" si="5"/>
        <v>19.314338163088891</v>
      </c>
      <c r="K31" s="32">
        <f t="shared" si="3"/>
        <v>2.7591911661555559</v>
      </c>
      <c r="L31" s="16">
        <v>28</v>
      </c>
      <c r="M31" s="33">
        <f t="shared" si="6"/>
        <v>0.25</v>
      </c>
      <c r="N31" s="16">
        <v>83</v>
      </c>
      <c r="O31" s="34">
        <f t="shared" ref="O31:P32" si="39">D31/7</f>
        <v>1</v>
      </c>
      <c r="P31" s="34">
        <f t="shared" si="39"/>
        <v>0</v>
      </c>
      <c r="Q31" s="29">
        <f t="shared" si="8"/>
        <v>83</v>
      </c>
      <c r="R31" s="29"/>
      <c r="S31" s="21">
        <v>1.6305732484076401</v>
      </c>
      <c r="T31" s="14">
        <v>150</v>
      </c>
      <c r="U31" s="22">
        <v>50</v>
      </c>
      <c r="V31" s="1" t="s">
        <v>955</v>
      </c>
      <c r="W31" s="14">
        <v>0</v>
      </c>
      <c r="X31" s="38">
        <f t="shared" si="9"/>
        <v>0</v>
      </c>
      <c r="Y31" s="39">
        <f t="shared" si="10"/>
        <v>0</v>
      </c>
      <c r="Z31" s="14">
        <v>0</v>
      </c>
      <c r="AA31" s="14" t="s">
        <v>34</v>
      </c>
      <c r="AB31" s="40">
        <f t="shared" si="11"/>
        <v>-0.69</v>
      </c>
      <c r="AC31" s="27">
        <v>5.4241898148148157E-2</v>
      </c>
      <c r="AD31" s="39">
        <f t="shared" si="12"/>
        <v>-0.52397673611111117</v>
      </c>
      <c r="AE31" s="43">
        <v>-3.64</v>
      </c>
      <c r="AF31" s="43">
        <v>-2.0174550144000003</v>
      </c>
      <c r="AG31" s="25">
        <v>0</v>
      </c>
    </row>
    <row r="32" spans="1:33" s="51" customFormat="1" ht="15.75" customHeight="1" x14ac:dyDescent="0.2">
      <c r="A32" s="51" t="s">
        <v>934</v>
      </c>
      <c r="C32" s="15">
        <f t="shared" si="4"/>
        <v>9.99</v>
      </c>
      <c r="D32" s="52">
        <v>6</v>
      </c>
      <c r="E32" s="52">
        <v>0</v>
      </c>
      <c r="F32" s="53">
        <v>59.94</v>
      </c>
      <c r="G32" s="53">
        <v>-0.1</v>
      </c>
      <c r="H32" s="31">
        <f t="shared" si="1"/>
        <v>1.6683350016683351E-3</v>
      </c>
      <c r="I32" s="31">
        <f t="shared" si="2"/>
        <v>0.27452697692581457</v>
      </c>
      <c r="J32" s="32">
        <f t="shared" si="5"/>
        <v>16.455146996933326</v>
      </c>
      <c r="K32" s="32">
        <f t="shared" si="3"/>
        <v>2.7425244994888875</v>
      </c>
      <c r="L32" s="52">
        <v>28</v>
      </c>
      <c r="M32" s="33">
        <f t="shared" si="6"/>
        <v>0.21428571428571427</v>
      </c>
      <c r="N32" s="52">
        <v>77</v>
      </c>
      <c r="O32" s="34">
        <f t="shared" si="39"/>
        <v>0.8571428571428571</v>
      </c>
      <c r="P32" s="34">
        <f t="shared" si="39"/>
        <v>0</v>
      </c>
      <c r="Q32" s="29">
        <f t="shared" si="8"/>
        <v>89</v>
      </c>
      <c r="R32" s="29" t="str">
        <f ca="1">IFERROR(VLOOKUP($B$2,IMPORTRANGE("https://docs.google.com/spreadsheets/d/1KiWZV1ko8G7lnRucBRBd29jj3Be6ltMfljMDqzOkQmI/edit#gid=1381463014","Lookup!A:F"),6,FALSE),"")</f>
        <v/>
      </c>
      <c r="S32" s="54">
        <v>1.1814345991561179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1</v>
      </c>
      <c r="X32" s="38">
        <f t="shared" si="9"/>
        <v>0.16666666666666666</v>
      </c>
      <c r="Y32" s="39">
        <f t="shared" si="10"/>
        <v>0.1</v>
      </c>
      <c r="Z32" s="51">
        <v>0</v>
      </c>
      <c r="AA32" s="51" t="s">
        <v>34</v>
      </c>
      <c r="AB32" s="40">
        <f t="shared" si="11"/>
        <v>-0.69</v>
      </c>
      <c r="AC32" s="57">
        <v>5.4241898148148157E-2</v>
      </c>
      <c r="AD32" s="39">
        <f t="shared" si="12"/>
        <v>-0.4491229166666667</v>
      </c>
      <c r="AE32" s="58">
        <v>-3.64</v>
      </c>
      <c r="AF32" s="58">
        <v>-2.0174550143999999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8.332031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93.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Ft Appliance Extension Cord Heavy Duty, Gray - 14 Gauge 3 Prong SPT-3 Air Conditioner Cable")</f>
        <v>3 Ft Appliance Extension Cord Heavy Duty, Gray - 14 Gauge 3 Prong SPT-3 Air Conditioner Cable</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Info!B1:BJ5000""),2,FALSE),"""")"),"B07ZS2YMV5")</f>
        <v>B07ZS2YMV5</v>
      </c>
      <c r="B2" s="3" t="s">
        <v>476</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70.5" customHeight="1" x14ac:dyDescent="0.2">
      <c r="A3" s="76" t="s">
        <v>30</v>
      </c>
      <c r="B3" s="77"/>
      <c r="C3" s="47">
        <f>((AE32+AF32)/0.85)*-1</f>
        <v>5.1564222339764711</v>
      </c>
      <c r="D3" s="5">
        <f>SUM(D4:D99765)</f>
        <v>403</v>
      </c>
      <c r="E3" s="5"/>
      <c r="F3" s="6">
        <f t="shared" ref="F3:G3" si="0">SUM(F4:F99765)</f>
        <v>5251.659999999998</v>
      </c>
      <c r="G3" s="6">
        <f t="shared" si="0"/>
        <v>-0.16</v>
      </c>
      <c r="H3" s="7">
        <f t="shared" ref="H3:H32" si="1">G3/F3*-1</f>
        <v>3.0466557240948588E-5</v>
      </c>
      <c r="I3" s="8">
        <f t="shared" ref="I3:I32" si="2">J3/F3</f>
        <v>0.53234655309407863</v>
      </c>
      <c r="J3" s="6">
        <f>SUM(J4:J99765)</f>
        <v>2795.7030990220478</v>
      </c>
      <c r="K3" s="6">
        <f t="shared" ref="K3:K32" si="3">J3/D3</f>
        <v>6.9372285335534682</v>
      </c>
      <c r="L3" s="5"/>
      <c r="M3" s="9"/>
      <c r="N3" s="10"/>
      <c r="O3" s="5" t="str">
        <f ca="1">IFERROR(__xludf.DUMMYFUNCTION("IFERROR(VLOOKUP(B2,IMPORTRANGE(""https://docs.google.com/spreadsheets/d/1N8jvpEHDVkurDv7NrPxwI3eH6hQsvtb1QltGNCalRjU/edit#gid=865736387"",""Compiled Sheet!a1:g5000""),2,FALSE),"""")"),"3 - March
3 - April
4.5 - May
4.5 - June
4.5 - July
4.5 - Aug
5.5 - Sept
5.5 - Oct
5.5 - Nov
5.5 - Dec
3 - Jan
3 - Feb")</f>
        <v>3 - March
3 - April
4.5 - May
4.5 - June
4.5 - July
4.5 - Aug
5.5 - Sept
5.5 - Oct
5.5 - Nov
5.5 - Dec
3 - Jan
3 - Feb</v>
      </c>
      <c r="P3" s="5"/>
      <c r="Q3" s="11"/>
      <c r="R3" s="11"/>
      <c r="S3" s="12"/>
      <c r="T3" s="13" t="str">
        <f ca="1">IFERROR(__xludf.DUMMYFUNCTION("CONCATENATE(""Del QTY"", ""-"",IFERROR(VLOOKUP($B$2,IMPORTRANGE(""https://docs.google.com/spreadsheets/d/1_esbIR7_dYaLQXq3pOe98A6enPdKY7UPO5aCcj2tn1I/edit#gid=973934429"",""Inventory Input!A1:AD5000""),2,FALSE),""""))"),"Del QTY-1")</f>
        <v>Del QTY-1</v>
      </c>
      <c r="U3" s="13" t="str">
        <f ca="1">IFERROR(__xludf.DUMMYFUNCTION("CONCATENATE(""US QTY"", ""-"",iferror(VLOOKUP($B$2,IMPORTRANGE(""https://docs.google.com/spreadsheets/d/11afDUGgwIurytGWIAj1e7JPdtkZEoccxCski0CJdjqQ/edit#gid=1950799886"",""US Storage!a1:AD5000""),2,FALSE),""""))"),"US QTY-100")</f>
        <v>US QTY-100</v>
      </c>
      <c r="V3" s="13" t="str">
        <f ca="1">IFERROR(__xludf.DUMMYFUNCTION("CONCATENATE(""In Transit"", ""-"",IFERROR(VLOOKUP($B$2,IMPORTRANGE(""https://docs.google.com/spreadsheets/d/11afDUGgwIurytGWIAj1e7JPdtkZEoccxCski0CJdjqQ/edit#gid=1950799886"",""US Storage!a1:AD5000""),3,FALSE),""""))"),"In Transit-0")</f>
        <v>In Transit-0</v>
      </c>
      <c r="W3" s="5">
        <f>SUM(W4:W99765)</f>
        <v>0</v>
      </c>
      <c r="X3" s="7">
        <f>W3/D3</f>
        <v>0</v>
      </c>
      <c r="Y3" s="6"/>
      <c r="Z3" s="5"/>
      <c r="AA3" s="5"/>
      <c r="AB3" s="5"/>
      <c r="AC3" s="5"/>
      <c r="AD3" s="6">
        <f>SUM(AD4:AD99765)</f>
        <v>-3.2441499999999994</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Info!B2:BZ7000""),37,FALSE)),"""")*-1"),-1.54295889888)</f>
        <v>-1.54295889888</v>
      </c>
      <c r="AG3" s="6">
        <f>SUM(AG4:AG99765)</f>
        <v>0</v>
      </c>
    </row>
    <row r="4" spans="1:33" ht="15.75" customHeight="1" x14ac:dyDescent="0.2">
      <c r="A4" s="14" t="s">
        <v>31</v>
      </c>
      <c r="B4" s="14"/>
      <c r="C4" s="15">
        <f t="shared" ref="C4:C32" si="4">IFERROR(F4/D4," - ")</f>
        <v>17.989999999999998</v>
      </c>
      <c r="D4" s="16">
        <v>1</v>
      </c>
      <c r="E4" s="16">
        <v>0</v>
      </c>
      <c r="F4" s="17">
        <v>17.989999999999998</v>
      </c>
      <c r="G4" s="17">
        <v>0</v>
      </c>
      <c r="H4" s="18">
        <f t="shared" si="1"/>
        <v>0</v>
      </c>
      <c r="I4" s="18">
        <f t="shared" si="2"/>
        <v>0.62969249298043051</v>
      </c>
      <c r="J4" s="17">
        <f t="shared" ref="J4:J32" si="5">F4*0.85+G4+AF4*D4+D4*AE4+AG4+AD4</f>
        <v>11.328167948717944</v>
      </c>
      <c r="K4" s="17">
        <f t="shared" si="3"/>
        <v>11.328167948717944</v>
      </c>
      <c r="L4" s="16">
        <v>9</v>
      </c>
      <c r="M4" s="19">
        <f t="shared" ref="M4:M32" si="6">IFERROR(D4/L4,"-")</f>
        <v>0.1111111111111111</v>
      </c>
      <c r="N4" s="16">
        <v>0</v>
      </c>
      <c r="O4" s="20">
        <f t="shared" ref="O4:P4" si="7">D4/7</f>
        <v>0.14285714285714285</v>
      </c>
      <c r="P4" s="20">
        <f t="shared" si="7"/>
        <v>0</v>
      </c>
      <c r="Q4" s="16">
        <f t="shared" ref="Q4:Q32" si="8">ROUNDDOWN(N4/(O4+P4),0)</f>
        <v>0</v>
      </c>
      <c r="R4" s="16"/>
      <c r="S4" s="21">
        <v>2.16403785488958</v>
      </c>
      <c r="T4" s="14">
        <v>600</v>
      </c>
      <c r="U4" s="22">
        <v>200</v>
      </c>
      <c r="V4" s="23" t="s">
        <v>477</v>
      </c>
      <c r="W4" s="14">
        <v>0</v>
      </c>
      <c r="X4" s="24">
        <f t="shared" ref="X4:X32" si="9">IFERROR(W4/D4,0)</f>
        <v>0</v>
      </c>
      <c r="Y4" s="25">
        <f t="shared" ref="Y4:Y32" si="10">IFERROR(G4/(W4+Z4)*-1,0)</f>
        <v>0</v>
      </c>
      <c r="Z4" s="14">
        <v>0</v>
      </c>
      <c r="AA4" s="2" t="s">
        <v>478</v>
      </c>
      <c r="AB4" s="26">
        <f t="shared" ref="AB4:AB32" si="11">IF(OR(AA4="UsLargeStandardSize",AA4="UsSmallStandardSize"),-0.69,-0.48)</f>
        <v>-0.69</v>
      </c>
      <c r="AC4" s="27">
        <v>5.8333333333333336E-3</v>
      </c>
      <c r="AD4" s="25">
        <f t="shared" ref="AD4:AD32" si="12">IFERROR(AB4*AC4*D4*2,0)</f>
        <v>-8.0499999999999999E-3</v>
      </c>
      <c r="AE4" s="25">
        <v>-2.63</v>
      </c>
      <c r="AF4" s="25">
        <v>-1.3252820512820513</v>
      </c>
      <c r="AG4" s="25">
        <v>0</v>
      </c>
    </row>
    <row r="5" spans="1:33" ht="15.75" customHeight="1" x14ac:dyDescent="0.2">
      <c r="A5" s="28" t="s">
        <v>35</v>
      </c>
      <c r="B5" s="28"/>
      <c r="C5" s="15" t="str">
        <f t="shared" si="4"/>
        <v xml:space="preserve"> - </v>
      </c>
      <c r="D5" s="29">
        <v>0</v>
      </c>
      <c r="E5" s="29">
        <v>0</v>
      </c>
      <c r="F5" s="30">
        <v>0</v>
      </c>
      <c r="G5" s="30">
        <v>0</v>
      </c>
      <c r="H5" s="31" t="e">
        <f t="shared" si="1"/>
        <v>#DIV/0!</v>
      </c>
      <c r="I5" s="31" t="e">
        <f t="shared" si="2"/>
        <v>#DIV/0!</v>
      </c>
      <c r="J5" s="32">
        <f t="shared" si="5"/>
        <v>0</v>
      </c>
      <c r="K5" s="32" t="e">
        <f t="shared" si="3"/>
        <v>#DIV/0!</v>
      </c>
      <c r="L5" s="29">
        <v>0</v>
      </c>
      <c r="M5" s="33" t="str">
        <f t="shared" si="6"/>
        <v>-</v>
      </c>
      <c r="N5" s="29">
        <v>0</v>
      </c>
      <c r="O5" s="34">
        <f t="shared" ref="O5:P5" si="13">D5/7</f>
        <v>0</v>
      </c>
      <c r="P5" s="34">
        <f t="shared" si="13"/>
        <v>0</v>
      </c>
      <c r="Q5" s="29" t="e">
        <f t="shared" si="8"/>
        <v>#DIV/0!</v>
      </c>
      <c r="R5" s="29"/>
      <c r="S5" s="35" t="e">
        <v>#N/A</v>
      </c>
      <c r="T5" s="28">
        <v>600</v>
      </c>
      <c r="U5" s="36">
        <v>200</v>
      </c>
      <c r="V5" s="37" t="s">
        <v>479</v>
      </c>
      <c r="W5" s="28">
        <v>0</v>
      </c>
      <c r="X5" s="38">
        <f t="shared" si="9"/>
        <v>0</v>
      </c>
      <c r="Y5" s="39">
        <f t="shared" si="10"/>
        <v>0</v>
      </c>
      <c r="Z5" s="28">
        <v>0</v>
      </c>
      <c r="AA5" s="28" t="e">
        <v>#N/A</v>
      </c>
      <c r="AB5" s="40" t="e">
        <f t="shared" si="11"/>
        <v>#N/A</v>
      </c>
      <c r="AC5" s="41" t="e">
        <v>#N/A</v>
      </c>
      <c r="AD5" s="39">
        <f t="shared" si="12"/>
        <v>0</v>
      </c>
      <c r="AE5" s="39">
        <v>0</v>
      </c>
      <c r="AF5" s="39">
        <v>-1.3252820512820513</v>
      </c>
      <c r="AG5" s="39">
        <v>0</v>
      </c>
    </row>
    <row r="6" spans="1:33" ht="15.75" customHeight="1" x14ac:dyDescent="0.2">
      <c r="A6" s="28" t="s">
        <v>37</v>
      </c>
      <c r="B6" s="28"/>
      <c r="C6" s="15" t="str">
        <f t="shared" si="4"/>
        <v xml:space="preserve"> - </v>
      </c>
      <c r="D6" s="29">
        <v>0</v>
      </c>
      <c r="E6" s="29">
        <v>0</v>
      </c>
      <c r="F6" s="30">
        <v>0</v>
      </c>
      <c r="G6" s="30">
        <v>0</v>
      </c>
      <c r="H6" s="31" t="e">
        <f t="shared" si="1"/>
        <v>#DIV/0!</v>
      </c>
      <c r="I6" s="31" t="e">
        <f t="shared" si="2"/>
        <v>#DIV/0!</v>
      </c>
      <c r="J6" s="32">
        <f t="shared" si="5"/>
        <v>0</v>
      </c>
      <c r="K6" s="32" t="e">
        <f t="shared" si="3"/>
        <v>#DIV/0!</v>
      </c>
      <c r="L6" s="29">
        <v>0</v>
      </c>
      <c r="M6" s="33" t="str">
        <f t="shared" si="6"/>
        <v>-</v>
      </c>
      <c r="N6" s="29">
        <v>0</v>
      </c>
      <c r="O6" s="34">
        <f t="shared" ref="O6:P6" si="14">D6/7</f>
        <v>0</v>
      </c>
      <c r="P6" s="34">
        <f t="shared" si="14"/>
        <v>0</v>
      </c>
      <c r="Q6" s="29" t="e">
        <f t="shared" si="8"/>
        <v>#DIV/0!</v>
      </c>
      <c r="R6" s="29"/>
      <c r="S6" s="35" t="e">
        <v>#N/A</v>
      </c>
      <c r="T6" s="28">
        <v>600</v>
      </c>
      <c r="U6" s="36">
        <v>100</v>
      </c>
      <c r="V6" s="37" t="s">
        <v>480</v>
      </c>
      <c r="W6" s="28">
        <v>0</v>
      </c>
      <c r="X6" s="38">
        <f t="shared" si="9"/>
        <v>0</v>
      </c>
      <c r="Y6" s="39">
        <f t="shared" si="10"/>
        <v>0</v>
      </c>
      <c r="Z6" s="28">
        <v>0</v>
      </c>
      <c r="AA6" s="28" t="e">
        <v>#N/A</v>
      </c>
      <c r="AB6" s="40" t="e">
        <f t="shared" si="11"/>
        <v>#N/A</v>
      </c>
      <c r="AC6" s="41" t="e">
        <v>#N/A</v>
      </c>
      <c r="AD6" s="39">
        <f t="shared" si="12"/>
        <v>0</v>
      </c>
      <c r="AE6" s="39">
        <v>0</v>
      </c>
      <c r="AF6" s="39">
        <v>-1.3252820512820513</v>
      </c>
      <c r="AG6" s="39">
        <v>0</v>
      </c>
    </row>
    <row r="7" spans="1:33" ht="15.75" customHeight="1" x14ac:dyDescent="0.2">
      <c r="A7" s="28" t="s">
        <v>40</v>
      </c>
      <c r="B7" s="28" t="s">
        <v>304</v>
      </c>
      <c r="C7" s="15">
        <f t="shared" si="4"/>
        <v>17.989999999999998</v>
      </c>
      <c r="D7" s="29">
        <v>1</v>
      </c>
      <c r="E7" s="29">
        <v>0</v>
      </c>
      <c r="F7" s="30">
        <v>17.989999999999998</v>
      </c>
      <c r="G7" s="30">
        <v>0</v>
      </c>
      <c r="H7" s="31">
        <f t="shared" si="1"/>
        <v>0</v>
      </c>
      <c r="I7" s="31">
        <f t="shared" si="2"/>
        <v>0.62969249298043051</v>
      </c>
      <c r="J7" s="32">
        <f t="shared" si="5"/>
        <v>11.328167948717944</v>
      </c>
      <c r="K7" s="32">
        <f t="shared" si="3"/>
        <v>11.328167948717944</v>
      </c>
      <c r="L7" s="29">
        <v>0</v>
      </c>
      <c r="M7" s="33" t="str">
        <f t="shared" si="6"/>
        <v>-</v>
      </c>
      <c r="N7" s="29">
        <v>50</v>
      </c>
      <c r="O7" s="34">
        <f t="shared" ref="O7:P7" si="15">D7/7</f>
        <v>0.14285714285714285</v>
      </c>
      <c r="P7" s="34">
        <f t="shared" si="15"/>
        <v>0</v>
      </c>
      <c r="Q7" s="29">
        <f t="shared" si="8"/>
        <v>350</v>
      </c>
      <c r="R7" s="29"/>
      <c r="S7" s="35">
        <v>2.5401459854014599</v>
      </c>
      <c r="T7" s="28">
        <v>400</v>
      </c>
      <c r="U7" s="36">
        <v>100</v>
      </c>
      <c r="V7" s="37" t="s">
        <v>481</v>
      </c>
      <c r="W7" s="28">
        <v>0</v>
      </c>
      <c r="X7" s="38">
        <f t="shared" si="9"/>
        <v>0</v>
      </c>
      <c r="Y7" s="39">
        <f t="shared" si="10"/>
        <v>0</v>
      </c>
      <c r="Z7" s="28">
        <v>0</v>
      </c>
      <c r="AA7" s="28" t="s">
        <v>478</v>
      </c>
      <c r="AB7" s="40">
        <f t="shared" si="11"/>
        <v>-0.69</v>
      </c>
      <c r="AC7" s="41">
        <v>5.8333333333333336E-3</v>
      </c>
      <c r="AD7" s="39">
        <f t="shared" si="12"/>
        <v>-8.0499999999999999E-3</v>
      </c>
      <c r="AE7" s="39">
        <v>-2.63</v>
      </c>
      <c r="AF7" s="39">
        <v>-1.3252820512820513</v>
      </c>
      <c r="AG7" s="39">
        <v>0</v>
      </c>
    </row>
    <row r="8" spans="1:33" ht="15.75" customHeight="1" x14ac:dyDescent="0.2">
      <c r="A8" s="28" t="s">
        <v>42</v>
      </c>
      <c r="B8" s="28" t="s">
        <v>326</v>
      </c>
      <c r="C8" s="15">
        <f t="shared" si="4"/>
        <v>17.989999999999998</v>
      </c>
      <c r="D8" s="29">
        <v>6</v>
      </c>
      <c r="E8" s="29">
        <v>0</v>
      </c>
      <c r="F8" s="30">
        <v>107.93999999999998</v>
      </c>
      <c r="G8" s="30">
        <v>-0.08</v>
      </c>
      <c r="H8" s="31">
        <f t="shared" si="1"/>
        <v>7.4115249212525485E-4</v>
      </c>
      <c r="I8" s="31">
        <f t="shared" si="2"/>
        <v>0.62868908652955335</v>
      </c>
      <c r="J8" s="32">
        <f t="shared" si="5"/>
        <v>67.86069999999998</v>
      </c>
      <c r="K8" s="32">
        <f t="shared" si="3"/>
        <v>11.310116666666664</v>
      </c>
      <c r="L8" s="29">
        <v>25</v>
      </c>
      <c r="M8" s="33">
        <f t="shared" si="6"/>
        <v>0.24</v>
      </c>
      <c r="N8" s="29">
        <v>219</v>
      </c>
      <c r="O8" s="34">
        <f t="shared" ref="O8:P8" si="16">D8/7</f>
        <v>0.8571428571428571</v>
      </c>
      <c r="P8" s="34">
        <f t="shared" si="16"/>
        <v>0</v>
      </c>
      <c r="Q8" s="29">
        <f t="shared" si="8"/>
        <v>255</v>
      </c>
      <c r="R8" s="29"/>
      <c r="S8" s="35">
        <v>1.8449612403100699</v>
      </c>
      <c r="T8" s="28">
        <v>300</v>
      </c>
      <c r="U8" s="36">
        <v>200</v>
      </c>
      <c r="V8" s="37" t="s">
        <v>482</v>
      </c>
      <c r="W8" s="28">
        <v>0</v>
      </c>
      <c r="X8" s="38">
        <f t="shared" si="9"/>
        <v>0</v>
      </c>
      <c r="Y8" s="39">
        <f t="shared" si="10"/>
        <v>0</v>
      </c>
      <c r="Z8" s="28">
        <v>0</v>
      </c>
      <c r="AA8" s="28" t="s">
        <v>478</v>
      </c>
      <c r="AB8" s="40">
        <f t="shared" si="11"/>
        <v>-0.69</v>
      </c>
      <c r="AC8" s="41">
        <v>5.8333333333333336E-3</v>
      </c>
      <c r="AD8" s="39">
        <f t="shared" si="12"/>
        <v>-4.8299999999999996E-2</v>
      </c>
      <c r="AE8" s="39">
        <v>-2.63</v>
      </c>
      <c r="AF8" s="39">
        <v>-1.33</v>
      </c>
      <c r="AG8" s="39">
        <v>0</v>
      </c>
    </row>
    <row r="9" spans="1:33" ht="15.75" customHeight="1" x14ac:dyDescent="0.2">
      <c r="A9" s="28" t="s">
        <v>44</v>
      </c>
      <c r="B9" s="28" t="s">
        <v>483</v>
      </c>
      <c r="C9" s="15">
        <f t="shared" si="4"/>
        <v>16.061818181818182</v>
      </c>
      <c r="D9" s="29">
        <v>11</v>
      </c>
      <c r="E9" s="29">
        <v>0</v>
      </c>
      <c r="F9" s="30">
        <v>176.68</v>
      </c>
      <c r="G9" s="30">
        <v>0</v>
      </c>
      <c r="H9" s="31">
        <f t="shared" si="1"/>
        <v>0</v>
      </c>
      <c r="I9" s="31">
        <f t="shared" si="2"/>
        <v>0.60191053070015088</v>
      </c>
      <c r="J9" s="32">
        <f t="shared" si="5"/>
        <v>106.34555256410266</v>
      </c>
      <c r="K9" s="32">
        <f t="shared" si="3"/>
        <v>9.6677775058275142</v>
      </c>
      <c r="L9" s="29">
        <v>44</v>
      </c>
      <c r="M9" s="33">
        <f t="shared" si="6"/>
        <v>0.25</v>
      </c>
      <c r="N9" s="29">
        <v>185</v>
      </c>
      <c r="O9" s="34">
        <f t="shared" ref="O9:P9" si="17">D9/7</f>
        <v>1.5714285714285714</v>
      </c>
      <c r="P9" s="34">
        <f t="shared" si="17"/>
        <v>0</v>
      </c>
      <c r="Q9" s="29">
        <f t="shared" si="8"/>
        <v>117</v>
      </c>
      <c r="R9" s="29"/>
      <c r="S9" s="35">
        <v>2</v>
      </c>
      <c r="T9" s="28">
        <v>300</v>
      </c>
      <c r="U9" s="36">
        <v>200</v>
      </c>
      <c r="V9" s="37" t="s">
        <v>311</v>
      </c>
      <c r="W9" s="28">
        <v>0</v>
      </c>
      <c r="X9" s="38">
        <f t="shared" si="9"/>
        <v>0</v>
      </c>
      <c r="Y9" s="39">
        <f t="shared" si="10"/>
        <v>0</v>
      </c>
      <c r="Z9" s="28">
        <v>0</v>
      </c>
      <c r="AA9" s="28" t="s">
        <v>478</v>
      </c>
      <c r="AB9" s="40">
        <f t="shared" si="11"/>
        <v>-0.69</v>
      </c>
      <c r="AC9" s="41">
        <v>5.8333333333333336E-3</v>
      </c>
      <c r="AD9" s="39">
        <f t="shared" si="12"/>
        <v>-8.8550000000000004E-2</v>
      </c>
      <c r="AE9" s="39">
        <v>-2.63</v>
      </c>
      <c r="AF9" s="39">
        <v>-1.3467179487179399</v>
      </c>
      <c r="AG9" s="39">
        <v>0</v>
      </c>
    </row>
    <row r="10" spans="1:33" ht="15.75" customHeight="1" x14ac:dyDescent="0.2">
      <c r="A10" s="28" t="s">
        <v>46</v>
      </c>
      <c r="B10" s="28" t="s">
        <v>484</v>
      </c>
      <c r="C10" s="15">
        <f t="shared" si="4"/>
        <v>14.362</v>
      </c>
      <c r="D10" s="29">
        <v>10</v>
      </c>
      <c r="E10" s="29">
        <v>0</v>
      </c>
      <c r="F10" s="30">
        <v>143.62</v>
      </c>
      <c r="G10" s="30">
        <v>0</v>
      </c>
      <c r="H10" s="31">
        <f t="shared" si="1"/>
        <v>0</v>
      </c>
      <c r="I10" s="31">
        <f t="shared" si="2"/>
        <v>0.57254783813410814</v>
      </c>
      <c r="J10" s="32">
        <f t="shared" si="5"/>
        <v>82.229320512820607</v>
      </c>
      <c r="K10" s="32">
        <f t="shared" si="3"/>
        <v>8.2229320512820614</v>
      </c>
      <c r="L10" s="29">
        <v>57</v>
      </c>
      <c r="M10" s="33">
        <f t="shared" si="6"/>
        <v>0.17543859649122806</v>
      </c>
      <c r="N10" s="29">
        <v>149</v>
      </c>
      <c r="O10" s="34">
        <f t="shared" ref="O10:P10" si="18">D10/7</f>
        <v>1.4285714285714286</v>
      </c>
      <c r="P10" s="34">
        <f t="shared" si="18"/>
        <v>0</v>
      </c>
      <c r="Q10" s="29">
        <f t="shared" si="8"/>
        <v>104</v>
      </c>
      <c r="R10" s="29"/>
      <c r="S10" s="35">
        <v>2.1692789968652</v>
      </c>
      <c r="T10" s="28" t="s">
        <v>33</v>
      </c>
      <c r="U10" s="36">
        <v>200</v>
      </c>
      <c r="V10" s="37" t="s">
        <v>311</v>
      </c>
      <c r="W10" s="28">
        <v>0</v>
      </c>
      <c r="X10" s="38">
        <f t="shared" si="9"/>
        <v>0</v>
      </c>
      <c r="Y10" s="39">
        <f t="shared" si="10"/>
        <v>0</v>
      </c>
      <c r="Z10" s="28">
        <v>0</v>
      </c>
      <c r="AA10" s="28" t="s">
        <v>478</v>
      </c>
      <c r="AB10" s="40">
        <f t="shared" si="11"/>
        <v>-0.69</v>
      </c>
      <c r="AC10" s="41">
        <v>5.8333333333333336E-3</v>
      </c>
      <c r="AD10" s="39">
        <f t="shared" si="12"/>
        <v>-8.0500000000000002E-2</v>
      </c>
      <c r="AE10" s="39">
        <v>-2.63</v>
      </c>
      <c r="AF10" s="39">
        <v>-1.3467179487179399</v>
      </c>
      <c r="AG10" s="39">
        <v>0</v>
      </c>
    </row>
    <row r="11" spans="1:33" ht="15.75" customHeight="1" x14ac:dyDescent="0.2">
      <c r="A11" s="28" t="s">
        <v>48</v>
      </c>
      <c r="B11" s="28" t="s">
        <v>47</v>
      </c>
      <c r="C11" s="15">
        <f t="shared" si="4"/>
        <v>13.913043478260875</v>
      </c>
      <c r="D11" s="29">
        <v>23</v>
      </c>
      <c r="E11" s="29">
        <v>0</v>
      </c>
      <c r="F11" s="30">
        <v>320.00000000000011</v>
      </c>
      <c r="G11" s="30">
        <v>0</v>
      </c>
      <c r="H11" s="31">
        <f t="shared" si="1"/>
        <v>0</v>
      </c>
      <c r="I11" s="31">
        <f t="shared" si="2"/>
        <v>0.56359480368589832</v>
      </c>
      <c r="J11" s="32">
        <f t="shared" si="5"/>
        <v>180.35033717948752</v>
      </c>
      <c r="K11" s="32">
        <f t="shared" si="3"/>
        <v>7.8413190078038051</v>
      </c>
      <c r="L11" s="29">
        <v>71</v>
      </c>
      <c r="M11" s="33">
        <f t="shared" si="6"/>
        <v>0.323943661971831</v>
      </c>
      <c r="N11" s="29">
        <v>125</v>
      </c>
      <c r="O11" s="34">
        <f t="shared" ref="O11:P11" si="19">D11/7</f>
        <v>3.2857142857142856</v>
      </c>
      <c r="P11" s="34">
        <f t="shared" si="19"/>
        <v>0</v>
      </c>
      <c r="Q11" s="29">
        <f t="shared" si="8"/>
        <v>38</v>
      </c>
      <c r="R11" s="29"/>
      <c r="S11" s="35">
        <v>2.0336700336700302</v>
      </c>
      <c r="T11" s="28" t="s">
        <v>33</v>
      </c>
      <c r="U11" s="36">
        <v>200</v>
      </c>
      <c r="V11" s="37" t="s">
        <v>485</v>
      </c>
      <c r="W11" s="28">
        <v>0</v>
      </c>
      <c r="X11" s="38">
        <f t="shared" si="9"/>
        <v>0</v>
      </c>
      <c r="Y11" s="39">
        <f t="shared" si="10"/>
        <v>0</v>
      </c>
      <c r="Z11" s="28">
        <v>0</v>
      </c>
      <c r="AA11" s="28" t="s">
        <v>478</v>
      </c>
      <c r="AB11" s="40">
        <f t="shared" si="11"/>
        <v>-0.69</v>
      </c>
      <c r="AC11" s="41">
        <v>5.8333333333333336E-3</v>
      </c>
      <c r="AD11" s="39">
        <f t="shared" si="12"/>
        <v>-0.18515000000000001</v>
      </c>
      <c r="AE11" s="39">
        <v>-2.63</v>
      </c>
      <c r="AF11" s="39">
        <v>-1.3467179487179399</v>
      </c>
      <c r="AG11" s="39">
        <v>0</v>
      </c>
    </row>
    <row r="12" spans="1:33" ht="15.75" customHeight="1" x14ac:dyDescent="0.2">
      <c r="A12" s="28" t="s">
        <v>49</v>
      </c>
      <c r="B12" s="28" t="s">
        <v>486</v>
      </c>
      <c r="C12" s="15">
        <f t="shared" si="4"/>
        <v>13.323500000000001</v>
      </c>
      <c r="D12" s="29">
        <v>20</v>
      </c>
      <c r="E12" s="29">
        <v>0</v>
      </c>
      <c r="F12" s="30">
        <v>266.47000000000003</v>
      </c>
      <c r="G12" s="30">
        <v>0</v>
      </c>
      <c r="H12" s="31">
        <f t="shared" si="1"/>
        <v>0</v>
      </c>
      <c r="I12" s="31">
        <f t="shared" si="2"/>
        <v>0.55092183369850722</v>
      </c>
      <c r="J12" s="32">
        <f t="shared" si="5"/>
        <v>146.80414102564123</v>
      </c>
      <c r="K12" s="32">
        <f t="shared" si="3"/>
        <v>7.3402070512820616</v>
      </c>
      <c r="L12" s="29">
        <v>56</v>
      </c>
      <c r="M12" s="33">
        <f t="shared" si="6"/>
        <v>0.35714285714285715</v>
      </c>
      <c r="N12" s="29">
        <v>105</v>
      </c>
      <c r="O12" s="34">
        <f t="shared" ref="O12:P12" si="20">D12/7</f>
        <v>2.8571428571428572</v>
      </c>
      <c r="P12" s="34">
        <f t="shared" si="20"/>
        <v>0</v>
      </c>
      <c r="Q12" s="29">
        <f t="shared" si="8"/>
        <v>36</v>
      </c>
      <c r="R12" s="29"/>
      <c r="S12" s="35">
        <v>2.3519313304720999</v>
      </c>
      <c r="T12" s="28" t="s">
        <v>33</v>
      </c>
      <c r="U12" s="36">
        <v>200</v>
      </c>
      <c r="V12" s="37" t="s">
        <v>487</v>
      </c>
      <c r="W12" s="28">
        <v>0</v>
      </c>
      <c r="X12" s="38">
        <f t="shared" si="9"/>
        <v>0</v>
      </c>
      <c r="Y12" s="39">
        <f t="shared" si="10"/>
        <v>0</v>
      </c>
      <c r="Z12" s="28">
        <v>0</v>
      </c>
      <c r="AA12" s="28" t="s">
        <v>478</v>
      </c>
      <c r="AB12" s="40">
        <f t="shared" si="11"/>
        <v>-0.69</v>
      </c>
      <c r="AC12" s="41">
        <v>5.8333333333333336E-3</v>
      </c>
      <c r="AD12" s="39">
        <f t="shared" si="12"/>
        <v>-0.161</v>
      </c>
      <c r="AE12" s="39">
        <v>-2.63</v>
      </c>
      <c r="AF12" s="39">
        <v>-1.3467179487179399</v>
      </c>
      <c r="AG12" s="39">
        <v>0</v>
      </c>
    </row>
    <row r="13" spans="1:33" ht="15.75" customHeight="1" x14ac:dyDescent="0.2">
      <c r="A13" s="28" t="s">
        <v>50</v>
      </c>
      <c r="B13" s="28" t="s">
        <v>488</v>
      </c>
      <c r="C13" s="15">
        <f t="shared" si="4"/>
        <v>13.943529411764709</v>
      </c>
      <c r="D13" s="29">
        <v>17</v>
      </c>
      <c r="E13" s="29">
        <v>0</v>
      </c>
      <c r="F13" s="32">
        <v>237.04000000000005</v>
      </c>
      <c r="G13" s="30">
        <v>0</v>
      </c>
      <c r="H13" s="31">
        <f t="shared" si="1"/>
        <v>0</v>
      </c>
      <c r="I13" s="31">
        <f t="shared" si="2"/>
        <v>0.5634118714141072</v>
      </c>
      <c r="J13" s="32">
        <f t="shared" si="5"/>
        <v>133.55115000000001</v>
      </c>
      <c r="K13" s="32">
        <f t="shared" si="3"/>
        <v>7.85595</v>
      </c>
      <c r="L13" s="29">
        <v>39</v>
      </c>
      <c r="M13" s="33">
        <f t="shared" si="6"/>
        <v>0.4358974358974359</v>
      </c>
      <c r="N13" s="29">
        <v>92</v>
      </c>
      <c r="O13" s="34">
        <f t="shared" ref="O13:P13" si="21">D13/7</f>
        <v>2.4285714285714284</v>
      </c>
      <c r="P13" s="34">
        <f t="shared" si="21"/>
        <v>0</v>
      </c>
      <c r="Q13" s="29">
        <f t="shared" si="8"/>
        <v>37</v>
      </c>
      <c r="R13" s="29"/>
      <c r="S13" s="35">
        <v>1.40625</v>
      </c>
      <c r="T13" s="28" t="s">
        <v>33</v>
      </c>
      <c r="U13" s="36">
        <v>100</v>
      </c>
      <c r="V13" s="37" t="s">
        <v>489</v>
      </c>
      <c r="W13" s="28">
        <v>0</v>
      </c>
      <c r="X13" s="38">
        <f t="shared" si="9"/>
        <v>0</v>
      </c>
      <c r="Y13" s="39">
        <f t="shared" si="10"/>
        <v>0</v>
      </c>
      <c r="Z13" s="28">
        <v>0</v>
      </c>
      <c r="AA13" s="28" t="s">
        <v>478</v>
      </c>
      <c r="AB13" s="40">
        <f t="shared" si="11"/>
        <v>-0.69</v>
      </c>
      <c r="AC13" s="41">
        <v>5.8333333333333336E-3</v>
      </c>
      <c r="AD13" s="39">
        <f t="shared" si="12"/>
        <v>-0.13685</v>
      </c>
      <c r="AE13" s="39">
        <v>-2.63</v>
      </c>
      <c r="AF13" s="39">
        <v>-1.3580000000000001</v>
      </c>
      <c r="AG13" s="39">
        <v>0</v>
      </c>
    </row>
    <row r="14" spans="1:33" ht="15.75" customHeight="1" x14ac:dyDescent="0.2">
      <c r="A14" s="28" t="s">
        <v>51</v>
      </c>
      <c r="B14" s="28" t="s">
        <v>490</v>
      </c>
      <c r="C14" s="15">
        <f t="shared" si="4"/>
        <v>13.445000000000002</v>
      </c>
      <c r="D14" s="29">
        <v>10</v>
      </c>
      <c r="E14" s="29">
        <v>0</v>
      </c>
      <c r="F14" s="32">
        <v>134.45000000000002</v>
      </c>
      <c r="G14" s="30">
        <v>0</v>
      </c>
      <c r="H14" s="31">
        <f t="shared" si="1"/>
        <v>0</v>
      </c>
      <c r="I14" s="31">
        <f t="shared" si="2"/>
        <v>0.55278542208999637</v>
      </c>
      <c r="J14" s="32">
        <f t="shared" si="5"/>
        <v>74.322000000000017</v>
      </c>
      <c r="K14" s="32">
        <f t="shared" si="3"/>
        <v>7.4322000000000017</v>
      </c>
      <c r="L14" s="29">
        <v>57</v>
      </c>
      <c r="M14" s="33">
        <f t="shared" si="6"/>
        <v>0.17543859649122806</v>
      </c>
      <c r="N14" s="29">
        <v>79</v>
      </c>
      <c r="O14" s="34">
        <f t="shared" ref="O14:P14" si="22">D14/7</f>
        <v>1.4285714285714286</v>
      </c>
      <c r="P14" s="34">
        <f t="shared" si="22"/>
        <v>0</v>
      </c>
      <c r="Q14" s="29">
        <f t="shared" si="8"/>
        <v>55</v>
      </c>
      <c r="R14" s="29"/>
      <c r="S14" s="35">
        <v>1.6982456140350799</v>
      </c>
      <c r="T14" s="28" t="s">
        <v>33</v>
      </c>
      <c r="U14" s="36">
        <v>100</v>
      </c>
      <c r="V14" s="37" t="s">
        <v>489</v>
      </c>
      <c r="W14" s="28">
        <v>0</v>
      </c>
      <c r="X14" s="38">
        <f t="shared" si="9"/>
        <v>0</v>
      </c>
      <c r="Y14" s="39">
        <f t="shared" si="10"/>
        <v>0</v>
      </c>
      <c r="Z14" s="28">
        <v>0</v>
      </c>
      <c r="AA14" s="28" t="s">
        <v>478</v>
      </c>
      <c r="AB14" s="40">
        <f t="shared" si="11"/>
        <v>-0.69</v>
      </c>
      <c r="AC14" s="41">
        <v>5.8333333333333336E-3</v>
      </c>
      <c r="AD14" s="39">
        <f t="shared" si="12"/>
        <v>-8.0500000000000002E-2</v>
      </c>
      <c r="AE14" s="39">
        <v>-2.63</v>
      </c>
      <c r="AF14" s="39">
        <v>-1.3580000000000001</v>
      </c>
      <c r="AG14" s="39">
        <v>0</v>
      </c>
    </row>
    <row r="15" spans="1:33" ht="15.75" customHeight="1" x14ac:dyDescent="0.2">
      <c r="A15" s="28" t="s">
        <v>53</v>
      </c>
      <c r="B15" s="28" t="s">
        <v>47</v>
      </c>
      <c r="C15" s="15">
        <f t="shared" si="4"/>
        <v>13.942380952380953</v>
      </c>
      <c r="D15" s="29">
        <v>21</v>
      </c>
      <c r="E15" s="29">
        <v>0</v>
      </c>
      <c r="F15" s="32">
        <v>292.79000000000002</v>
      </c>
      <c r="G15" s="30">
        <v>0</v>
      </c>
      <c r="H15" s="31">
        <f t="shared" si="1"/>
        <v>0</v>
      </c>
      <c r="I15" s="31">
        <f t="shared" si="2"/>
        <v>0.55980207657365344</v>
      </c>
      <c r="J15" s="32">
        <f t="shared" si="5"/>
        <v>163.90445</v>
      </c>
      <c r="K15" s="32">
        <f t="shared" si="3"/>
        <v>7.8049738095238093</v>
      </c>
      <c r="L15" s="29">
        <v>42</v>
      </c>
      <c r="M15" s="33">
        <f t="shared" si="6"/>
        <v>0.5</v>
      </c>
      <c r="N15" s="29">
        <v>59</v>
      </c>
      <c r="O15" s="34">
        <f t="shared" ref="O15:P15" si="23">D15/7</f>
        <v>3</v>
      </c>
      <c r="P15" s="34">
        <f t="shared" si="23"/>
        <v>0</v>
      </c>
      <c r="Q15" s="29">
        <f t="shared" si="8"/>
        <v>19</v>
      </c>
      <c r="R15" s="29"/>
      <c r="S15" s="35">
        <v>2.3834196891191701</v>
      </c>
      <c r="T15" s="28" t="s">
        <v>33</v>
      </c>
      <c r="U15" s="36">
        <v>100</v>
      </c>
      <c r="V15" s="37" t="s">
        <v>491</v>
      </c>
      <c r="W15" s="28">
        <v>0</v>
      </c>
      <c r="X15" s="38">
        <f t="shared" si="9"/>
        <v>0</v>
      </c>
      <c r="Y15" s="39">
        <f t="shared" si="10"/>
        <v>0</v>
      </c>
      <c r="Z15" s="28">
        <v>0</v>
      </c>
      <c r="AA15" s="28" t="s">
        <v>478</v>
      </c>
      <c r="AB15" s="40">
        <f t="shared" si="11"/>
        <v>-0.69</v>
      </c>
      <c r="AC15" s="41">
        <v>5.8333333333333336E-3</v>
      </c>
      <c r="AD15" s="39">
        <f t="shared" si="12"/>
        <v>-0.16905000000000001</v>
      </c>
      <c r="AE15" s="39">
        <v>-2.63</v>
      </c>
      <c r="AF15" s="39">
        <v>-1.4079999999999999</v>
      </c>
      <c r="AG15" s="39">
        <v>0</v>
      </c>
    </row>
    <row r="16" spans="1:33" ht="15.75" customHeight="1" x14ac:dyDescent="0.2">
      <c r="A16" s="28" t="s">
        <v>54</v>
      </c>
      <c r="B16" s="28" t="s">
        <v>47</v>
      </c>
      <c r="C16" s="15">
        <f t="shared" si="4"/>
        <v>13.398421052631578</v>
      </c>
      <c r="D16" s="29">
        <v>19</v>
      </c>
      <c r="E16" s="29">
        <v>0</v>
      </c>
      <c r="F16" s="32">
        <v>254.57</v>
      </c>
      <c r="G16" s="30">
        <v>0</v>
      </c>
      <c r="H16" s="31">
        <f t="shared" si="1"/>
        <v>0</v>
      </c>
      <c r="I16" s="31">
        <f t="shared" si="2"/>
        <v>0.54802038731979419</v>
      </c>
      <c r="J16" s="32">
        <f t="shared" si="5"/>
        <v>139.50954999999999</v>
      </c>
      <c r="K16" s="32">
        <f t="shared" si="3"/>
        <v>7.3426078947368412</v>
      </c>
      <c r="L16" s="29">
        <v>67</v>
      </c>
      <c r="M16" s="33">
        <f t="shared" si="6"/>
        <v>0.28358208955223879</v>
      </c>
      <c r="N16" s="29">
        <v>115</v>
      </c>
      <c r="O16" s="34">
        <f t="shared" ref="O16:P16" si="24">D16/7</f>
        <v>2.7142857142857144</v>
      </c>
      <c r="P16" s="34">
        <f t="shared" si="24"/>
        <v>0</v>
      </c>
      <c r="Q16" s="29">
        <f t="shared" si="8"/>
        <v>42</v>
      </c>
      <c r="R16" s="29"/>
      <c r="S16" s="35">
        <v>1.8807017543859601</v>
      </c>
      <c r="T16" s="28" t="s">
        <v>33</v>
      </c>
      <c r="U16" s="36">
        <v>100</v>
      </c>
      <c r="V16" s="37" t="s">
        <v>491</v>
      </c>
      <c r="W16" s="28">
        <v>0</v>
      </c>
      <c r="X16" s="38">
        <f t="shared" si="9"/>
        <v>0</v>
      </c>
      <c r="Y16" s="39">
        <f t="shared" si="10"/>
        <v>0</v>
      </c>
      <c r="Z16" s="28">
        <v>0</v>
      </c>
      <c r="AA16" s="28" t="s">
        <v>478</v>
      </c>
      <c r="AB16" s="40">
        <f t="shared" si="11"/>
        <v>-0.69</v>
      </c>
      <c r="AC16" s="41">
        <v>5.8333333333333336E-3</v>
      </c>
      <c r="AD16" s="39">
        <f t="shared" si="12"/>
        <v>-0.15295</v>
      </c>
      <c r="AE16" s="39">
        <v>-2.63</v>
      </c>
      <c r="AF16" s="39">
        <v>-1.4079999999999999</v>
      </c>
      <c r="AG16" s="39">
        <v>0</v>
      </c>
    </row>
    <row r="17" spans="1:33" ht="15.75" customHeight="1" x14ac:dyDescent="0.2">
      <c r="A17" s="28" t="s">
        <v>55</v>
      </c>
      <c r="B17" s="28" t="s">
        <v>47</v>
      </c>
      <c r="C17" s="15">
        <f t="shared" si="4"/>
        <v>13.494583333333336</v>
      </c>
      <c r="D17" s="29">
        <v>24</v>
      </c>
      <c r="E17" s="29">
        <v>0</v>
      </c>
      <c r="F17" s="32">
        <v>323.87000000000006</v>
      </c>
      <c r="G17" s="30">
        <v>0</v>
      </c>
      <c r="H17" s="31">
        <f t="shared" si="1"/>
        <v>0</v>
      </c>
      <c r="I17" s="31">
        <f t="shared" si="2"/>
        <v>0.55017229135146817</v>
      </c>
      <c r="J17" s="32">
        <f t="shared" si="5"/>
        <v>178.18430000000004</v>
      </c>
      <c r="K17" s="32">
        <f t="shared" si="3"/>
        <v>7.4243458333333345</v>
      </c>
      <c r="L17" s="29">
        <v>58</v>
      </c>
      <c r="M17" s="33">
        <f t="shared" si="6"/>
        <v>0.41379310344827586</v>
      </c>
      <c r="N17" s="29">
        <v>91</v>
      </c>
      <c r="O17" s="34">
        <f t="shared" ref="O17:P17" si="25">D17/7</f>
        <v>3.4285714285714284</v>
      </c>
      <c r="P17" s="34">
        <f t="shared" si="25"/>
        <v>0</v>
      </c>
      <c r="Q17" s="29">
        <f t="shared" si="8"/>
        <v>26</v>
      </c>
      <c r="R17" s="29"/>
      <c r="S17" s="35">
        <v>1.4631828978622301</v>
      </c>
      <c r="T17" s="28" t="s">
        <v>33</v>
      </c>
      <c r="U17" s="36" t="s">
        <v>33</v>
      </c>
      <c r="V17" s="37" t="s">
        <v>33</v>
      </c>
      <c r="W17" s="28">
        <v>0</v>
      </c>
      <c r="X17" s="38">
        <f t="shared" si="9"/>
        <v>0</v>
      </c>
      <c r="Y17" s="39">
        <f t="shared" si="10"/>
        <v>0</v>
      </c>
      <c r="Z17" s="28">
        <v>0</v>
      </c>
      <c r="AA17" s="28" t="s">
        <v>478</v>
      </c>
      <c r="AB17" s="40">
        <f t="shared" si="11"/>
        <v>-0.69</v>
      </c>
      <c r="AC17" s="41">
        <v>5.8333333333333336E-3</v>
      </c>
      <c r="AD17" s="39">
        <f t="shared" si="12"/>
        <v>-0.19319999999999998</v>
      </c>
      <c r="AE17" s="39">
        <v>-2.63</v>
      </c>
      <c r="AF17" s="39">
        <v>-1.4079999999999999</v>
      </c>
      <c r="AG17" s="39">
        <v>0</v>
      </c>
    </row>
    <row r="18" spans="1:33" ht="15.75" customHeight="1" x14ac:dyDescent="0.2">
      <c r="A18" s="28" t="s">
        <v>56</v>
      </c>
      <c r="B18" s="28" t="s">
        <v>47</v>
      </c>
      <c r="C18" s="15">
        <f t="shared" si="4"/>
        <v>13.992941176470588</v>
      </c>
      <c r="D18" s="29">
        <v>17</v>
      </c>
      <c r="E18" s="29">
        <v>0</v>
      </c>
      <c r="F18" s="32">
        <v>237.88</v>
      </c>
      <c r="G18" s="30">
        <v>0</v>
      </c>
      <c r="H18" s="31">
        <f t="shared" si="1"/>
        <v>0</v>
      </c>
      <c r="I18" s="31">
        <f t="shared" si="2"/>
        <v>0.56085063897763565</v>
      </c>
      <c r="J18" s="32">
        <f t="shared" si="5"/>
        <v>133.41514999999995</v>
      </c>
      <c r="K18" s="32">
        <f t="shared" si="3"/>
        <v>7.8479499999999973</v>
      </c>
      <c r="L18" s="29">
        <v>30</v>
      </c>
      <c r="M18" s="33">
        <f t="shared" si="6"/>
        <v>0.56666666666666665</v>
      </c>
      <c r="N18" s="29">
        <v>178</v>
      </c>
      <c r="O18" s="34">
        <f t="shared" ref="O18:P18" si="26">D18/7</f>
        <v>2.4285714285714284</v>
      </c>
      <c r="P18" s="34">
        <f t="shared" si="26"/>
        <v>0</v>
      </c>
      <c r="Q18" s="29">
        <f t="shared" si="8"/>
        <v>73</v>
      </c>
      <c r="R18" s="29"/>
      <c r="S18" s="35">
        <v>1.5166297117516601</v>
      </c>
      <c r="T18" s="28">
        <v>400</v>
      </c>
      <c r="U18" s="36">
        <v>0</v>
      </c>
      <c r="V18" s="37" t="s">
        <v>33</v>
      </c>
      <c r="W18" s="28">
        <v>0</v>
      </c>
      <c r="X18" s="38">
        <f t="shared" si="9"/>
        <v>0</v>
      </c>
      <c r="Y18" s="39">
        <f t="shared" si="10"/>
        <v>0</v>
      </c>
      <c r="Z18" s="28">
        <v>0</v>
      </c>
      <c r="AA18" s="28" t="s">
        <v>478</v>
      </c>
      <c r="AB18" s="40">
        <f t="shared" si="11"/>
        <v>-0.69</v>
      </c>
      <c r="AC18" s="41">
        <v>5.8333333333333336E-3</v>
      </c>
      <c r="AD18" s="39">
        <f t="shared" si="12"/>
        <v>-0.13685</v>
      </c>
      <c r="AE18" s="39">
        <v>-2.63</v>
      </c>
      <c r="AF18" s="39">
        <v>-1.4079999999999999</v>
      </c>
      <c r="AG18" s="39">
        <v>0</v>
      </c>
    </row>
    <row r="19" spans="1:33" ht="15.75" customHeight="1" x14ac:dyDescent="0.2">
      <c r="A19" s="28" t="s">
        <v>57</v>
      </c>
      <c r="B19" s="28" t="s">
        <v>492</v>
      </c>
      <c r="C19" s="15">
        <f t="shared" si="4"/>
        <v>14.01857142857143</v>
      </c>
      <c r="D19" s="29">
        <v>7</v>
      </c>
      <c r="E19" s="29">
        <v>0</v>
      </c>
      <c r="F19" s="32">
        <v>98.13000000000001</v>
      </c>
      <c r="G19" s="30">
        <v>0</v>
      </c>
      <c r="H19" s="31">
        <f t="shared" si="1"/>
        <v>0</v>
      </c>
      <c r="I19" s="31">
        <f t="shared" si="2"/>
        <v>0.55667125242025883</v>
      </c>
      <c r="J19" s="32">
        <f t="shared" si="5"/>
        <v>54.626150000000003</v>
      </c>
      <c r="K19" s="32">
        <f t="shared" si="3"/>
        <v>7.8037357142857147</v>
      </c>
      <c r="L19" s="29">
        <v>21</v>
      </c>
      <c r="M19" s="33">
        <f t="shared" si="6"/>
        <v>0.33333333333333331</v>
      </c>
      <c r="N19" s="29">
        <v>171</v>
      </c>
      <c r="O19" s="34">
        <f t="shared" ref="O19:P19" si="27">D19/7</f>
        <v>1</v>
      </c>
      <c r="P19" s="34">
        <f t="shared" si="27"/>
        <v>0</v>
      </c>
      <c r="Q19" s="29">
        <f t="shared" si="8"/>
        <v>171</v>
      </c>
      <c r="R19" s="29"/>
      <c r="S19" s="35">
        <v>1.91076115485564</v>
      </c>
      <c r="T19" s="28">
        <v>400</v>
      </c>
      <c r="U19" s="36" t="s">
        <v>33</v>
      </c>
      <c r="V19" s="37" t="s">
        <v>33</v>
      </c>
      <c r="W19" s="28">
        <v>0</v>
      </c>
      <c r="X19" s="38">
        <f t="shared" si="9"/>
        <v>0</v>
      </c>
      <c r="Y19" s="39">
        <f t="shared" si="10"/>
        <v>0</v>
      </c>
      <c r="Z19" s="28">
        <v>0</v>
      </c>
      <c r="AA19" s="28" t="s">
        <v>478</v>
      </c>
      <c r="AB19" s="40">
        <f t="shared" si="11"/>
        <v>-0.69</v>
      </c>
      <c r="AC19" s="41">
        <v>5.8333333333333336E-3</v>
      </c>
      <c r="AD19" s="39">
        <f t="shared" si="12"/>
        <v>-5.6349999999999997E-2</v>
      </c>
      <c r="AE19" s="39">
        <v>-2.63</v>
      </c>
      <c r="AF19" s="39">
        <v>-1.4740000000000002</v>
      </c>
      <c r="AG19" s="39">
        <v>0</v>
      </c>
    </row>
    <row r="20" spans="1:33" ht="15.75" customHeight="1" x14ac:dyDescent="0.2">
      <c r="A20" s="28" t="s">
        <v>58</v>
      </c>
      <c r="B20" s="28" t="s">
        <v>270</v>
      </c>
      <c r="C20" s="15">
        <f t="shared" si="4"/>
        <v>13.507142857142856</v>
      </c>
      <c r="D20" s="29">
        <v>14</v>
      </c>
      <c r="E20" s="29">
        <v>0</v>
      </c>
      <c r="F20" s="32">
        <v>189.1</v>
      </c>
      <c r="G20" s="30">
        <v>0</v>
      </c>
      <c r="H20" s="31">
        <f t="shared" si="1"/>
        <v>0</v>
      </c>
      <c r="I20" s="31">
        <f t="shared" si="2"/>
        <v>0.54556478053939716</v>
      </c>
      <c r="J20" s="32">
        <f t="shared" si="5"/>
        <v>103.16629999999999</v>
      </c>
      <c r="K20" s="32">
        <f t="shared" si="3"/>
        <v>7.3690214285714282</v>
      </c>
      <c r="L20" s="29">
        <v>28</v>
      </c>
      <c r="M20" s="33">
        <f t="shared" si="6"/>
        <v>0.5</v>
      </c>
      <c r="N20" s="29">
        <v>157</v>
      </c>
      <c r="O20" s="34">
        <f t="shared" ref="O20:P20" si="28">D20/7</f>
        <v>2</v>
      </c>
      <c r="P20" s="34">
        <f t="shared" si="28"/>
        <v>0</v>
      </c>
      <c r="Q20" s="29">
        <f t="shared" si="8"/>
        <v>78</v>
      </c>
      <c r="R20" s="29"/>
      <c r="S20" s="35">
        <v>1.6204690831556501</v>
      </c>
      <c r="T20" s="28">
        <v>0</v>
      </c>
      <c r="U20" s="36" t="s">
        <v>33</v>
      </c>
      <c r="V20" s="37" t="s">
        <v>33</v>
      </c>
      <c r="W20" s="28">
        <v>0</v>
      </c>
      <c r="X20" s="38">
        <f t="shared" si="9"/>
        <v>0</v>
      </c>
      <c r="Y20" s="39">
        <f t="shared" si="10"/>
        <v>0</v>
      </c>
      <c r="Z20" s="28">
        <v>0</v>
      </c>
      <c r="AA20" s="28" t="s">
        <v>478</v>
      </c>
      <c r="AB20" s="40">
        <f t="shared" si="11"/>
        <v>-0.69</v>
      </c>
      <c r="AC20" s="41">
        <v>5.8333333333333336E-3</v>
      </c>
      <c r="AD20" s="39">
        <f t="shared" si="12"/>
        <v>-0.11269999999999999</v>
      </c>
      <c r="AE20" s="39">
        <v>-2.63</v>
      </c>
      <c r="AF20" s="39">
        <v>-1.4740000000000002</v>
      </c>
      <c r="AG20" s="39">
        <v>0</v>
      </c>
    </row>
    <row r="21" spans="1:33" ht="15.75" customHeight="1" x14ac:dyDescent="0.2">
      <c r="A21" s="28" t="s">
        <v>59</v>
      </c>
      <c r="B21" s="28" t="s">
        <v>493</v>
      </c>
      <c r="C21" s="15">
        <f t="shared" si="4"/>
        <v>12.180526315789477</v>
      </c>
      <c r="D21" s="29">
        <v>19</v>
      </c>
      <c r="E21" s="29">
        <v>0</v>
      </c>
      <c r="F21" s="32">
        <v>231.43000000000006</v>
      </c>
      <c r="G21" s="30">
        <v>0</v>
      </c>
      <c r="H21" s="31">
        <f t="shared" si="1"/>
        <v>0</v>
      </c>
      <c r="I21" s="31">
        <f t="shared" si="2"/>
        <v>0.5124078555070648</v>
      </c>
      <c r="J21" s="32">
        <f t="shared" si="5"/>
        <v>118.58655000000005</v>
      </c>
      <c r="K21" s="32">
        <f t="shared" si="3"/>
        <v>6.2413973684210546</v>
      </c>
      <c r="L21" s="29">
        <v>15</v>
      </c>
      <c r="M21" s="33">
        <f t="shared" si="6"/>
        <v>1.2666666666666666</v>
      </c>
      <c r="N21" s="29">
        <v>150</v>
      </c>
      <c r="O21" s="34">
        <f t="shared" ref="O21:P21" si="29">D21/7</f>
        <v>2.7142857142857144</v>
      </c>
      <c r="P21" s="34">
        <f t="shared" si="29"/>
        <v>0</v>
      </c>
      <c r="Q21" s="29">
        <f t="shared" si="8"/>
        <v>55</v>
      </c>
      <c r="R21" s="29"/>
      <c r="S21" s="35">
        <v>1.3816925734024099</v>
      </c>
      <c r="T21" s="28">
        <v>0</v>
      </c>
      <c r="U21" s="36" t="s">
        <v>33</v>
      </c>
      <c r="V21" s="37" t="s">
        <v>33</v>
      </c>
      <c r="W21" s="28">
        <v>0</v>
      </c>
      <c r="X21" s="38">
        <f t="shared" si="9"/>
        <v>0</v>
      </c>
      <c r="Y21" s="39">
        <f t="shared" si="10"/>
        <v>0</v>
      </c>
      <c r="Z21" s="28">
        <v>0</v>
      </c>
      <c r="AA21" s="28" t="s">
        <v>478</v>
      </c>
      <c r="AB21" s="40">
        <f t="shared" si="11"/>
        <v>-0.69</v>
      </c>
      <c r="AC21" s="41">
        <v>5.8333333333333336E-3</v>
      </c>
      <c r="AD21" s="39">
        <f t="shared" si="12"/>
        <v>-0.15295</v>
      </c>
      <c r="AE21" s="39">
        <v>-2.63</v>
      </c>
      <c r="AF21" s="39">
        <v>-1.4740000000000002</v>
      </c>
      <c r="AG21" s="39">
        <v>0</v>
      </c>
    </row>
    <row r="22" spans="1:33" ht="15.75" customHeight="1" x14ac:dyDescent="0.2">
      <c r="A22" s="28" t="s">
        <v>60</v>
      </c>
      <c r="B22" s="28" t="s">
        <v>47</v>
      </c>
      <c r="C22" s="15">
        <f t="shared" si="4"/>
        <v>11.990000000000004</v>
      </c>
      <c r="D22" s="29">
        <v>21</v>
      </c>
      <c r="E22" s="29">
        <v>0</v>
      </c>
      <c r="F22" s="30">
        <v>251.79000000000008</v>
      </c>
      <c r="G22" s="30">
        <v>0</v>
      </c>
      <c r="H22" s="31">
        <f t="shared" si="1"/>
        <v>0</v>
      </c>
      <c r="I22" s="31">
        <f t="shared" si="2"/>
        <v>0.50704336947456219</v>
      </c>
      <c r="J22" s="32">
        <f t="shared" si="5"/>
        <v>127.66845000000006</v>
      </c>
      <c r="K22" s="32">
        <f t="shared" si="3"/>
        <v>6.0794500000000031</v>
      </c>
      <c r="L22" s="29">
        <v>54</v>
      </c>
      <c r="M22" s="33">
        <f t="shared" si="6"/>
        <v>0.3888888888888889</v>
      </c>
      <c r="N22" s="29">
        <v>124</v>
      </c>
      <c r="O22" s="34">
        <f t="shared" ref="O22:P22" si="30">D22/7</f>
        <v>3</v>
      </c>
      <c r="P22" s="34">
        <f t="shared" si="30"/>
        <v>0</v>
      </c>
      <c r="Q22" s="29">
        <f t="shared" si="8"/>
        <v>41</v>
      </c>
      <c r="R22" s="29"/>
      <c r="S22" s="35">
        <v>1.43050847457627</v>
      </c>
      <c r="T22" s="28">
        <v>300</v>
      </c>
      <c r="U22" s="36" t="s">
        <v>33</v>
      </c>
      <c r="V22" s="37" t="s">
        <v>33</v>
      </c>
      <c r="W22" s="28">
        <v>0</v>
      </c>
      <c r="X22" s="38">
        <f t="shared" si="9"/>
        <v>0</v>
      </c>
      <c r="Y22" s="39">
        <f t="shared" si="10"/>
        <v>0</v>
      </c>
      <c r="Z22" s="28">
        <v>0</v>
      </c>
      <c r="AA22" s="28" t="s">
        <v>478</v>
      </c>
      <c r="AB22" s="40">
        <f t="shared" si="11"/>
        <v>-0.69</v>
      </c>
      <c r="AC22" s="41">
        <v>5.8333333333333336E-3</v>
      </c>
      <c r="AD22" s="39">
        <f t="shared" si="12"/>
        <v>-0.16905000000000001</v>
      </c>
      <c r="AE22" s="39">
        <v>-2.63</v>
      </c>
      <c r="AF22" s="39">
        <v>-1.4740000000000002</v>
      </c>
      <c r="AG22" s="39">
        <v>0</v>
      </c>
    </row>
    <row r="23" spans="1:33" ht="15.75" customHeight="1" x14ac:dyDescent="0.2">
      <c r="A23" s="28" t="s">
        <v>62</v>
      </c>
      <c r="B23" s="28" t="s">
        <v>494</v>
      </c>
      <c r="C23" s="15">
        <f t="shared" si="4"/>
        <v>11.994117647058825</v>
      </c>
      <c r="D23" s="29">
        <v>17</v>
      </c>
      <c r="E23" s="29">
        <v>0</v>
      </c>
      <c r="F23" s="32">
        <v>203.90000000000003</v>
      </c>
      <c r="G23" s="30">
        <v>0</v>
      </c>
      <c r="H23" s="31">
        <f t="shared" si="1"/>
        <v>0</v>
      </c>
      <c r="I23" s="31">
        <f t="shared" si="2"/>
        <v>0.507161108386464</v>
      </c>
      <c r="J23" s="32">
        <f t="shared" si="5"/>
        <v>103.41015000000003</v>
      </c>
      <c r="K23" s="32">
        <f t="shared" si="3"/>
        <v>6.0829500000000021</v>
      </c>
      <c r="L23" s="29">
        <v>36</v>
      </c>
      <c r="M23" s="33">
        <f t="shared" si="6"/>
        <v>0.47222222222222221</v>
      </c>
      <c r="N23" s="29">
        <v>107</v>
      </c>
      <c r="O23" s="34">
        <f t="shared" ref="O23:P23" si="31">D23/7</f>
        <v>2.4285714285714284</v>
      </c>
      <c r="P23" s="34">
        <f t="shared" si="31"/>
        <v>0</v>
      </c>
      <c r="Q23" s="29">
        <f t="shared" si="8"/>
        <v>44</v>
      </c>
      <c r="R23" s="29"/>
      <c r="S23" s="35">
        <v>1.6320582877959899</v>
      </c>
      <c r="T23" s="28">
        <v>300</v>
      </c>
      <c r="U23" s="36" t="s">
        <v>33</v>
      </c>
      <c r="V23" s="37" t="s">
        <v>33</v>
      </c>
      <c r="W23" s="28">
        <v>0</v>
      </c>
      <c r="X23" s="38">
        <f t="shared" si="9"/>
        <v>0</v>
      </c>
      <c r="Y23" s="39">
        <f t="shared" si="10"/>
        <v>0</v>
      </c>
      <c r="Z23" s="28">
        <v>0</v>
      </c>
      <c r="AA23" s="28" t="s">
        <v>478</v>
      </c>
      <c r="AB23" s="40">
        <f t="shared" si="11"/>
        <v>-0.69</v>
      </c>
      <c r="AC23" s="41">
        <v>5.8333333333333336E-3</v>
      </c>
      <c r="AD23" s="39">
        <f t="shared" si="12"/>
        <v>-0.13685</v>
      </c>
      <c r="AE23" s="39">
        <v>-2.63</v>
      </c>
      <c r="AF23" s="39">
        <v>-1.4740000000000002</v>
      </c>
      <c r="AG23" s="39">
        <v>0</v>
      </c>
    </row>
    <row r="24" spans="1:33" ht="15.75" customHeight="1" x14ac:dyDescent="0.2">
      <c r="A24" s="28" t="s">
        <v>64</v>
      </c>
      <c r="B24" s="28" t="s">
        <v>344</v>
      </c>
      <c r="C24" s="15">
        <f t="shared" si="4"/>
        <v>10.94739130434783</v>
      </c>
      <c r="D24" s="29">
        <v>23</v>
      </c>
      <c r="E24" s="29">
        <v>2</v>
      </c>
      <c r="F24" s="32">
        <v>251.79000000000008</v>
      </c>
      <c r="G24" s="32">
        <v>0</v>
      </c>
      <c r="H24" s="31">
        <f t="shared" si="1"/>
        <v>0</v>
      </c>
      <c r="I24" s="31">
        <f t="shared" si="2"/>
        <v>0.47438083323404445</v>
      </c>
      <c r="J24" s="32">
        <f t="shared" si="5"/>
        <v>119.44435000000009</v>
      </c>
      <c r="K24" s="32">
        <f t="shared" si="3"/>
        <v>5.1932326086956557</v>
      </c>
      <c r="L24" s="29">
        <v>45</v>
      </c>
      <c r="M24" s="33">
        <f t="shared" si="6"/>
        <v>0.51111111111111107</v>
      </c>
      <c r="N24" s="29">
        <v>87</v>
      </c>
      <c r="O24" s="34">
        <f t="shared" ref="O24:P24" si="32">D24/7</f>
        <v>3.2857142857142856</v>
      </c>
      <c r="P24" s="34">
        <f t="shared" si="32"/>
        <v>0.2857142857142857</v>
      </c>
      <c r="Q24" s="29">
        <f t="shared" si="8"/>
        <v>24</v>
      </c>
      <c r="R24" s="29"/>
      <c r="S24" s="35">
        <v>1.90967741935483</v>
      </c>
      <c r="T24" s="28">
        <v>700</v>
      </c>
      <c r="U24" s="36">
        <v>400</v>
      </c>
      <c r="V24" s="37" t="s">
        <v>495</v>
      </c>
      <c r="W24" s="28">
        <v>0</v>
      </c>
      <c r="X24" s="38">
        <f t="shared" si="9"/>
        <v>0</v>
      </c>
      <c r="Y24" s="39">
        <f t="shared" si="10"/>
        <v>0</v>
      </c>
      <c r="Z24" s="28">
        <v>0</v>
      </c>
      <c r="AA24" s="28" t="s">
        <v>478</v>
      </c>
      <c r="AB24" s="40">
        <f t="shared" si="11"/>
        <v>-0.69</v>
      </c>
      <c r="AC24" s="41">
        <v>5.8333333333333336E-3</v>
      </c>
      <c r="AD24" s="39">
        <f t="shared" si="12"/>
        <v>-0.18515000000000001</v>
      </c>
      <c r="AE24" s="39">
        <v>-2.63</v>
      </c>
      <c r="AF24" s="39">
        <v>-1.4740000000000002</v>
      </c>
      <c r="AG24" s="39">
        <v>0</v>
      </c>
    </row>
    <row r="25" spans="1:33" ht="15.75" customHeight="1" x14ac:dyDescent="0.2">
      <c r="A25" s="28" t="s">
        <v>65</v>
      </c>
      <c r="B25" s="14" t="s">
        <v>47</v>
      </c>
      <c r="C25" s="15">
        <f t="shared" si="4"/>
        <v>12.024117647058823</v>
      </c>
      <c r="D25" s="29">
        <v>17</v>
      </c>
      <c r="E25" s="29">
        <v>0</v>
      </c>
      <c r="F25" s="32">
        <v>204.41</v>
      </c>
      <c r="G25" s="32">
        <v>0</v>
      </c>
      <c r="H25" s="31">
        <f t="shared" si="1"/>
        <v>0</v>
      </c>
      <c r="I25" s="31">
        <f t="shared" si="2"/>
        <v>0.5083491512156938</v>
      </c>
      <c r="J25" s="32">
        <f t="shared" si="5"/>
        <v>103.91164999999997</v>
      </c>
      <c r="K25" s="32">
        <f t="shared" si="3"/>
        <v>6.1124499999999982</v>
      </c>
      <c r="L25" s="29">
        <v>55</v>
      </c>
      <c r="M25" s="33">
        <f t="shared" si="6"/>
        <v>0.30909090909090908</v>
      </c>
      <c r="N25" s="29">
        <v>64</v>
      </c>
      <c r="O25" s="34">
        <f t="shared" ref="O25:P25" si="33">D25/7</f>
        <v>2.4285714285714284</v>
      </c>
      <c r="P25" s="34">
        <f t="shared" si="33"/>
        <v>0</v>
      </c>
      <c r="Q25" s="29">
        <f t="shared" si="8"/>
        <v>26</v>
      </c>
      <c r="R25" s="29"/>
      <c r="S25" s="35">
        <v>1.947136563876652</v>
      </c>
      <c r="T25" s="28">
        <v>1000</v>
      </c>
      <c r="U25" s="36">
        <v>400</v>
      </c>
      <c r="V25" s="37" t="s">
        <v>496</v>
      </c>
      <c r="W25" s="14">
        <v>0</v>
      </c>
      <c r="X25" s="38">
        <f t="shared" si="9"/>
        <v>0</v>
      </c>
      <c r="Y25" s="39">
        <f t="shared" si="10"/>
        <v>0</v>
      </c>
      <c r="Z25" s="14">
        <v>0</v>
      </c>
      <c r="AA25" s="28" t="s">
        <v>478</v>
      </c>
      <c r="AB25" s="40">
        <f t="shared" si="11"/>
        <v>-0.69</v>
      </c>
      <c r="AC25" s="41">
        <v>5.8333333333333336E-3</v>
      </c>
      <c r="AD25" s="39">
        <f t="shared" si="12"/>
        <v>-0.13685</v>
      </c>
      <c r="AE25" s="39">
        <v>-2.63</v>
      </c>
      <c r="AF25" s="39">
        <v>-1.47</v>
      </c>
      <c r="AG25" s="39">
        <v>0</v>
      </c>
    </row>
    <row r="26" spans="1:33" ht="15.75" customHeight="1" x14ac:dyDescent="0.2">
      <c r="A26" s="14" t="s">
        <v>67</v>
      </c>
      <c r="B26" s="14" t="s">
        <v>497</v>
      </c>
      <c r="C26" s="15">
        <f t="shared" si="4"/>
        <v>12.021363636363638</v>
      </c>
      <c r="D26" s="16">
        <v>22</v>
      </c>
      <c r="E26" s="16">
        <v>0</v>
      </c>
      <c r="F26" s="17">
        <v>264.47000000000003</v>
      </c>
      <c r="G26" s="17">
        <v>0</v>
      </c>
      <c r="H26" s="31">
        <f t="shared" si="1"/>
        <v>0</v>
      </c>
      <c r="I26" s="31">
        <f t="shared" si="2"/>
        <v>0.49010322531856176</v>
      </c>
      <c r="J26" s="32">
        <f t="shared" si="5"/>
        <v>129.61760000000004</v>
      </c>
      <c r="K26" s="32">
        <f t="shared" si="3"/>
        <v>5.8917090909090923</v>
      </c>
      <c r="L26" s="16">
        <v>49</v>
      </c>
      <c r="M26" s="33">
        <f t="shared" si="6"/>
        <v>0.44897959183673469</v>
      </c>
      <c r="N26" s="16">
        <v>49</v>
      </c>
      <c r="O26" s="34">
        <f t="shared" ref="O26:P26" si="34">D26/7</f>
        <v>3.1428571428571428</v>
      </c>
      <c r="P26" s="34">
        <f t="shared" si="34"/>
        <v>0</v>
      </c>
      <c r="Q26" s="29">
        <f t="shared" si="8"/>
        <v>15</v>
      </c>
      <c r="R26" s="29"/>
      <c r="S26" s="21">
        <v>2.3092783505154642</v>
      </c>
      <c r="T26" s="28">
        <v>1000</v>
      </c>
      <c r="U26" s="36">
        <v>400</v>
      </c>
      <c r="V26" s="37" t="s">
        <v>496</v>
      </c>
      <c r="W26" s="14">
        <v>0</v>
      </c>
      <c r="X26" s="38">
        <f t="shared" si="9"/>
        <v>0</v>
      </c>
      <c r="Y26" s="39">
        <f t="shared" si="10"/>
        <v>0</v>
      </c>
      <c r="Z26" s="14">
        <v>0</v>
      </c>
      <c r="AA26" s="28" t="s">
        <v>478</v>
      </c>
      <c r="AB26" s="40">
        <f t="shared" si="11"/>
        <v>-0.69</v>
      </c>
      <c r="AC26" s="41">
        <v>5.8333333333333336E-3</v>
      </c>
      <c r="AD26" s="39">
        <f t="shared" si="12"/>
        <v>-0.17710000000000001</v>
      </c>
      <c r="AE26" s="25">
        <v>-2.84</v>
      </c>
      <c r="AF26" s="25">
        <v>-1.4783999999999999</v>
      </c>
      <c r="AG26" s="25">
        <v>0</v>
      </c>
    </row>
    <row r="27" spans="1:33" ht="15.75" customHeight="1" x14ac:dyDescent="0.2">
      <c r="A27" s="14" t="s">
        <v>69</v>
      </c>
      <c r="B27" s="14" t="s">
        <v>498</v>
      </c>
      <c r="C27" s="15">
        <f t="shared" si="4"/>
        <v>12.015000000000001</v>
      </c>
      <c r="D27" s="16">
        <v>24</v>
      </c>
      <c r="E27" s="16">
        <v>0</v>
      </c>
      <c r="F27" s="17">
        <v>288.36</v>
      </c>
      <c r="G27" s="17">
        <v>0</v>
      </c>
      <c r="H27" s="31">
        <f t="shared" si="1"/>
        <v>0</v>
      </c>
      <c r="I27" s="31">
        <f t="shared" si="2"/>
        <v>0.4829213483146067</v>
      </c>
      <c r="J27" s="32">
        <f t="shared" si="5"/>
        <v>139.2552</v>
      </c>
      <c r="K27" s="32">
        <f t="shared" si="3"/>
        <v>5.8022999999999998</v>
      </c>
      <c r="L27" s="16">
        <v>58</v>
      </c>
      <c r="M27" s="33">
        <f t="shared" si="6"/>
        <v>0.41379310344827586</v>
      </c>
      <c r="N27" s="16">
        <v>25</v>
      </c>
      <c r="O27" s="34">
        <f t="shared" ref="O27:P27" si="35">D27/7</f>
        <v>3.4285714285714284</v>
      </c>
      <c r="P27" s="34">
        <f t="shared" si="35"/>
        <v>0</v>
      </c>
      <c r="Q27" s="29">
        <f t="shared" si="8"/>
        <v>7</v>
      </c>
      <c r="R27" s="29"/>
      <c r="S27" s="21">
        <v>2.32258064516129</v>
      </c>
      <c r="T27" s="28">
        <v>1000</v>
      </c>
      <c r="U27" s="36">
        <v>400</v>
      </c>
      <c r="V27" s="37" t="s">
        <v>499</v>
      </c>
      <c r="W27" s="14">
        <v>0</v>
      </c>
      <c r="X27" s="38">
        <f t="shared" si="9"/>
        <v>0</v>
      </c>
      <c r="Y27" s="39">
        <f t="shared" si="10"/>
        <v>0</v>
      </c>
      <c r="Z27" s="14">
        <v>0</v>
      </c>
      <c r="AA27" s="28" t="s">
        <v>478</v>
      </c>
      <c r="AB27" s="40">
        <f t="shared" si="11"/>
        <v>-0.69</v>
      </c>
      <c r="AC27" s="41">
        <v>5.8333333333333336E-3</v>
      </c>
      <c r="AD27" s="39">
        <f t="shared" si="12"/>
        <v>-0.19319999999999998</v>
      </c>
      <c r="AE27" s="25">
        <v>-2.84</v>
      </c>
      <c r="AF27" s="25">
        <v>-1.5624</v>
      </c>
      <c r="AG27" s="25">
        <v>0</v>
      </c>
    </row>
    <row r="28" spans="1:33" ht="15.75" customHeight="1" x14ac:dyDescent="0.2">
      <c r="A28" s="14" t="s">
        <v>71</v>
      </c>
      <c r="B28" s="14" t="s">
        <v>150</v>
      </c>
      <c r="C28" s="15">
        <f t="shared" si="4"/>
        <v>12.483684210526315</v>
      </c>
      <c r="D28" s="16">
        <v>19</v>
      </c>
      <c r="E28" s="16">
        <v>1</v>
      </c>
      <c r="F28" s="17">
        <v>237.19</v>
      </c>
      <c r="G28" s="17">
        <v>0</v>
      </c>
      <c r="H28" s="31">
        <f t="shared" si="1"/>
        <v>0</v>
      </c>
      <c r="I28" s="31">
        <f t="shared" si="2"/>
        <v>0.49670285425186567</v>
      </c>
      <c r="J28" s="32">
        <f t="shared" si="5"/>
        <v>117.81295000000001</v>
      </c>
      <c r="K28" s="32">
        <f t="shared" si="3"/>
        <v>6.2006815789473695</v>
      </c>
      <c r="L28" s="16">
        <v>61</v>
      </c>
      <c r="M28" s="33">
        <f t="shared" si="6"/>
        <v>0.31147540983606559</v>
      </c>
      <c r="N28" s="16">
        <v>7</v>
      </c>
      <c r="O28" s="34">
        <f t="shared" ref="O28:P28" si="36">D28/7</f>
        <v>2.7142857142857144</v>
      </c>
      <c r="P28" s="34">
        <f t="shared" si="36"/>
        <v>0.14285714285714285</v>
      </c>
      <c r="Q28" s="29">
        <f t="shared" si="8"/>
        <v>2</v>
      </c>
      <c r="R28" s="29"/>
      <c r="S28" s="21">
        <v>2.719101123595506</v>
      </c>
      <c r="T28" s="28">
        <v>700</v>
      </c>
      <c r="U28" s="36">
        <v>44384</v>
      </c>
      <c r="V28" s="37" t="s">
        <v>499</v>
      </c>
      <c r="W28" s="14">
        <v>0</v>
      </c>
      <c r="X28" s="38">
        <f t="shared" si="9"/>
        <v>0</v>
      </c>
      <c r="Y28" s="39">
        <f t="shared" si="10"/>
        <v>0</v>
      </c>
      <c r="Z28" s="14">
        <v>0</v>
      </c>
      <c r="AA28" s="28" t="s">
        <v>478</v>
      </c>
      <c r="AB28" s="40">
        <f t="shared" si="11"/>
        <v>-0.69</v>
      </c>
      <c r="AC28" s="41">
        <v>5.8333333333333336E-3</v>
      </c>
      <c r="AD28" s="39">
        <f t="shared" si="12"/>
        <v>-0.15295</v>
      </c>
      <c r="AE28" s="25">
        <v>-2.84</v>
      </c>
      <c r="AF28" s="25">
        <v>-1.5624</v>
      </c>
      <c r="AG28" s="25">
        <v>0</v>
      </c>
    </row>
    <row r="29" spans="1:33" ht="15.75" customHeight="1" x14ac:dyDescent="0.2">
      <c r="A29" s="28" t="s">
        <v>72</v>
      </c>
      <c r="B29" s="28" t="s">
        <v>370</v>
      </c>
      <c r="C29" s="15">
        <f t="shared" si="4"/>
        <v>13.275</v>
      </c>
      <c r="D29" s="29">
        <v>2</v>
      </c>
      <c r="E29" s="29">
        <v>0</v>
      </c>
      <c r="F29" s="32">
        <v>26.55</v>
      </c>
      <c r="G29" s="32">
        <v>0</v>
      </c>
      <c r="H29" s="31">
        <f t="shared" si="1"/>
        <v>0</v>
      </c>
      <c r="I29" s="31">
        <f t="shared" si="2"/>
        <v>0.5177627118644067</v>
      </c>
      <c r="J29" s="32">
        <f t="shared" si="5"/>
        <v>13.746599999999999</v>
      </c>
      <c r="K29" s="32">
        <f t="shared" si="3"/>
        <v>6.8732999999999995</v>
      </c>
      <c r="L29" s="29">
        <v>51</v>
      </c>
      <c r="M29" s="33">
        <f t="shared" si="6"/>
        <v>3.9215686274509803E-2</v>
      </c>
      <c r="N29" s="16">
        <v>100</v>
      </c>
      <c r="O29" s="34">
        <f t="shared" ref="O29:P29" si="37">D29/7</f>
        <v>0.2857142857142857</v>
      </c>
      <c r="P29" s="34">
        <f t="shared" si="37"/>
        <v>0</v>
      </c>
      <c r="Q29" s="29">
        <f t="shared" si="8"/>
        <v>350</v>
      </c>
      <c r="R29" s="29"/>
      <c r="S29" s="21">
        <v>2</v>
      </c>
      <c r="T29" s="28">
        <v>300</v>
      </c>
      <c r="U29" s="36" t="s">
        <v>33</v>
      </c>
      <c r="V29" s="37" t="s">
        <v>33</v>
      </c>
      <c r="W29" s="14">
        <v>0</v>
      </c>
      <c r="X29" s="38">
        <f t="shared" si="9"/>
        <v>0</v>
      </c>
      <c r="Y29" s="39">
        <f t="shared" si="10"/>
        <v>0</v>
      </c>
      <c r="Z29" s="14">
        <v>0</v>
      </c>
      <c r="AA29" s="28" t="s">
        <v>478</v>
      </c>
      <c r="AB29" s="40">
        <f t="shared" si="11"/>
        <v>-0.69</v>
      </c>
      <c r="AC29" s="41">
        <v>5.8333333333333336E-3</v>
      </c>
      <c r="AD29" s="39">
        <f t="shared" si="12"/>
        <v>-1.61E-2</v>
      </c>
      <c r="AE29" s="39">
        <v>-2.84</v>
      </c>
      <c r="AF29" s="25">
        <v>-1.5624</v>
      </c>
      <c r="AG29" s="39">
        <v>0</v>
      </c>
    </row>
    <row r="30" spans="1:33" ht="15.75" customHeight="1" x14ac:dyDescent="0.2">
      <c r="A30" s="14" t="s">
        <v>74</v>
      </c>
      <c r="B30" s="14" t="s">
        <v>95</v>
      </c>
      <c r="C30" s="15">
        <f t="shared" si="4"/>
        <v>12.604615384615386</v>
      </c>
      <c r="D30" s="16">
        <v>13</v>
      </c>
      <c r="E30" s="16">
        <v>3</v>
      </c>
      <c r="F30" s="17">
        <v>163.86</v>
      </c>
      <c r="G30" s="17">
        <v>0</v>
      </c>
      <c r="H30" s="31">
        <f t="shared" si="1"/>
        <v>0</v>
      </c>
      <c r="I30" s="31">
        <f t="shared" si="2"/>
        <v>0.50163483653460261</v>
      </c>
      <c r="J30" s="32">
        <f t="shared" si="5"/>
        <v>82.19788431456</v>
      </c>
      <c r="K30" s="32">
        <f t="shared" si="3"/>
        <v>6.3229141780430771</v>
      </c>
      <c r="L30" s="16">
        <v>56</v>
      </c>
      <c r="M30" s="33">
        <f t="shared" si="6"/>
        <v>0.23214285714285715</v>
      </c>
      <c r="N30" s="16">
        <v>86</v>
      </c>
      <c r="O30" s="34">
        <f t="shared" ref="O30:P30" si="38">D30/7</f>
        <v>1.8571428571428572</v>
      </c>
      <c r="P30" s="34">
        <f t="shared" si="38"/>
        <v>0.42857142857142855</v>
      </c>
      <c r="Q30" s="29">
        <f t="shared" si="8"/>
        <v>37</v>
      </c>
      <c r="R30" s="29"/>
      <c r="S30" s="21">
        <v>2.037558685446009</v>
      </c>
      <c r="T30" s="28">
        <v>1000</v>
      </c>
      <c r="U30" s="36">
        <v>400</v>
      </c>
      <c r="V30" s="37" t="s">
        <v>500</v>
      </c>
      <c r="W30" s="14">
        <v>0</v>
      </c>
      <c r="X30" s="38">
        <f t="shared" si="9"/>
        <v>0</v>
      </c>
      <c r="Y30" s="39">
        <f t="shared" si="10"/>
        <v>0</v>
      </c>
      <c r="Z30" s="14">
        <v>0</v>
      </c>
      <c r="AA30" s="28" t="s">
        <v>478</v>
      </c>
      <c r="AB30" s="40">
        <f t="shared" si="11"/>
        <v>-0.69</v>
      </c>
      <c r="AC30" s="41">
        <v>5.8333333333333336E-3</v>
      </c>
      <c r="AD30" s="39">
        <f t="shared" si="12"/>
        <v>-0.10464999999999999</v>
      </c>
      <c r="AE30" s="25">
        <v>-2.84</v>
      </c>
      <c r="AF30" s="25">
        <v>-1.54295889888</v>
      </c>
      <c r="AG30" s="25">
        <v>0</v>
      </c>
    </row>
    <row r="31" spans="1:33" ht="15.75" customHeight="1" x14ac:dyDescent="0.2">
      <c r="A31" s="14" t="s">
        <v>75</v>
      </c>
      <c r="B31" s="14"/>
      <c r="C31" s="15">
        <f t="shared" si="4"/>
        <v>12.228571428571428</v>
      </c>
      <c r="D31" s="16">
        <v>14</v>
      </c>
      <c r="E31" s="16">
        <v>1</v>
      </c>
      <c r="F31" s="17">
        <v>171.2</v>
      </c>
      <c r="G31" s="42">
        <v>-0.08</v>
      </c>
      <c r="H31" s="31">
        <f t="shared" si="1"/>
        <v>4.6728971962616824E-4</v>
      </c>
      <c r="I31" s="31">
        <f t="shared" si="2"/>
        <v>0.49045487976448587</v>
      </c>
      <c r="J31" s="32">
        <f t="shared" si="5"/>
        <v>83.965875415679974</v>
      </c>
      <c r="K31" s="32">
        <f t="shared" si="3"/>
        <v>5.997562529691427</v>
      </c>
      <c r="L31" s="16">
        <v>44</v>
      </c>
      <c r="M31" s="33">
        <f t="shared" si="6"/>
        <v>0.31818181818181818</v>
      </c>
      <c r="N31" s="16">
        <v>43</v>
      </c>
      <c r="O31" s="34">
        <f t="shared" ref="O31:P32" si="39">D31/7</f>
        <v>2</v>
      </c>
      <c r="P31" s="34">
        <f t="shared" si="39"/>
        <v>0.14285714285714285</v>
      </c>
      <c r="Q31" s="29">
        <f t="shared" si="8"/>
        <v>20</v>
      </c>
      <c r="R31" s="29"/>
      <c r="S31" s="21">
        <v>1.94104308390022</v>
      </c>
      <c r="T31" s="14">
        <v>300</v>
      </c>
      <c r="U31" s="22">
        <v>400</v>
      </c>
      <c r="V31" s="1" t="s">
        <v>952</v>
      </c>
      <c r="W31" s="14">
        <v>0</v>
      </c>
      <c r="X31" s="38">
        <f t="shared" si="9"/>
        <v>0</v>
      </c>
      <c r="Y31" s="39">
        <f t="shared" si="10"/>
        <v>0</v>
      </c>
      <c r="Z31" s="14">
        <v>0</v>
      </c>
      <c r="AA31" s="14" t="s">
        <v>478</v>
      </c>
      <c r="AB31" s="40">
        <f t="shared" si="11"/>
        <v>-0.69</v>
      </c>
      <c r="AC31" s="27">
        <v>5.8333333333333336E-3</v>
      </c>
      <c r="AD31" s="39">
        <f t="shared" si="12"/>
        <v>-0.11269999999999999</v>
      </c>
      <c r="AE31" s="43">
        <v>-2.84</v>
      </c>
      <c r="AF31" s="43">
        <v>-1.54295889888</v>
      </c>
      <c r="AG31" s="25">
        <v>0</v>
      </c>
    </row>
    <row r="32" spans="1:33" s="51" customFormat="1" ht="15.75" customHeight="1" x14ac:dyDescent="0.2">
      <c r="A32" s="51" t="s">
        <v>934</v>
      </c>
      <c r="C32" s="15">
        <f t="shared" si="4"/>
        <v>12.562727272727273</v>
      </c>
      <c r="D32" s="52">
        <v>11</v>
      </c>
      <c r="E32" s="52">
        <v>0</v>
      </c>
      <c r="F32" s="53">
        <v>138.19</v>
      </c>
      <c r="G32" s="53">
        <v>0</v>
      </c>
      <c r="H32" s="31">
        <f t="shared" si="1"/>
        <v>0</v>
      </c>
      <c r="I32" s="31">
        <f t="shared" si="2"/>
        <v>0.50047327673724584</v>
      </c>
      <c r="J32" s="32">
        <f t="shared" si="5"/>
        <v>69.16040211232</v>
      </c>
      <c r="K32" s="32">
        <f t="shared" si="3"/>
        <v>6.2873092829381818</v>
      </c>
      <c r="L32" s="52">
        <v>44</v>
      </c>
      <c r="M32" s="33">
        <f t="shared" si="6"/>
        <v>0.25</v>
      </c>
      <c r="N32" s="52">
        <v>32</v>
      </c>
      <c r="O32" s="34">
        <f t="shared" si="39"/>
        <v>1.5714285714285714</v>
      </c>
      <c r="P32" s="34">
        <f t="shared" si="39"/>
        <v>0</v>
      </c>
      <c r="Q32" s="29">
        <f t="shared" si="8"/>
        <v>20</v>
      </c>
      <c r="R32" s="29" t="str">
        <f ca="1">IFERROR(VLOOKUP($B$2,IMPORTRANGE("https://docs.google.com/spreadsheets/d/1KiWZV1ko8G7lnRucBRBd29jj3Be6ltMfljMDqzOkQmI/edit#gid=1381463014","Lookup!A:F"),6,FALSE),"")</f>
        <v/>
      </c>
      <c r="S32" s="54">
        <v>2.6545454545454552</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478</v>
      </c>
      <c r="AB32" s="40">
        <f t="shared" si="11"/>
        <v>-0.69</v>
      </c>
      <c r="AC32" s="57">
        <v>5.8333333333333336E-3</v>
      </c>
      <c r="AD32" s="39">
        <f t="shared" si="12"/>
        <v>-8.8550000000000004E-2</v>
      </c>
      <c r="AE32" s="58">
        <v>-2.84</v>
      </c>
      <c r="AF32" s="58">
        <v>-1.54295889888</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20.33203125" customWidth="1"/>
    <col min="21" max="21" width="25.6640625" customWidth="1"/>
    <col min="22" max="22" width="62.832031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Info!B1:BJ5000""),3,FALSE),"""")"),"6 Ft Appliance Extension Cord Heavy Duty, Gray - 14 Gauge 3 Prong SPT-3 Air Conditioner Cable")</f>
        <v>6 Ft Appliance Extension Cord Heavy Duty, Gray - 14 Gauge 3 Prong SPT-3 Air Conditioner Cable</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Info!B1:BJ5000""),2,FALSE),"""")"),"B07ZS31B9Z")</f>
        <v>B07ZS31B9Z</v>
      </c>
      <c r="B2" s="3" t="s">
        <v>501</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60.75" customHeight="1" x14ac:dyDescent="0.2">
      <c r="A3" s="76" t="s">
        <v>30</v>
      </c>
      <c r="B3" s="77"/>
      <c r="C3" s="47">
        <f>((AE32+AF32)/0.85)*-1</f>
        <v>7.1670193385411771</v>
      </c>
      <c r="D3" s="5">
        <f>SUM(D4:D99765)</f>
        <v>583</v>
      </c>
      <c r="E3" s="5"/>
      <c r="F3" s="6">
        <f t="shared" ref="F3:G3" si="0">SUM(F4:F99765)</f>
        <v>6614.9000000000005</v>
      </c>
      <c r="G3" s="6">
        <f t="shared" si="0"/>
        <v>-0.44</v>
      </c>
      <c r="H3" s="7">
        <f t="shared" ref="H3:H32" si="1">G3/F3*-1</f>
        <v>6.6516500627371533E-5</v>
      </c>
      <c r="I3" s="8">
        <f t="shared" ref="I3:I32" si="2">J3/F3</f>
        <v>0.35279772441371027</v>
      </c>
      <c r="J3" s="6">
        <f>SUM(J4:J99765)</f>
        <v>2333.7216672242521</v>
      </c>
      <c r="K3" s="6">
        <f t="shared" ref="K3:K32" si="3">J3/D3</f>
        <v>4.0029531170227308</v>
      </c>
      <c r="L3" s="5"/>
      <c r="M3" s="9"/>
      <c r="N3" s="10"/>
      <c r="O3" s="5" t="str">
        <f ca="1">IFERROR(__xludf.DUMMYFUNCTION("IFERROR(VLOOKUP(B2,IMPORTRANGE(""https://docs.google.com/spreadsheets/d/1N8jvpEHDVkurDv7NrPxwI3eH6hQsvtb1QltGNCalRjU/edit#gid=865736387"",""Compiled Sheet!a1:g5000""),2,FALSE),"""")"),"5 - March
5 - April
9 - May
9 - June
9 - July
9 - Aug
9 - Sept
8 - Oct
8 - Nov
8 - Dec
5 - Jan
5 - Feb")</f>
        <v>5 - March
5 - April
9 - May
9 - June
9 - July
9 - Aug
9 - Sept
8 - Oct
8 - Nov
8 - Dec
5 - Jan
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3</v>
      </c>
      <c r="X3" s="7">
        <f>W3/D3</f>
        <v>5.1457975986277877E-3</v>
      </c>
      <c r="Y3" s="6"/>
      <c r="Z3" s="5"/>
      <c r="AA3" s="5"/>
      <c r="AB3" s="5"/>
      <c r="AC3" s="5"/>
      <c r="AD3" s="6">
        <f>SUM(AD4:AD99765)</f>
        <v>-19.946720017381217</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Info!B2:BZ7000""),37,FALSE)),"""")*-1"),-2.45196643776)</f>
        <v>-2.4519664377599999</v>
      </c>
      <c r="AG3" s="6">
        <f>SUM(AG4:AG99765)</f>
        <v>0</v>
      </c>
    </row>
    <row r="4" spans="1:33" ht="15.75" customHeight="1" x14ac:dyDescent="0.2">
      <c r="A4" s="14" t="s">
        <v>31</v>
      </c>
      <c r="B4" s="14" t="s">
        <v>502</v>
      </c>
      <c r="C4" s="15">
        <f t="shared" ref="C4:C32" si="4">IFERROR(F4/D4," - ")</f>
        <v>10.09</v>
      </c>
      <c r="D4" s="16">
        <v>7</v>
      </c>
      <c r="E4" s="16">
        <v>0</v>
      </c>
      <c r="F4" s="17">
        <v>70.63</v>
      </c>
      <c r="G4" s="17">
        <v>-0.08</v>
      </c>
      <c r="H4" s="18">
        <f t="shared" si="1"/>
        <v>1.132663174288546E-3</v>
      </c>
      <c r="I4" s="18">
        <f t="shared" si="2"/>
        <v>0.30410179719520647</v>
      </c>
      <c r="J4" s="17">
        <f t="shared" ref="J4:J32" si="5">F4*0.85+G4+AF4*D4+D4*AE4+AG4+AD4</f>
        <v>21.478709935897431</v>
      </c>
      <c r="K4" s="17">
        <f t="shared" si="3"/>
        <v>3.0683871336996331</v>
      </c>
      <c r="L4" s="16">
        <v>15</v>
      </c>
      <c r="M4" s="19">
        <f t="shared" ref="M4:M32" si="6">IFERROR(D4/L4,"-")</f>
        <v>0.46666666666666667</v>
      </c>
      <c r="N4" s="16">
        <v>239</v>
      </c>
      <c r="O4" s="20">
        <f t="shared" ref="O4:P4" si="7">D4/7</f>
        <v>1</v>
      </c>
      <c r="P4" s="20">
        <f t="shared" si="7"/>
        <v>0</v>
      </c>
      <c r="Q4" s="16">
        <f t="shared" ref="Q4:Q32" si="8">ROUNDDOWN(N4/(O4+P4),0)</f>
        <v>239</v>
      </c>
      <c r="R4" s="16"/>
      <c r="S4" s="21">
        <v>0.165289256198347</v>
      </c>
      <c r="T4" s="14">
        <v>250</v>
      </c>
      <c r="U4" s="22">
        <v>200</v>
      </c>
      <c r="V4" s="23" t="s">
        <v>503</v>
      </c>
      <c r="W4" s="14">
        <v>0</v>
      </c>
      <c r="X4" s="24">
        <f t="shared" ref="X4:X32" si="9">IFERROR(W4/D4,0)</f>
        <v>0</v>
      </c>
      <c r="Y4" s="25">
        <f t="shared" ref="Y4:Y32" si="10">IFERROR(G4/(W4+Z4)*-1,0)</f>
        <v>0</v>
      </c>
      <c r="Z4" s="14">
        <v>0</v>
      </c>
      <c r="AA4" s="2" t="s">
        <v>34</v>
      </c>
      <c r="AB4" s="26">
        <f t="shared" ref="AB4:AB32" si="11">IF(OR(AA4="UsLargeStandardSize",AA4="UsSmallStandardSize"),-0.69,-0.48)</f>
        <v>-0.69</v>
      </c>
      <c r="AC4" s="27">
        <v>2.4791666666666663E-2</v>
      </c>
      <c r="AD4" s="25">
        <f t="shared" ref="AD4:AD32" si="12">IFERROR(AB4*AC4*D4*2,0)</f>
        <v>-0.23948749999999996</v>
      </c>
      <c r="AE4" s="25">
        <v>-3.48</v>
      </c>
      <c r="AF4" s="25">
        <v>-1.9824717948717947</v>
      </c>
      <c r="AG4" s="25">
        <v>0</v>
      </c>
    </row>
    <row r="5" spans="1:33" ht="15.75" customHeight="1" x14ac:dyDescent="0.2">
      <c r="A5" s="28" t="s">
        <v>35</v>
      </c>
      <c r="B5" s="28" t="s">
        <v>504</v>
      </c>
      <c r="C5" s="15">
        <f t="shared" si="4"/>
        <v>9.0399999999999991</v>
      </c>
      <c r="D5" s="29">
        <v>21</v>
      </c>
      <c r="E5" s="29">
        <v>0</v>
      </c>
      <c r="F5" s="30">
        <v>189.83999999999997</v>
      </c>
      <c r="G5" s="30">
        <v>-0.08</v>
      </c>
      <c r="H5" s="31">
        <f t="shared" si="1"/>
        <v>4.2140750105351882E-4</v>
      </c>
      <c r="I5" s="31">
        <f t="shared" si="2"/>
        <v>0.2415339090302942</v>
      </c>
      <c r="J5" s="32">
        <f t="shared" si="5"/>
        <v>45.852797290311045</v>
      </c>
      <c r="K5" s="32">
        <f t="shared" si="3"/>
        <v>2.1834665376338593</v>
      </c>
      <c r="L5" s="29">
        <v>28</v>
      </c>
      <c r="M5" s="33">
        <f t="shared" si="6"/>
        <v>0.75</v>
      </c>
      <c r="N5" s="29">
        <v>221</v>
      </c>
      <c r="O5" s="34">
        <f t="shared" ref="O5:P5" si="13">D5/7</f>
        <v>3</v>
      </c>
      <c r="P5" s="34">
        <f t="shared" si="13"/>
        <v>0</v>
      </c>
      <c r="Q5" s="29">
        <f t="shared" si="8"/>
        <v>73</v>
      </c>
      <c r="R5" s="29"/>
      <c r="S5" s="35">
        <v>0.40174672489082902</v>
      </c>
      <c r="T5" s="28">
        <v>250</v>
      </c>
      <c r="U5" s="36">
        <v>200</v>
      </c>
      <c r="V5" s="37" t="s">
        <v>505</v>
      </c>
      <c r="W5" s="28">
        <v>0</v>
      </c>
      <c r="X5" s="38">
        <f t="shared" si="9"/>
        <v>0</v>
      </c>
      <c r="Y5" s="39">
        <f t="shared" si="10"/>
        <v>0</v>
      </c>
      <c r="Z5" s="28">
        <v>0</v>
      </c>
      <c r="AA5" s="28" t="s">
        <v>34</v>
      </c>
      <c r="AB5" s="40">
        <f t="shared" si="11"/>
        <v>-0.69</v>
      </c>
      <c r="AC5" s="41">
        <v>2.482039397450753E-2</v>
      </c>
      <c r="AD5" s="39">
        <f t="shared" si="12"/>
        <v>-0.71929501738122814</v>
      </c>
      <c r="AE5" s="39">
        <v>-3.48</v>
      </c>
      <c r="AF5" s="39">
        <v>-1.9824717948717947</v>
      </c>
      <c r="AG5" s="39">
        <v>0</v>
      </c>
    </row>
    <row r="6" spans="1:33" ht="15.75" customHeight="1" x14ac:dyDescent="0.2">
      <c r="A6" s="28" t="s">
        <v>37</v>
      </c>
      <c r="B6" s="28" t="s">
        <v>506</v>
      </c>
      <c r="C6" s="15">
        <f t="shared" si="4"/>
        <v>8.6239705882352897</v>
      </c>
      <c r="D6" s="29">
        <v>68</v>
      </c>
      <c r="E6" s="29">
        <v>0</v>
      </c>
      <c r="F6" s="30">
        <v>586.42999999999972</v>
      </c>
      <c r="G6" s="30">
        <v>0</v>
      </c>
      <c r="H6" s="31">
        <f t="shared" si="1"/>
        <v>0</v>
      </c>
      <c r="I6" s="31">
        <f t="shared" si="2"/>
        <v>0.21262719838466274</v>
      </c>
      <c r="J6" s="32">
        <f t="shared" si="5"/>
        <v>124.69096794871771</v>
      </c>
      <c r="K6" s="32">
        <f t="shared" si="3"/>
        <v>1.8336907051282016</v>
      </c>
      <c r="L6" s="29">
        <v>79</v>
      </c>
      <c r="M6" s="33">
        <f t="shared" si="6"/>
        <v>0.86075949367088611</v>
      </c>
      <c r="N6" s="29">
        <v>155</v>
      </c>
      <c r="O6" s="34">
        <f t="shared" ref="O6:P6" si="14">D6/7</f>
        <v>9.7142857142857135</v>
      </c>
      <c r="P6" s="34">
        <f t="shared" si="14"/>
        <v>0</v>
      </c>
      <c r="Q6" s="29">
        <f t="shared" si="8"/>
        <v>15</v>
      </c>
      <c r="R6" s="29"/>
      <c r="S6" s="35">
        <v>1.8265895953757201</v>
      </c>
      <c r="T6" s="28">
        <v>50</v>
      </c>
      <c r="U6" s="36" t="s">
        <v>33</v>
      </c>
      <c r="V6" s="37" t="s">
        <v>39</v>
      </c>
      <c r="W6" s="28">
        <v>0</v>
      </c>
      <c r="X6" s="38">
        <f t="shared" si="9"/>
        <v>0</v>
      </c>
      <c r="Y6" s="39">
        <f t="shared" si="10"/>
        <v>0</v>
      </c>
      <c r="Z6" s="28">
        <v>0</v>
      </c>
      <c r="AA6" s="28" t="s">
        <v>34</v>
      </c>
      <c r="AB6" s="40">
        <f t="shared" si="11"/>
        <v>-0.69</v>
      </c>
      <c r="AC6" s="41">
        <v>2.4791666666666663E-2</v>
      </c>
      <c r="AD6" s="39">
        <f t="shared" si="12"/>
        <v>-2.3264499999999995</v>
      </c>
      <c r="AE6" s="39">
        <v>-3.48</v>
      </c>
      <c r="AF6" s="39">
        <v>-1.9824717948717947</v>
      </c>
      <c r="AG6" s="39">
        <v>0</v>
      </c>
    </row>
    <row r="7" spans="1:33" ht="15.75" customHeight="1" x14ac:dyDescent="0.2">
      <c r="A7" s="28" t="s">
        <v>40</v>
      </c>
      <c r="B7" s="28" t="s">
        <v>507</v>
      </c>
      <c r="C7" s="15">
        <f t="shared" si="4"/>
        <v>9.6451282051282039</v>
      </c>
      <c r="D7" s="29">
        <v>39</v>
      </c>
      <c r="E7" s="29">
        <v>0</v>
      </c>
      <c r="F7" s="30">
        <v>376.15999999999997</v>
      </c>
      <c r="G7" s="30">
        <v>0</v>
      </c>
      <c r="H7" s="31">
        <f t="shared" si="1"/>
        <v>0</v>
      </c>
      <c r="I7" s="31">
        <f t="shared" si="2"/>
        <v>0.28010770018077419</v>
      </c>
      <c r="J7" s="32">
        <f t="shared" si="5"/>
        <v>105.3653125</v>
      </c>
      <c r="K7" s="32">
        <f t="shared" si="3"/>
        <v>2.7016746794871795</v>
      </c>
      <c r="L7" s="29">
        <v>92</v>
      </c>
      <c r="M7" s="33">
        <f t="shared" si="6"/>
        <v>0.42391304347826086</v>
      </c>
      <c r="N7" s="29">
        <v>116</v>
      </c>
      <c r="O7" s="34">
        <f t="shared" ref="O7:P7" si="15">D7/7</f>
        <v>5.5714285714285712</v>
      </c>
      <c r="P7" s="34">
        <f t="shared" si="15"/>
        <v>0</v>
      </c>
      <c r="Q7" s="29">
        <f t="shared" si="8"/>
        <v>20</v>
      </c>
      <c r="R7" s="29"/>
      <c r="S7" s="35">
        <v>1.32266666666666</v>
      </c>
      <c r="T7" s="28">
        <v>50</v>
      </c>
      <c r="U7" s="36" t="s">
        <v>33</v>
      </c>
      <c r="V7" s="37" t="s">
        <v>39</v>
      </c>
      <c r="W7" s="28">
        <v>0</v>
      </c>
      <c r="X7" s="38">
        <f t="shared" si="9"/>
        <v>0</v>
      </c>
      <c r="Y7" s="39">
        <f t="shared" si="10"/>
        <v>0</v>
      </c>
      <c r="Z7" s="28">
        <v>0</v>
      </c>
      <c r="AA7" s="28" t="s">
        <v>34</v>
      </c>
      <c r="AB7" s="40">
        <f t="shared" si="11"/>
        <v>-0.69</v>
      </c>
      <c r="AC7" s="41">
        <v>2.4791666666666663E-2</v>
      </c>
      <c r="AD7" s="39">
        <f t="shared" si="12"/>
        <v>-1.3342874999999996</v>
      </c>
      <c r="AE7" s="39">
        <v>-3.48</v>
      </c>
      <c r="AF7" s="39">
        <v>-1.9824717948717947</v>
      </c>
      <c r="AG7" s="39">
        <v>0</v>
      </c>
    </row>
    <row r="8" spans="1:33" ht="15.75" customHeight="1" x14ac:dyDescent="0.2">
      <c r="A8" s="28" t="s">
        <v>42</v>
      </c>
      <c r="B8" s="28" t="s">
        <v>508</v>
      </c>
      <c r="C8" s="15">
        <f t="shared" si="4"/>
        <v>10.854222222222226</v>
      </c>
      <c r="D8" s="29">
        <v>45</v>
      </c>
      <c r="E8" s="29">
        <v>1</v>
      </c>
      <c r="F8" s="30">
        <v>488.44000000000017</v>
      </c>
      <c r="G8" s="30">
        <v>0</v>
      </c>
      <c r="H8" s="31">
        <f t="shared" si="1"/>
        <v>0</v>
      </c>
      <c r="I8" s="31">
        <f t="shared" si="2"/>
        <v>0.34381794590942621</v>
      </c>
      <c r="J8" s="32">
        <f t="shared" si="5"/>
        <v>167.9344375000002</v>
      </c>
      <c r="K8" s="32">
        <f t="shared" si="3"/>
        <v>3.7318763888888933</v>
      </c>
      <c r="L8" s="29">
        <v>56</v>
      </c>
      <c r="M8" s="33">
        <f t="shared" si="6"/>
        <v>0.8035714285714286</v>
      </c>
      <c r="N8" s="29">
        <v>66</v>
      </c>
      <c r="O8" s="34">
        <f t="shared" ref="O8:P8" si="16">D8/7</f>
        <v>6.4285714285714288</v>
      </c>
      <c r="P8" s="34">
        <f t="shared" si="16"/>
        <v>0.14285714285714285</v>
      </c>
      <c r="Q8" s="29">
        <f t="shared" si="8"/>
        <v>10</v>
      </c>
      <c r="R8" s="29"/>
      <c r="S8" s="35">
        <v>2.1943573667711598</v>
      </c>
      <c r="T8" s="28">
        <v>50</v>
      </c>
      <c r="U8" s="36" t="s">
        <v>33</v>
      </c>
      <c r="V8" s="37" t="s">
        <v>33</v>
      </c>
      <c r="W8" s="28">
        <v>0</v>
      </c>
      <c r="X8" s="38">
        <f t="shared" si="9"/>
        <v>0</v>
      </c>
      <c r="Y8" s="39">
        <f t="shared" si="10"/>
        <v>0</v>
      </c>
      <c r="Z8" s="28">
        <v>0</v>
      </c>
      <c r="AA8" s="28" t="s">
        <v>34</v>
      </c>
      <c r="AB8" s="40">
        <f t="shared" si="11"/>
        <v>-0.69</v>
      </c>
      <c r="AC8" s="41">
        <v>2.4791666666666663E-2</v>
      </c>
      <c r="AD8" s="39">
        <f t="shared" si="12"/>
        <v>-1.5395624999999997</v>
      </c>
      <c r="AE8" s="39">
        <v>-3.48</v>
      </c>
      <c r="AF8" s="39">
        <v>-1.98</v>
      </c>
      <c r="AG8" s="39">
        <v>0</v>
      </c>
    </row>
    <row r="9" spans="1:33" ht="15.75" customHeight="1" x14ac:dyDescent="0.2">
      <c r="A9" s="28" t="s">
        <v>44</v>
      </c>
      <c r="B9" s="28" t="s">
        <v>194</v>
      </c>
      <c r="C9" s="15">
        <f t="shared" si="4"/>
        <v>11.225312500000003</v>
      </c>
      <c r="D9" s="29">
        <v>32</v>
      </c>
      <c r="E9" s="29">
        <v>4</v>
      </c>
      <c r="F9" s="30">
        <v>359.21000000000009</v>
      </c>
      <c r="G9" s="30">
        <v>-0.08</v>
      </c>
      <c r="H9" s="31">
        <f t="shared" si="1"/>
        <v>2.2271094902703148E-4</v>
      </c>
      <c r="I9" s="31">
        <f t="shared" si="2"/>
        <v>0.35691433266305972</v>
      </c>
      <c r="J9" s="32">
        <f t="shared" si="5"/>
        <v>128.20719743589771</v>
      </c>
      <c r="K9" s="32">
        <f t="shared" si="3"/>
        <v>4.0064749198718035</v>
      </c>
      <c r="L9" s="29">
        <v>54</v>
      </c>
      <c r="M9" s="33">
        <f t="shared" si="6"/>
        <v>0.59259259259259256</v>
      </c>
      <c r="N9" s="29">
        <v>34</v>
      </c>
      <c r="O9" s="34">
        <f t="shared" ref="O9:P9" si="17">D9/7</f>
        <v>4.5714285714285712</v>
      </c>
      <c r="P9" s="34">
        <f t="shared" si="17"/>
        <v>0.5714285714285714</v>
      </c>
      <c r="Q9" s="29">
        <f t="shared" si="8"/>
        <v>6</v>
      </c>
      <c r="R9" s="29"/>
      <c r="S9" s="35">
        <v>3.5371900826446199</v>
      </c>
      <c r="T9" s="28">
        <v>50</v>
      </c>
      <c r="U9" s="36" t="s">
        <v>33</v>
      </c>
      <c r="V9" s="37" t="s">
        <v>33</v>
      </c>
      <c r="W9" s="28">
        <v>2</v>
      </c>
      <c r="X9" s="38">
        <f t="shared" si="9"/>
        <v>6.25E-2</v>
      </c>
      <c r="Y9" s="39">
        <f t="shared" si="10"/>
        <v>0.04</v>
      </c>
      <c r="Z9" s="28">
        <v>0</v>
      </c>
      <c r="AA9" s="28" t="s">
        <v>34</v>
      </c>
      <c r="AB9" s="40">
        <f t="shared" si="11"/>
        <v>-0.69</v>
      </c>
      <c r="AC9" s="41">
        <v>2.4791666666666663E-2</v>
      </c>
      <c r="AD9" s="39">
        <f t="shared" si="12"/>
        <v>-1.0947999999999998</v>
      </c>
      <c r="AE9" s="39">
        <v>-3.48</v>
      </c>
      <c r="AF9" s="39">
        <v>-2.0183282051282001</v>
      </c>
      <c r="AG9" s="39">
        <v>0</v>
      </c>
    </row>
    <row r="10" spans="1:33" ht="15.75" customHeight="1" x14ac:dyDescent="0.2">
      <c r="A10" s="28" t="s">
        <v>46</v>
      </c>
      <c r="B10" s="28" t="s">
        <v>52</v>
      </c>
      <c r="C10" s="15">
        <f t="shared" si="4"/>
        <v>11.354166666666671</v>
      </c>
      <c r="D10" s="29">
        <v>24</v>
      </c>
      <c r="E10" s="29">
        <v>3</v>
      </c>
      <c r="F10" s="30">
        <v>272.50000000000011</v>
      </c>
      <c r="G10" s="30">
        <v>0</v>
      </c>
      <c r="H10" s="31">
        <f t="shared" si="1"/>
        <v>0</v>
      </c>
      <c r="I10" s="31">
        <f t="shared" si="2"/>
        <v>0.3627303599153146</v>
      </c>
      <c r="J10" s="32">
        <f t="shared" si="5"/>
        <v>98.844023076923278</v>
      </c>
      <c r="K10" s="32">
        <f t="shared" si="3"/>
        <v>4.1185009615384702</v>
      </c>
      <c r="L10" s="29">
        <v>62</v>
      </c>
      <c r="M10" s="33">
        <f t="shared" si="6"/>
        <v>0.38709677419354838</v>
      </c>
      <c r="N10" s="29">
        <v>2</v>
      </c>
      <c r="O10" s="34">
        <f t="shared" ref="O10:P10" si="18">D10/7</f>
        <v>3.4285714285714284</v>
      </c>
      <c r="P10" s="34">
        <f t="shared" si="18"/>
        <v>0.42857142857142855</v>
      </c>
      <c r="Q10" s="29">
        <f t="shared" si="8"/>
        <v>0</v>
      </c>
      <c r="R10" s="29"/>
      <c r="S10" s="35">
        <v>4.8118811881188099</v>
      </c>
      <c r="T10" s="28">
        <v>50</v>
      </c>
      <c r="U10" s="36" t="s">
        <v>33</v>
      </c>
      <c r="V10" s="37" t="s">
        <v>33</v>
      </c>
      <c r="W10" s="28">
        <v>0</v>
      </c>
      <c r="X10" s="38">
        <f t="shared" si="9"/>
        <v>0</v>
      </c>
      <c r="Y10" s="39">
        <f t="shared" si="10"/>
        <v>0</v>
      </c>
      <c r="Z10" s="28">
        <v>0</v>
      </c>
      <c r="AA10" s="28" t="s">
        <v>34</v>
      </c>
      <c r="AB10" s="40">
        <f t="shared" si="11"/>
        <v>-0.69</v>
      </c>
      <c r="AC10" s="41">
        <v>2.4791666666666663E-2</v>
      </c>
      <c r="AD10" s="39">
        <f t="shared" si="12"/>
        <v>-0.82109999999999983</v>
      </c>
      <c r="AE10" s="39">
        <v>-3.48</v>
      </c>
      <c r="AF10" s="39">
        <v>-2.0183282051282001</v>
      </c>
      <c r="AG10" s="39">
        <v>0</v>
      </c>
    </row>
    <row r="11" spans="1:33" ht="15.75" customHeight="1" x14ac:dyDescent="0.2">
      <c r="A11" s="28" t="s">
        <v>48</v>
      </c>
      <c r="B11" s="28" t="s">
        <v>509</v>
      </c>
      <c r="C11" s="15">
        <f t="shared" si="4"/>
        <v>10.99</v>
      </c>
      <c r="D11" s="29">
        <v>6</v>
      </c>
      <c r="E11" s="29">
        <v>0</v>
      </c>
      <c r="F11" s="30">
        <v>65.94</v>
      </c>
      <c r="G11" s="30">
        <v>0</v>
      </c>
      <c r="H11" s="31">
        <f t="shared" si="1"/>
        <v>0</v>
      </c>
      <c r="I11" s="31">
        <f t="shared" si="2"/>
        <v>0.34658410326403999</v>
      </c>
      <c r="J11" s="32">
        <f t="shared" si="5"/>
        <v>22.853755769230798</v>
      </c>
      <c r="K11" s="32">
        <f t="shared" si="3"/>
        <v>3.8089592948717996</v>
      </c>
      <c r="L11" s="29">
        <v>17</v>
      </c>
      <c r="M11" s="33">
        <f t="shared" si="6"/>
        <v>0.35294117647058826</v>
      </c>
      <c r="N11" s="29">
        <v>199</v>
      </c>
      <c r="O11" s="34">
        <f t="shared" ref="O11:P11" si="19">D11/7</f>
        <v>0.8571428571428571</v>
      </c>
      <c r="P11" s="34">
        <f t="shared" si="19"/>
        <v>0</v>
      </c>
      <c r="Q11" s="29">
        <f t="shared" si="8"/>
        <v>232</v>
      </c>
      <c r="R11" s="29"/>
      <c r="S11" s="35">
        <v>1.7310344827586199</v>
      </c>
      <c r="T11" s="28">
        <v>1050</v>
      </c>
      <c r="U11" s="36" t="s">
        <v>33</v>
      </c>
      <c r="V11" s="37" t="s">
        <v>510</v>
      </c>
      <c r="W11" s="28">
        <v>0</v>
      </c>
      <c r="X11" s="38">
        <f t="shared" si="9"/>
        <v>0</v>
      </c>
      <c r="Y11" s="39">
        <f t="shared" si="10"/>
        <v>0</v>
      </c>
      <c r="Z11" s="28">
        <v>0</v>
      </c>
      <c r="AA11" s="28" t="s">
        <v>34</v>
      </c>
      <c r="AB11" s="40">
        <f t="shared" si="11"/>
        <v>-0.69</v>
      </c>
      <c r="AC11" s="41">
        <v>2.4791666666666663E-2</v>
      </c>
      <c r="AD11" s="39">
        <f t="shared" si="12"/>
        <v>-0.20527499999999996</v>
      </c>
      <c r="AE11" s="39">
        <v>-3.48</v>
      </c>
      <c r="AF11" s="39">
        <v>-2.0183282051282001</v>
      </c>
      <c r="AG11" s="39">
        <v>0</v>
      </c>
    </row>
    <row r="12" spans="1:33" ht="15.75" customHeight="1" x14ac:dyDescent="0.2">
      <c r="A12" s="28" t="s">
        <v>49</v>
      </c>
      <c r="B12" s="28" t="s">
        <v>47</v>
      </c>
      <c r="C12" s="15">
        <f t="shared" si="4"/>
        <v>9.449999999999994</v>
      </c>
      <c r="D12" s="29">
        <v>30</v>
      </c>
      <c r="E12" s="29">
        <v>1</v>
      </c>
      <c r="F12" s="30">
        <v>283.49999999999983</v>
      </c>
      <c r="G12" s="30">
        <v>-0.08</v>
      </c>
      <c r="H12" s="31">
        <f t="shared" si="1"/>
        <v>2.8218694885361571E-4</v>
      </c>
      <c r="I12" s="31">
        <f t="shared" si="2"/>
        <v>0.26426377018043695</v>
      </c>
      <c r="J12" s="32">
        <f t="shared" si="5"/>
        <v>74.918778846153828</v>
      </c>
      <c r="K12" s="32">
        <f t="shared" si="3"/>
        <v>2.4972926282051278</v>
      </c>
      <c r="L12" s="29">
        <v>58</v>
      </c>
      <c r="M12" s="33">
        <f t="shared" si="6"/>
        <v>0.51724137931034486</v>
      </c>
      <c r="N12" s="29">
        <v>145</v>
      </c>
      <c r="O12" s="34">
        <f t="shared" ref="O12:P12" si="20">D12/7</f>
        <v>4.2857142857142856</v>
      </c>
      <c r="P12" s="34">
        <f t="shared" si="20"/>
        <v>0.14285714285714285</v>
      </c>
      <c r="Q12" s="29">
        <f t="shared" si="8"/>
        <v>32</v>
      </c>
      <c r="R12" s="29"/>
      <c r="S12" s="35">
        <v>2.1411764705882299</v>
      </c>
      <c r="T12" s="28">
        <v>1100</v>
      </c>
      <c r="U12" s="36" t="s">
        <v>33</v>
      </c>
      <c r="V12" s="37" t="s">
        <v>511</v>
      </c>
      <c r="W12" s="28">
        <v>0</v>
      </c>
      <c r="X12" s="38">
        <f t="shared" si="9"/>
        <v>0</v>
      </c>
      <c r="Y12" s="39">
        <f t="shared" si="10"/>
        <v>0</v>
      </c>
      <c r="Z12" s="28">
        <v>0</v>
      </c>
      <c r="AA12" s="28" t="s">
        <v>34</v>
      </c>
      <c r="AB12" s="40">
        <f t="shared" si="11"/>
        <v>-0.69</v>
      </c>
      <c r="AC12" s="41">
        <v>2.4791666666666663E-2</v>
      </c>
      <c r="AD12" s="39">
        <f t="shared" si="12"/>
        <v>-1.0263749999999998</v>
      </c>
      <c r="AE12" s="39">
        <v>-3.48</v>
      </c>
      <c r="AF12" s="39">
        <v>-2.0183282051282001</v>
      </c>
      <c r="AG12" s="39">
        <v>0</v>
      </c>
    </row>
    <row r="13" spans="1:33" ht="15.75" customHeight="1" x14ac:dyDescent="0.2">
      <c r="A13" s="28" t="s">
        <v>50</v>
      </c>
      <c r="B13" s="28" t="s">
        <v>512</v>
      </c>
      <c r="C13" s="15">
        <f t="shared" si="4"/>
        <v>10.849210526315781</v>
      </c>
      <c r="D13" s="29">
        <v>38</v>
      </c>
      <c r="E13" s="29">
        <v>1</v>
      </c>
      <c r="F13" s="32">
        <v>412.2699999999997</v>
      </c>
      <c r="G13" s="30">
        <v>0</v>
      </c>
      <c r="H13" s="31">
        <f t="shared" si="1"/>
        <v>0</v>
      </c>
      <c r="I13" s="31">
        <f t="shared" si="2"/>
        <v>0.33831184660537961</v>
      </c>
      <c r="J13" s="32">
        <f t="shared" si="5"/>
        <v>139.47582499999976</v>
      </c>
      <c r="K13" s="32">
        <f t="shared" si="3"/>
        <v>3.6704164473684147</v>
      </c>
      <c r="L13" s="29">
        <v>41</v>
      </c>
      <c r="M13" s="33">
        <f t="shared" si="6"/>
        <v>0.92682926829268297</v>
      </c>
      <c r="N13" s="29">
        <v>54</v>
      </c>
      <c r="O13" s="34">
        <f t="shared" ref="O13:P13" si="21">D13/7</f>
        <v>5.4285714285714288</v>
      </c>
      <c r="P13" s="34">
        <f t="shared" si="21"/>
        <v>0.14285714285714285</v>
      </c>
      <c r="Q13" s="29">
        <f t="shared" si="8"/>
        <v>9</v>
      </c>
      <c r="R13" s="29"/>
      <c r="S13" s="35">
        <v>2.625</v>
      </c>
      <c r="T13" s="28">
        <v>1050</v>
      </c>
      <c r="U13" s="36" t="s">
        <v>33</v>
      </c>
      <c r="V13" s="37" t="s">
        <v>513</v>
      </c>
      <c r="W13" s="28">
        <v>0</v>
      </c>
      <c r="X13" s="38">
        <f t="shared" si="9"/>
        <v>0</v>
      </c>
      <c r="Y13" s="39">
        <f t="shared" si="10"/>
        <v>0</v>
      </c>
      <c r="Z13" s="28">
        <v>0</v>
      </c>
      <c r="AA13" s="28" t="s">
        <v>34</v>
      </c>
      <c r="AB13" s="40">
        <f t="shared" si="11"/>
        <v>-0.69</v>
      </c>
      <c r="AC13" s="41">
        <v>2.4791666666666663E-2</v>
      </c>
      <c r="AD13" s="39">
        <f t="shared" si="12"/>
        <v>-1.3000749999999996</v>
      </c>
      <c r="AE13" s="39">
        <v>-3.48</v>
      </c>
      <c r="AF13" s="39">
        <v>-2.0371999999999999</v>
      </c>
      <c r="AG13" s="39">
        <v>0</v>
      </c>
    </row>
    <row r="14" spans="1:33" ht="15.75" customHeight="1" x14ac:dyDescent="0.2">
      <c r="A14" s="28" t="s">
        <v>51</v>
      </c>
      <c r="B14" s="28" t="s">
        <v>47</v>
      </c>
      <c r="C14" s="15">
        <f t="shared" si="4"/>
        <v>11.32388888888889</v>
      </c>
      <c r="D14" s="29">
        <v>18</v>
      </c>
      <c r="E14" s="29">
        <v>3</v>
      </c>
      <c r="F14" s="32">
        <v>203.83</v>
      </c>
      <c r="G14" s="30">
        <v>0</v>
      </c>
      <c r="H14" s="31">
        <f t="shared" si="1"/>
        <v>0</v>
      </c>
      <c r="I14" s="31">
        <f t="shared" si="2"/>
        <v>0.35976095275474662</v>
      </c>
      <c r="J14" s="32">
        <f t="shared" si="5"/>
        <v>73.330075000000008</v>
      </c>
      <c r="K14" s="32">
        <f t="shared" si="3"/>
        <v>4.0738930555555557</v>
      </c>
      <c r="L14" s="29">
        <v>73</v>
      </c>
      <c r="M14" s="33">
        <f t="shared" si="6"/>
        <v>0.24657534246575341</v>
      </c>
      <c r="N14" s="29">
        <v>32</v>
      </c>
      <c r="O14" s="34">
        <f t="shared" ref="O14:P14" si="22">D14/7</f>
        <v>2.5714285714285716</v>
      </c>
      <c r="P14" s="34">
        <f t="shared" si="22"/>
        <v>0.42857142857142855</v>
      </c>
      <c r="Q14" s="29">
        <f t="shared" si="8"/>
        <v>10</v>
      </c>
      <c r="R14" s="29"/>
      <c r="S14" s="35">
        <v>4.6460481099656299</v>
      </c>
      <c r="T14" s="28">
        <v>1050</v>
      </c>
      <c r="U14" s="36" t="s">
        <v>33</v>
      </c>
      <c r="V14" s="37" t="s">
        <v>513</v>
      </c>
      <c r="W14" s="28">
        <v>0</v>
      </c>
      <c r="X14" s="38">
        <f t="shared" si="9"/>
        <v>0</v>
      </c>
      <c r="Y14" s="39">
        <f t="shared" si="10"/>
        <v>0</v>
      </c>
      <c r="Z14" s="28">
        <v>0</v>
      </c>
      <c r="AA14" s="28" t="s">
        <v>34</v>
      </c>
      <c r="AB14" s="40">
        <f t="shared" si="11"/>
        <v>-0.69</v>
      </c>
      <c r="AC14" s="41">
        <v>2.4791666666666663E-2</v>
      </c>
      <c r="AD14" s="39">
        <f t="shared" si="12"/>
        <v>-0.61582499999999984</v>
      </c>
      <c r="AE14" s="39">
        <v>-3.48</v>
      </c>
      <c r="AF14" s="39">
        <v>-2.0371999999999999</v>
      </c>
      <c r="AG14" s="39">
        <v>0</v>
      </c>
    </row>
    <row r="15" spans="1:33" ht="15.75" customHeight="1" x14ac:dyDescent="0.2">
      <c r="A15" s="28" t="s">
        <v>53</v>
      </c>
      <c r="B15" s="28" t="s">
        <v>47</v>
      </c>
      <c r="C15" s="15">
        <f t="shared" si="4"/>
        <v>12.309090909090907</v>
      </c>
      <c r="D15" s="29">
        <v>22</v>
      </c>
      <c r="E15" s="29">
        <v>2</v>
      </c>
      <c r="F15" s="32">
        <v>270.79999999999995</v>
      </c>
      <c r="G15" s="30">
        <v>0</v>
      </c>
      <c r="H15" s="31">
        <f t="shared" si="1"/>
        <v>0</v>
      </c>
      <c r="I15" s="31">
        <f t="shared" si="2"/>
        <v>0.39899898449039872</v>
      </c>
      <c r="J15" s="32">
        <f t="shared" si="5"/>
        <v>108.04892499999995</v>
      </c>
      <c r="K15" s="32">
        <f t="shared" si="3"/>
        <v>4.9113147727272706</v>
      </c>
      <c r="L15" s="29">
        <v>55</v>
      </c>
      <c r="M15" s="33">
        <f t="shared" si="6"/>
        <v>0.4</v>
      </c>
      <c r="N15" s="29">
        <v>87</v>
      </c>
      <c r="O15" s="34">
        <f t="shared" ref="O15:P15" si="23">D15/7</f>
        <v>3.1428571428571428</v>
      </c>
      <c r="P15" s="34">
        <f t="shared" si="23"/>
        <v>0.2857142857142857</v>
      </c>
      <c r="Q15" s="29">
        <f t="shared" si="8"/>
        <v>25</v>
      </c>
      <c r="R15" s="29"/>
      <c r="S15" s="35">
        <v>2.7992202729044799</v>
      </c>
      <c r="T15" s="28">
        <v>1050</v>
      </c>
      <c r="U15" s="36" t="s">
        <v>33</v>
      </c>
      <c r="V15" s="37" t="s">
        <v>514</v>
      </c>
      <c r="W15" s="28">
        <v>0</v>
      </c>
      <c r="X15" s="38">
        <f t="shared" si="9"/>
        <v>0</v>
      </c>
      <c r="Y15" s="39">
        <f t="shared" si="10"/>
        <v>0</v>
      </c>
      <c r="Z15" s="28">
        <v>0</v>
      </c>
      <c r="AA15" s="28" t="s">
        <v>34</v>
      </c>
      <c r="AB15" s="40">
        <f t="shared" si="11"/>
        <v>-0.69</v>
      </c>
      <c r="AC15" s="41">
        <v>2.4791666666666663E-2</v>
      </c>
      <c r="AD15" s="39">
        <f t="shared" si="12"/>
        <v>-0.75267499999999987</v>
      </c>
      <c r="AE15" s="39">
        <v>-3.48</v>
      </c>
      <c r="AF15" s="39">
        <v>-2.0371999999999999</v>
      </c>
      <c r="AG15" s="39">
        <v>0</v>
      </c>
    </row>
    <row r="16" spans="1:33" ht="15.75" customHeight="1" x14ac:dyDescent="0.2">
      <c r="A16" s="28" t="s">
        <v>54</v>
      </c>
      <c r="B16" s="28" t="s">
        <v>47</v>
      </c>
      <c r="C16" s="15">
        <f t="shared" si="4"/>
        <v>12.656666666666668</v>
      </c>
      <c r="D16" s="29">
        <v>21</v>
      </c>
      <c r="E16" s="29">
        <v>0</v>
      </c>
      <c r="F16" s="32">
        <v>265.79000000000002</v>
      </c>
      <c r="G16" s="30">
        <v>-0.06</v>
      </c>
      <c r="H16" s="31">
        <f t="shared" si="1"/>
        <v>2.2574212724331237E-4</v>
      </c>
      <c r="I16" s="31">
        <f t="shared" si="2"/>
        <v>0.41115857443846654</v>
      </c>
      <c r="J16" s="32">
        <f t="shared" si="5"/>
        <v>109.28183750000002</v>
      </c>
      <c r="K16" s="32">
        <f t="shared" si="3"/>
        <v>5.2038970238095246</v>
      </c>
      <c r="L16" s="29">
        <v>51</v>
      </c>
      <c r="M16" s="33">
        <f t="shared" si="6"/>
        <v>0.41176470588235292</v>
      </c>
      <c r="N16" s="29">
        <v>66</v>
      </c>
      <c r="O16" s="34">
        <f t="shared" ref="O16:P16" si="24">D16/7</f>
        <v>3</v>
      </c>
      <c r="P16" s="34">
        <f t="shared" si="24"/>
        <v>0</v>
      </c>
      <c r="Q16" s="29">
        <f t="shared" si="8"/>
        <v>22</v>
      </c>
      <c r="R16" s="29"/>
      <c r="S16" s="35">
        <v>2.5249169435215899</v>
      </c>
      <c r="T16" s="28">
        <v>1050</v>
      </c>
      <c r="U16" s="36" t="s">
        <v>33</v>
      </c>
      <c r="V16" s="37" t="s">
        <v>514</v>
      </c>
      <c r="W16" s="28">
        <v>0</v>
      </c>
      <c r="X16" s="38">
        <f t="shared" si="9"/>
        <v>0</v>
      </c>
      <c r="Y16" s="39">
        <f t="shared" si="10"/>
        <v>0</v>
      </c>
      <c r="Z16" s="28">
        <v>0</v>
      </c>
      <c r="AA16" s="28" t="s">
        <v>34</v>
      </c>
      <c r="AB16" s="40">
        <f t="shared" si="11"/>
        <v>-0.69</v>
      </c>
      <c r="AC16" s="41">
        <v>2.4791666666666663E-2</v>
      </c>
      <c r="AD16" s="39">
        <f t="shared" si="12"/>
        <v>-0.71846249999999989</v>
      </c>
      <c r="AE16" s="39">
        <v>-3.48</v>
      </c>
      <c r="AF16" s="39">
        <v>-2.0371999999999999</v>
      </c>
      <c r="AG16" s="39">
        <v>0</v>
      </c>
    </row>
    <row r="17" spans="1:33" ht="15.75" customHeight="1" x14ac:dyDescent="0.2">
      <c r="A17" s="28" t="s">
        <v>55</v>
      </c>
      <c r="B17" s="28" t="s">
        <v>515</v>
      </c>
      <c r="C17" s="15">
        <f t="shared" si="4"/>
        <v>11.941428571428572</v>
      </c>
      <c r="D17" s="29">
        <v>21</v>
      </c>
      <c r="E17" s="29">
        <v>0</v>
      </c>
      <c r="F17" s="32">
        <v>250.77</v>
      </c>
      <c r="G17" s="30">
        <v>0</v>
      </c>
      <c r="H17" s="31">
        <f t="shared" si="1"/>
        <v>0</v>
      </c>
      <c r="I17" s="31">
        <f t="shared" si="2"/>
        <v>0.38511320133987331</v>
      </c>
      <c r="J17" s="32">
        <f t="shared" si="5"/>
        <v>96.574837500000029</v>
      </c>
      <c r="K17" s="32">
        <f t="shared" si="3"/>
        <v>4.5988017857142873</v>
      </c>
      <c r="L17" s="29">
        <v>50</v>
      </c>
      <c r="M17" s="33">
        <f t="shared" si="6"/>
        <v>0.42</v>
      </c>
      <c r="N17" s="29">
        <v>45</v>
      </c>
      <c r="O17" s="34">
        <f t="shared" ref="O17:P17" si="25">D17/7</f>
        <v>3</v>
      </c>
      <c r="P17" s="34">
        <f t="shared" si="25"/>
        <v>0</v>
      </c>
      <c r="Q17" s="29">
        <f t="shared" si="8"/>
        <v>15</v>
      </c>
      <c r="R17" s="29"/>
      <c r="S17" s="35">
        <v>3.1771894093686299</v>
      </c>
      <c r="T17" s="28">
        <v>1000</v>
      </c>
      <c r="U17" s="36" t="s">
        <v>33</v>
      </c>
      <c r="V17" s="37" t="s">
        <v>33</v>
      </c>
      <c r="W17" s="28">
        <v>0</v>
      </c>
      <c r="X17" s="38">
        <f t="shared" si="9"/>
        <v>0</v>
      </c>
      <c r="Y17" s="39">
        <f t="shared" si="10"/>
        <v>0</v>
      </c>
      <c r="Z17" s="28">
        <v>0</v>
      </c>
      <c r="AA17" s="28" t="s">
        <v>34</v>
      </c>
      <c r="AB17" s="40">
        <f t="shared" si="11"/>
        <v>-0.69</v>
      </c>
      <c r="AC17" s="41">
        <v>2.4791666666666663E-2</v>
      </c>
      <c r="AD17" s="39">
        <f t="shared" si="12"/>
        <v>-0.71846249999999989</v>
      </c>
      <c r="AE17" s="39">
        <v>-3.48</v>
      </c>
      <c r="AF17" s="39">
        <v>-2.0371999999999999</v>
      </c>
      <c r="AG17" s="39">
        <v>0</v>
      </c>
    </row>
    <row r="18" spans="1:33" ht="15.75" customHeight="1" x14ac:dyDescent="0.2">
      <c r="A18" s="28" t="s">
        <v>56</v>
      </c>
      <c r="B18" s="28" t="s">
        <v>47</v>
      </c>
      <c r="C18" s="15">
        <f t="shared" si="4"/>
        <v>12.879500000000002</v>
      </c>
      <c r="D18" s="29">
        <v>20</v>
      </c>
      <c r="E18" s="29">
        <v>0</v>
      </c>
      <c r="F18" s="32">
        <v>257.59000000000003</v>
      </c>
      <c r="G18" s="30">
        <v>0</v>
      </c>
      <c r="H18" s="31">
        <f t="shared" si="1"/>
        <v>0</v>
      </c>
      <c r="I18" s="31">
        <f t="shared" si="2"/>
        <v>0.41897298031755892</v>
      </c>
      <c r="J18" s="32">
        <f t="shared" si="5"/>
        <v>107.92325000000001</v>
      </c>
      <c r="K18" s="32">
        <f t="shared" si="3"/>
        <v>5.3961625000000009</v>
      </c>
      <c r="L18" s="29">
        <v>50</v>
      </c>
      <c r="M18" s="33">
        <f t="shared" si="6"/>
        <v>0.4</v>
      </c>
      <c r="N18" s="29">
        <v>72</v>
      </c>
      <c r="O18" s="34">
        <f t="shared" ref="O18:P18" si="26">D18/7</f>
        <v>2.8571428571428572</v>
      </c>
      <c r="P18" s="34">
        <f t="shared" si="26"/>
        <v>0</v>
      </c>
      <c r="Q18" s="29">
        <f t="shared" si="8"/>
        <v>25</v>
      </c>
      <c r="R18" s="29"/>
      <c r="S18" s="35">
        <v>4.1243523316062101</v>
      </c>
      <c r="T18" s="28">
        <v>1000</v>
      </c>
      <c r="U18" s="36">
        <v>0</v>
      </c>
      <c r="V18" s="37" t="s">
        <v>516</v>
      </c>
      <c r="W18" s="28">
        <v>0</v>
      </c>
      <c r="X18" s="38">
        <f t="shared" si="9"/>
        <v>0</v>
      </c>
      <c r="Y18" s="39">
        <f t="shared" si="10"/>
        <v>0</v>
      </c>
      <c r="Z18" s="28">
        <v>0</v>
      </c>
      <c r="AA18" s="28" t="s">
        <v>34</v>
      </c>
      <c r="AB18" s="40">
        <f t="shared" si="11"/>
        <v>-0.69</v>
      </c>
      <c r="AC18" s="41">
        <v>2.4791666666666663E-2</v>
      </c>
      <c r="AD18" s="39">
        <f t="shared" si="12"/>
        <v>-0.6842499999999998</v>
      </c>
      <c r="AE18" s="39">
        <v>-3.48</v>
      </c>
      <c r="AF18" s="39">
        <v>-2.0371999999999999</v>
      </c>
      <c r="AG18" s="39">
        <v>0</v>
      </c>
    </row>
    <row r="19" spans="1:33" ht="15.75" customHeight="1" x14ac:dyDescent="0.2">
      <c r="A19" s="28" t="s">
        <v>57</v>
      </c>
      <c r="B19" s="28" t="s">
        <v>47</v>
      </c>
      <c r="C19" s="15">
        <f t="shared" si="4"/>
        <v>13.499473684210523</v>
      </c>
      <c r="D19" s="29">
        <v>19</v>
      </c>
      <c r="E19" s="29">
        <v>0</v>
      </c>
      <c r="F19" s="32">
        <v>256.48999999999995</v>
      </c>
      <c r="G19" s="30">
        <v>0</v>
      </c>
      <c r="H19" s="31">
        <f t="shared" si="1"/>
        <v>0</v>
      </c>
      <c r="I19" s="31">
        <f t="shared" si="2"/>
        <v>0.43176795391633194</v>
      </c>
      <c r="J19" s="32">
        <f t="shared" si="5"/>
        <v>110.74416249999996</v>
      </c>
      <c r="K19" s="32">
        <f t="shared" si="3"/>
        <v>5.8286401315789451</v>
      </c>
      <c r="L19" s="29">
        <v>42</v>
      </c>
      <c r="M19" s="33">
        <f t="shared" si="6"/>
        <v>0.45238095238095238</v>
      </c>
      <c r="N19" s="29">
        <v>54</v>
      </c>
      <c r="O19" s="34">
        <f t="shared" ref="O19:P19" si="27">D19/7</f>
        <v>2.7142857142857144</v>
      </c>
      <c r="P19" s="34">
        <f t="shared" si="27"/>
        <v>0</v>
      </c>
      <c r="Q19" s="29">
        <f t="shared" si="8"/>
        <v>19</v>
      </c>
      <c r="R19" s="29"/>
      <c r="S19" s="35">
        <v>4.5678233438485796</v>
      </c>
      <c r="T19" s="28">
        <v>1000</v>
      </c>
      <c r="U19" s="36">
        <v>600</v>
      </c>
      <c r="V19" s="37" t="s">
        <v>517</v>
      </c>
      <c r="W19" s="28">
        <v>0</v>
      </c>
      <c r="X19" s="38">
        <f t="shared" si="9"/>
        <v>0</v>
      </c>
      <c r="Y19" s="39">
        <f t="shared" si="10"/>
        <v>0</v>
      </c>
      <c r="Z19" s="28">
        <v>0</v>
      </c>
      <c r="AA19" s="28" t="s">
        <v>34</v>
      </c>
      <c r="AB19" s="40">
        <f t="shared" si="11"/>
        <v>-0.69</v>
      </c>
      <c r="AC19" s="41">
        <v>2.4791666666666663E-2</v>
      </c>
      <c r="AD19" s="39">
        <f t="shared" si="12"/>
        <v>-0.65003749999999982</v>
      </c>
      <c r="AE19" s="39">
        <v>-3.48</v>
      </c>
      <c r="AF19" s="39">
        <v>-2.1316999999999999</v>
      </c>
      <c r="AG19" s="39">
        <v>0</v>
      </c>
    </row>
    <row r="20" spans="1:33" ht="15.75" customHeight="1" x14ac:dyDescent="0.2">
      <c r="A20" s="28" t="s">
        <v>58</v>
      </c>
      <c r="B20" s="28" t="s">
        <v>47</v>
      </c>
      <c r="C20" s="15">
        <f t="shared" si="4"/>
        <v>14.075714285714286</v>
      </c>
      <c r="D20" s="29">
        <v>14</v>
      </c>
      <c r="E20" s="29">
        <v>0</v>
      </c>
      <c r="F20" s="32">
        <v>197.06</v>
      </c>
      <c r="G20" s="30">
        <v>0</v>
      </c>
      <c r="H20" s="31">
        <f t="shared" si="1"/>
        <v>0</v>
      </c>
      <c r="I20" s="31">
        <f t="shared" si="2"/>
        <v>0.44888980513549182</v>
      </c>
      <c r="J20" s="32">
        <f t="shared" si="5"/>
        <v>88.458225000000013</v>
      </c>
      <c r="K20" s="32">
        <f t="shared" si="3"/>
        <v>6.3184446428571439</v>
      </c>
      <c r="L20" s="29">
        <v>49</v>
      </c>
      <c r="M20" s="33">
        <f t="shared" si="6"/>
        <v>0.2857142857142857</v>
      </c>
      <c r="N20" s="29">
        <v>42</v>
      </c>
      <c r="O20" s="34">
        <f t="shared" ref="O20:P20" si="28">D20/7</f>
        <v>2</v>
      </c>
      <c r="P20" s="34">
        <f t="shared" si="28"/>
        <v>0</v>
      </c>
      <c r="Q20" s="29">
        <f t="shared" si="8"/>
        <v>21</v>
      </c>
      <c r="R20" s="29"/>
      <c r="S20" s="35">
        <v>2.8806941431670201</v>
      </c>
      <c r="T20" s="28">
        <v>1000</v>
      </c>
      <c r="U20" s="36">
        <v>600</v>
      </c>
      <c r="V20" s="37" t="s">
        <v>518</v>
      </c>
      <c r="W20" s="28">
        <v>0</v>
      </c>
      <c r="X20" s="38">
        <f t="shared" si="9"/>
        <v>0</v>
      </c>
      <c r="Y20" s="39">
        <f t="shared" si="10"/>
        <v>0</v>
      </c>
      <c r="Z20" s="28">
        <v>0</v>
      </c>
      <c r="AA20" s="28" t="s">
        <v>34</v>
      </c>
      <c r="AB20" s="40">
        <f t="shared" si="11"/>
        <v>-0.69</v>
      </c>
      <c r="AC20" s="41">
        <v>2.4791666666666663E-2</v>
      </c>
      <c r="AD20" s="39">
        <f t="shared" si="12"/>
        <v>-0.47897499999999993</v>
      </c>
      <c r="AE20" s="39">
        <v>-3.48</v>
      </c>
      <c r="AF20" s="39">
        <v>-2.1316999999999999</v>
      </c>
      <c r="AG20" s="39">
        <v>0</v>
      </c>
    </row>
    <row r="21" spans="1:33" ht="15.75" customHeight="1" x14ac:dyDescent="0.2">
      <c r="A21" s="28" t="s">
        <v>59</v>
      </c>
      <c r="B21" s="28" t="s">
        <v>47</v>
      </c>
      <c r="C21" s="15">
        <f t="shared" si="4"/>
        <v>14.334500000000002</v>
      </c>
      <c r="D21" s="29">
        <v>20</v>
      </c>
      <c r="E21" s="29">
        <v>0</v>
      </c>
      <c r="F21" s="32">
        <v>286.69000000000005</v>
      </c>
      <c r="G21" s="30">
        <v>0</v>
      </c>
      <c r="H21" s="31">
        <f t="shared" si="1"/>
        <v>0</v>
      </c>
      <c r="I21" s="31">
        <f t="shared" si="2"/>
        <v>0.45613118699640748</v>
      </c>
      <c r="J21" s="32">
        <f t="shared" si="5"/>
        <v>130.76825000000008</v>
      </c>
      <c r="K21" s="32">
        <f t="shared" si="3"/>
        <v>6.5384125000000042</v>
      </c>
      <c r="L21" s="29">
        <v>25</v>
      </c>
      <c r="M21" s="33">
        <f t="shared" si="6"/>
        <v>0.8</v>
      </c>
      <c r="N21" s="29">
        <v>23</v>
      </c>
      <c r="O21" s="34">
        <f t="shared" ref="O21:P21" si="29">D21/7</f>
        <v>2.8571428571428572</v>
      </c>
      <c r="P21" s="34">
        <f t="shared" si="29"/>
        <v>0</v>
      </c>
      <c r="Q21" s="29">
        <f t="shared" si="8"/>
        <v>8</v>
      </c>
      <c r="R21" s="29"/>
      <c r="S21" s="35">
        <v>4.0949152542372804</v>
      </c>
      <c r="T21" s="28">
        <v>1000</v>
      </c>
      <c r="U21" s="36">
        <v>600</v>
      </c>
      <c r="V21" s="37" t="s">
        <v>519</v>
      </c>
      <c r="W21" s="28">
        <v>0</v>
      </c>
      <c r="X21" s="38">
        <f t="shared" si="9"/>
        <v>0</v>
      </c>
      <c r="Y21" s="39">
        <f t="shared" si="10"/>
        <v>0</v>
      </c>
      <c r="Z21" s="28">
        <v>0</v>
      </c>
      <c r="AA21" s="28" t="s">
        <v>34</v>
      </c>
      <c r="AB21" s="40">
        <f t="shared" si="11"/>
        <v>-0.69</v>
      </c>
      <c r="AC21" s="41">
        <v>2.4791666666666663E-2</v>
      </c>
      <c r="AD21" s="39">
        <f t="shared" si="12"/>
        <v>-0.6842499999999998</v>
      </c>
      <c r="AE21" s="39">
        <v>-3.48</v>
      </c>
      <c r="AF21" s="39">
        <v>-2.1316999999999999</v>
      </c>
      <c r="AG21" s="39">
        <v>0</v>
      </c>
    </row>
    <row r="22" spans="1:33" ht="15.75" customHeight="1" x14ac:dyDescent="0.2">
      <c r="A22" s="28" t="s">
        <v>60</v>
      </c>
      <c r="B22" s="28" t="s">
        <v>52</v>
      </c>
      <c r="C22" s="15">
        <f t="shared" si="4"/>
        <v>13.047619047619051</v>
      </c>
      <c r="D22" s="29">
        <v>21</v>
      </c>
      <c r="E22" s="29">
        <v>0</v>
      </c>
      <c r="F22" s="30">
        <v>274.00000000000006</v>
      </c>
      <c r="G22" s="30">
        <v>0</v>
      </c>
      <c r="H22" s="31">
        <f t="shared" si="1"/>
        <v>0</v>
      </c>
      <c r="I22" s="31">
        <f t="shared" si="2"/>
        <v>0.41728407846715337</v>
      </c>
      <c r="J22" s="32">
        <f t="shared" si="5"/>
        <v>114.33583750000005</v>
      </c>
      <c r="K22" s="32">
        <f t="shared" si="3"/>
        <v>5.4445636904761932</v>
      </c>
      <c r="L22" s="29">
        <v>45</v>
      </c>
      <c r="M22" s="33">
        <f t="shared" si="6"/>
        <v>0.46666666666666667</v>
      </c>
      <c r="N22" s="29">
        <v>4</v>
      </c>
      <c r="O22" s="34">
        <f t="shared" ref="O22:P22" si="30">D22/7</f>
        <v>3</v>
      </c>
      <c r="P22" s="34">
        <f t="shared" si="30"/>
        <v>0</v>
      </c>
      <c r="Q22" s="29">
        <f t="shared" si="8"/>
        <v>1</v>
      </c>
      <c r="R22" s="29"/>
      <c r="S22" s="35">
        <v>5.5920398009950203</v>
      </c>
      <c r="T22" s="28">
        <v>1100</v>
      </c>
      <c r="U22" s="36">
        <v>600</v>
      </c>
      <c r="V22" s="37" t="s">
        <v>519</v>
      </c>
      <c r="W22" s="28">
        <v>0</v>
      </c>
      <c r="X22" s="38">
        <f t="shared" si="9"/>
        <v>0</v>
      </c>
      <c r="Y22" s="39">
        <f t="shared" si="10"/>
        <v>0</v>
      </c>
      <c r="Z22" s="28">
        <v>0</v>
      </c>
      <c r="AA22" s="28" t="s">
        <v>34</v>
      </c>
      <c r="AB22" s="40">
        <f t="shared" si="11"/>
        <v>-0.69</v>
      </c>
      <c r="AC22" s="41">
        <v>2.4791666666666663E-2</v>
      </c>
      <c r="AD22" s="39">
        <f t="shared" si="12"/>
        <v>-0.71846249999999989</v>
      </c>
      <c r="AE22" s="39">
        <v>-3.48</v>
      </c>
      <c r="AF22" s="39">
        <v>-2.1316999999999999</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1100</v>
      </c>
      <c r="U23" s="36">
        <v>600</v>
      </c>
      <c r="V23" s="37" t="s">
        <v>519</v>
      </c>
      <c r="W23" s="28">
        <v>0</v>
      </c>
      <c r="X23" s="38">
        <f t="shared" si="9"/>
        <v>0</v>
      </c>
      <c r="Y23" s="39">
        <f t="shared" si="10"/>
        <v>0</v>
      </c>
      <c r="Z23" s="28">
        <v>0</v>
      </c>
      <c r="AA23" s="28" t="s">
        <v>34</v>
      </c>
      <c r="AB23" s="40">
        <f t="shared" si="11"/>
        <v>-0.69</v>
      </c>
      <c r="AC23" s="41">
        <v>2.4791666666666663E-2</v>
      </c>
      <c r="AD23" s="39">
        <f t="shared" si="12"/>
        <v>0</v>
      </c>
      <c r="AE23" s="39">
        <v>-3.48</v>
      </c>
      <c r="AF23" s="39">
        <v>-2.1316999999999999</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1100</v>
      </c>
      <c r="U24" s="36">
        <v>600</v>
      </c>
      <c r="V24" s="37" t="s">
        <v>520</v>
      </c>
      <c r="W24" s="28">
        <v>0</v>
      </c>
      <c r="X24" s="38">
        <f t="shared" si="9"/>
        <v>0</v>
      </c>
      <c r="Y24" s="39">
        <f t="shared" si="10"/>
        <v>0</v>
      </c>
      <c r="Z24" s="28">
        <v>0</v>
      </c>
      <c r="AA24" s="28" t="s">
        <v>34</v>
      </c>
      <c r="AB24" s="40">
        <f t="shared" si="11"/>
        <v>-0.69</v>
      </c>
      <c r="AC24" s="41">
        <v>2.4791666666666663E-2</v>
      </c>
      <c r="AD24" s="39">
        <f t="shared" si="12"/>
        <v>0</v>
      </c>
      <c r="AE24" s="39">
        <v>-3.48</v>
      </c>
      <c r="AF24" s="39">
        <v>-2.1316999999999999</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1</v>
      </c>
      <c r="O25" s="34">
        <f t="shared" ref="O25:P25" si="33">D25/7</f>
        <v>0</v>
      </c>
      <c r="P25" s="34">
        <f t="shared" si="33"/>
        <v>0</v>
      </c>
      <c r="Q25" s="29" t="e">
        <f t="shared" si="8"/>
        <v>#DIV/0!</v>
      </c>
      <c r="R25" s="29"/>
      <c r="S25" s="35">
        <v>3.333333333333333</v>
      </c>
      <c r="T25" s="28">
        <v>1900</v>
      </c>
      <c r="U25" s="36">
        <v>600</v>
      </c>
      <c r="V25" s="37" t="s">
        <v>521</v>
      </c>
      <c r="W25" s="14">
        <v>0</v>
      </c>
      <c r="X25" s="38">
        <f t="shared" si="9"/>
        <v>0</v>
      </c>
      <c r="Y25" s="39">
        <f t="shared" si="10"/>
        <v>0</v>
      </c>
      <c r="Z25" s="14">
        <v>0</v>
      </c>
      <c r="AA25" s="28" t="s">
        <v>34</v>
      </c>
      <c r="AB25" s="40">
        <f t="shared" si="11"/>
        <v>-0.69</v>
      </c>
      <c r="AC25" s="41">
        <v>2.4791666666666663E-2</v>
      </c>
      <c r="AD25" s="39">
        <f t="shared" si="12"/>
        <v>0</v>
      </c>
      <c r="AE25" s="39">
        <v>-3.48</v>
      </c>
      <c r="AF25" s="39">
        <v>-2.13</v>
      </c>
      <c r="AG25" s="39">
        <v>0</v>
      </c>
    </row>
    <row r="26" spans="1:33" ht="15.75" customHeight="1" x14ac:dyDescent="0.2">
      <c r="A26" s="14" t="s">
        <v>67</v>
      </c>
      <c r="B26" s="14"/>
      <c r="C26" s="15">
        <f t="shared" si="4"/>
        <v>16.329999999999998</v>
      </c>
      <c r="D26" s="16">
        <v>1</v>
      </c>
      <c r="E26" s="16">
        <v>0</v>
      </c>
      <c r="F26" s="17">
        <v>16.329999999999998</v>
      </c>
      <c r="G26" s="17">
        <v>0</v>
      </c>
      <c r="H26" s="31">
        <f t="shared" si="1"/>
        <v>0</v>
      </c>
      <c r="I26" s="31">
        <f t="shared" si="2"/>
        <v>0.50381062461726867</v>
      </c>
      <c r="J26" s="32">
        <f t="shared" si="5"/>
        <v>8.2272274999999961</v>
      </c>
      <c r="K26" s="32">
        <f t="shared" si="3"/>
        <v>8.2272274999999961</v>
      </c>
      <c r="L26" s="16">
        <v>2</v>
      </c>
      <c r="M26" s="33">
        <f t="shared" si="6"/>
        <v>0.5</v>
      </c>
      <c r="N26" s="16">
        <v>0</v>
      </c>
      <c r="O26" s="34">
        <f t="shared" ref="O26:P26" si="34">D26/7</f>
        <v>0.14285714285714285</v>
      </c>
      <c r="P26" s="34">
        <f t="shared" si="34"/>
        <v>0</v>
      </c>
      <c r="Q26" s="29">
        <f t="shared" si="8"/>
        <v>0</v>
      </c>
      <c r="R26" s="29"/>
      <c r="S26" s="21">
        <v>0</v>
      </c>
      <c r="T26" s="28">
        <v>1300</v>
      </c>
      <c r="U26" s="36" t="s">
        <v>33</v>
      </c>
      <c r="V26" s="37" t="s">
        <v>33</v>
      </c>
      <c r="W26" s="14">
        <v>0</v>
      </c>
      <c r="X26" s="38">
        <f t="shared" si="9"/>
        <v>0</v>
      </c>
      <c r="Y26" s="39">
        <f t="shared" si="10"/>
        <v>0</v>
      </c>
      <c r="Z26" s="14">
        <v>0</v>
      </c>
      <c r="AA26" s="28" t="s">
        <v>34</v>
      </c>
      <c r="AB26" s="40">
        <f t="shared" si="11"/>
        <v>-0.69</v>
      </c>
      <c r="AC26" s="41">
        <v>2.4791666666666663E-2</v>
      </c>
      <c r="AD26" s="39">
        <f t="shared" si="12"/>
        <v>-3.4212499999999993E-2</v>
      </c>
      <c r="AE26" s="25">
        <v>-3.48</v>
      </c>
      <c r="AF26" s="25">
        <v>-2.1390600000000002</v>
      </c>
      <c r="AG26" s="25">
        <v>0</v>
      </c>
    </row>
    <row r="27" spans="1:33" ht="15.75" customHeight="1" x14ac:dyDescent="0.2">
      <c r="A27" s="14" t="s">
        <v>69</v>
      </c>
      <c r="B27" s="14" t="s">
        <v>522</v>
      </c>
      <c r="C27" s="15">
        <f t="shared" si="4"/>
        <v>16.329999999999995</v>
      </c>
      <c r="D27" s="16">
        <v>3</v>
      </c>
      <c r="E27" s="16">
        <v>0</v>
      </c>
      <c r="F27" s="17">
        <v>48.989999999999988</v>
      </c>
      <c r="G27" s="17">
        <v>0</v>
      </c>
      <c r="H27" s="31">
        <f t="shared" si="1"/>
        <v>0</v>
      </c>
      <c r="I27" s="31">
        <f t="shared" si="2"/>
        <v>0.47215110226576834</v>
      </c>
      <c r="J27" s="32">
        <f t="shared" si="5"/>
        <v>23.130682499999985</v>
      </c>
      <c r="K27" s="32">
        <f t="shared" si="3"/>
        <v>7.7102274999999949</v>
      </c>
      <c r="L27" s="16">
        <v>9</v>
      </c>
      <c r="M27" s="33">
        <f t="shared" si="6"/>
        <v>0.33333333333333331</v>
      </c>
      <c r="N27" s="16">
        <v>597</v>
      </c>
      <c r="O27" s="34">
        <f t="shared" ref="O27:P27" si="35">D27/7</f>
        <v>0.42857142857142855</v>
      </c>
      <c r="P27" s="34">
        <f t="shared" si="35"/>
        <v>0</v>
      </c>
      <c r="Q27" s="29">
        <f t="shared" si="8"/>
        <v>1393</v>
      </c>
      <c r="R27" s="29"/>
      <c r="S27" s="21">
        <v>0.91506849315068495</v>
      </c>
      <c r="T27" s="28">
        <v>1300</v>
      </c>
      <c r="U27" s="36" t="s">
        <v>33</v>
      </c>
      <c r="V27" s="37" t="s">
        <v>33</v>
      </c>
      <c r="W27" s="14">
        <v>0</v>
      </c>
      <c r="X27" s="38">
        <f t="shared" si="9"/>
        <v>0</v>
      </c>
      <c r="Y27" s="39">
        <f t="shared" si="10"/>
        <v>0</v>
      </c>
      <c r="Z27" s="14">
        <v>0</v>
      </c>
      <c r="AA27" s="28" t="s">
        <v>34</v>
      </c>
      <c r="AB27" s="40">
        <f t="shared" si="11"/>
        <v>-0.69</v>
      </c>
      <c r="AC27" s="41">
        <v>2.4791666666666663E-2</v>
      </c>
      <c r="AD27" s="39">
        <f t="shared" si="12"/>
        <v>-0.10263749999999998</v>
      </c>
      <c r="AE27" s="25">
        <v>-3.64</v>
      </c>
      <c r="AF27" s="25">
        <v>-2.4960599999999999</v>
      </c>
      <c r="AG27" s="25">
        <v>0</v>
      </c>
    </row>
    <row r="28" spans="1:33" ht="15.75" customHeight="1" x14ac:dyDescent="0.2">
      <c r="A28" s="14" t="s">
        <v>71</v>
      </c>
      <c r="B28" s="14" t="s">
        <v>47</v>
      </c>
      <c r="C28" s="15">
        <f t="shared" si="4"/>
        <v>14.896923076923077</v>
      </c>
      <c r="D28" s="16">
        <v>13</v>
      </c>
      <c r="E28" s="16">
        <v>1</v>
      </c>
      <c r="F28" s="17">
        <v>193.66</v>
      </c>
      <c r="G28" s="17">
        <v>0</v>
      </c>
      <c r="H28" s="31">
        <f t="shared" si="1"/>
        <v>0</v>
      </c>
      <c r="I28" s="31">
        <f t="shared" si="2"/>
        <v>0.43580221780439948</v>
      </c>
      <c r="J28" s="32">
        <f t="shared" si="5"/>
        <v>84.397457500000002</v>
      </c>
      <c r="K28" s="32">
        <f t="shared" si="3"/>
        <v>6.4921121153846153</v>
      </c>
      <c r="L28" s="16">
        <v>22</v>
      </c>
      <c r="M28" s="33">
        <f t="shared" si="6"/>
        <v>0.59090909090909094</v>
      </c>
      <c r="N28" s="16">
        <v>583</v>
      </c>
      <c r="O28" s="34">
        <f t="shared" ref="O28:P28" si="36">D28/7</f>
        <v>1.8571428571428572</v>
      </c>
      <c r="P28" s="34">
        <f t="shared" si="36"/>
        <v>0.14285714285714285</v>
      </c>
      <c r="Q28" s="29">
        <f t="shared" si="8"/>
        <v>291</v>
      </c>
      <c r="R28" s="29"/>
      <c r="S28" s="21">
        <v>0.82614379084967315</v>
      </c>
      <c r="T28" s="28">
        <v>800</v>
      </c>
      <c r="U28" s="36" t="s">
        <v>33</v>
      </c>
      <c r="V28" s="37" t="s">
        <v>33</v>
      </c>
      <c r="W28" s="14">
        <v>0</v>
      </c>
      <c r="X28" s="38">
        <f t="shared" si="9"/>
        <v>0</v>
      </c>
      <c r="Y28" s="39">
        <f t="shared" si="10"/>
        <v>0</v>
      </c>
      <c r="Z28" s="14">
        <v>0</v>
      </c>
      <c r="AA28" s="28" t="s">
        <v>34</v>
      </c>
      <c r="AB28" s="40">
        <f t="shared" si="11"/>
        <v>-0.69</v>
      </c>
      <c r="AC28" s="41">
        <v>2.4791666666666663E-2</v>
      </c>
      <c r="AD28" s="39">
        <f t="shared" si="12"/>
        <v>-0.44476249999999989</v>
      </c>
      <c r="AE28" s="25">
        <v>-3.64</v>
      </c>
      <c r="AF28" s="25">
        <v>-2.4960599999999999</v>
      </c>
      <c r="AG28" s="25">
        <v>0</v>
      </c>
    </row>
    <row r="29" spans="1:33" ht="15.75" customHeight="1" x14ac:dyDescent="0.2">
      <c r="A29" s="28" t="s">
        <v>72</v>
      </c>
      <c r="B29" s="28" t="s">
        <v>47</v>
      </c>
      <c r="C29" s="15">
        <f t="shared" si="4"/>
        <v>13.033529411764706</v>
      </c>
      <c r="D29" s="29">
        <v>17</v>
      </c>
      <c r="E29" s="29">
        <v>0</v>
      </c>
      <c r="F29" s="32">
        <v>221.57</v>
      </c>
      <c r="G29" s="32">
        <v>0</v>
      </c>
      <c r="H29" s="31">
        <f t="shared" si="1"/>
        <v>0</v>
      </c>
      <c r="I29" s="31">
        <f t="shared" si="2"/>
        <v>0.37658467978516946</v>
      </c>
      <c r="J29" s="32">
        <f t="shared" si="5"/>
        <v>83.439867499999991</v>
      </c>
      <c r="K29" s="32">
        <f t="shared" si="3"/>
        <v>4.9082274999999997</v>
      </c>
      <c r="L29" s="29">
        <v>26</v>
      </c>
      <c r="M29" s="33">
        <f t="shared" si="6"/>
        <v>0.65384615384615385</v>
      </c>
      <c r="N29" s="16">
        <v>543</v>
      </c>
      <c r="O29" s="34">
        <f t="shared" ref="O29:P29" si="37">D29/7</f>
        <v>2.4285714285714284</v>
      </c>
      <c r="P29" s="34">
        <f t="shared" si="37"/>
        <v>0</v>
      </c>
      <c r="Q29" s="29">
        <f t="shared" si="8"/>
        <v>223</v>
      </c>
      <c r="R29" s="29"/>
      <c r="S29" s="21">
        <v>0.89296636085626913</v>
      </c>
      <c r="T29" s="28">
        <v>800</v>
      </c>
      <c r="U29" s="36" t="s">
        <v>33</v>
      </c>
      <c r="V29" s="37" t="s">
        <v>33</v>
      </c>
      <c r="W29" s="14">
        <v>0</v>
      </c>
      <c r="X29" s="38">
        <f t="shared" si="9"/>
        <v>0</v>
      </c>
      <c r="Y29" s="39">
        <f t="shared" si="10"/>
        <v>0</v>
      </c>
      <c r="Z29" s="14">
        <v>0</v>
      </c>
      <c r="AA29" s="28" t="s">
        <v>34</v>
      </c>
      <c r="AB29" s="40">
        <f t="shared" si="11"/>
        <v>-0.69</v>
      </c>
      <c r="AC29" s="41">
        <v>2.4791666666666663E-2</v>
      </c>
      <c r="AD29" s="39">
        <f t="shared" si="12"/>
        <v>-0.58161249999999987</v>
      </c>
      <c r="AE29" s="39">
        <v>-3.64</v>
      </c>
      <c r="AF29" s="25">
        <v>-2.4960599999999999</v>
      </c>
      <c r="AG29" s="39">
        <v>0</v>
      </c>
    </row>
    <row r="30" spans="1:33" ht="15.75" customHeight="1" x14ac:dyDescent="0.2">
      <c r="A30" s="14" t="s">
        <v>74</v>
      </c>
      <c r="B30" s="14" t="s">
        <v>47</v>
      </c>
      <c r="C30" s="15">
        <f t="shared" si="4"/>
        <v>12.340500000000004</v>
      </c>
      <c r="D30" s="16">
        <v>20</v>
      </c>
      <c r="E30" s="16">
        <v>1</v>
      </c>
      <c r="F30" s="17">
        <v>246.81000000000009</v>
      </c>
      <c r="G30" s="17">
        <v>0</v>
      </c>
      <c r="H30" s="31">
        <f t="shared" si="1"/>
        <v>0</v>
      </c>
      <c r="I30" s="31">
        <f t="shared" si="2"/>
        <v>0.35357125418256974</v>
      </c>
      <c r="J30" s="32">
        <f t="shared" si="5"/>
        <v>87.264921244800064</v>
      </c>
      <c r="K30" s="32">
        <f t="shared" si="3"/>
        <v>4.3632460622400036</v>
      </c>
      <c r="L30" s="16">
        <v>32</v>
      </c>
      <c r="M30" s="33">
        <f t="shared" si="6"/>
        <v>0.625</v>
      </c>
      <c r="N30" s="16">
        <v>552</v>
      </c>
      <c r="O30" s="34">
        <f t="shared" ref="O30:P30" si="38">D30/7</f>
        <v>2.8571428571428572</v>
      </c>
      <c r="P30" s="34">
        <f t="shared" si="38"/>
        <v>0.14285714285714285</v>
      </c>
      <c r="Q30" s="29">
        <f t="shared" si="8"/>
        <v>184</v>
      </c>
      <c r="R30" s="29"/>
      <c r="S30" s="21">
        <v>0.96124031007751942</v>
      </c>
      <c r="T30" s="28">
        <v>1300</v>
      </c>
      <c r="U30" s="36" t="s">
        <v>33</v>
      </c>
      <c r="V30" s="37" t="s">
        <v>33</v>
      </c>
      <c r="W30" s="14">
        <v>0</v>
      </c>
      <c r="X30" s="38">
        <f t="shared" si="9"/>
        <v>0</v>
      </c>
      <c r="Y30" s="39">
        <f t="shared" si="10"/>
        <v>0</v>
      </c>
      <c r="Z30" s="14">
        <v>0</v>
      </c>
      <c r="AA30" s="28" t="s">
        <v>34</v>
      </c>
      <c r="AB30" s="40">
        <f t="shared" si="11"/>
        <v>-0.69</v>
      </c>
      <c r="AC30" s="41">
        <v>2.4791666666666663E-2</v>
      </c>
      <c r="AD30" s="39">
        <f t="shared" si="12"/>
        <v>-0.6842499999999998</v>
      </c>
      <c r="AE30" s="25">
        <v>-3.64</v>
      </c>
      <c r="AF30" s="25">
        <v>-2.4519664377599999</v>
      </c>
      <c r="AG30" s="25">
        <v>0</v>
      </c>
    </row>
    <row r="31" spans="1:33" ht="15.75" customHeight="1" x14ac:dyDescent="0.2">
      <c r="A31" s="14" t="s">
        <v>75</v>
      </c>
      <c r="B31" s="14"/>
      <c r="C31" s="15">
        <f t="shared" si="4"/>
        <v>11.860434782608699</v>
      </c>
      <c r="D31" s="16">
        <v>23</v>
      </c>
      <c r="E31" s="16">
        <v>0</v>
      </c>
      <c r="F31" s="17">
        <v>272.79000000000008</v>
      </c>
      <c r="G31" s="42">
        <v>-0.04</v>
      </c>
      <c r="H31" s="31">
        <f t="shared" si="1"/>
        <v>1.4663294109021588E-4</v>
      </c>
      <c r="I31" s="31">
        <f t="shared" si="2"/>
        <v>0.33333107676791679</v>
      </c>
      <c r="J31" s="32">
        <f t="shared" si="5"/>
        <v>90.929384431520049</v>
      </c>
      <c r="K31" s="32">
        <f t="shared" si="3"/>
        <v>3.9534514970226109</v>
      </c>
      <c r="L31" s="16">
        <v>32</v>
      </c>
      <c r="M31" s="33">
        <f t="shared" si="6"/>
        <v>0.71875</v>
      </c>
      <c r="N31" s="16">
        <v>534</v>
      </c>
      <c r="O31" s="34">
        <f t="shared" ref="O31:P32" si="39">D31/7</f>
        <v>3.2857142857142856</v>
      </c>
      <c r="P31" s="34">
        <f t="shared" si="39"/>
        <v>0</v>
      </c>
      <c r="Q31" s="29">
        <f t="shared" si="8"/>
        <v>162</v>
      </c>
      <c r="R31" s="29"/>
      <c r="S31" s="21">
        <v>0.924050632911392</v>
      </c>
      <c r="T31" s="14">
        <v>500</v>
      </c>
      <c r="U31" s="22" t="s">
        <v>33</v>
      </c>
      <c r="V31" s="1" t="s">
        <v>954</v>
      </c>
      <c r="W31" s="14">
        <v>0</v>
      </c>
      <c r="X31" s="38">
        <f t="shared" si="9"/>
        <v>0</v>
      </c>
      <c r="Y31" s="39">
        <f t="shared" si="10"/>
        <v>0</v>
      </c>
      <c r="Z31" s="14">
        <v>0</v>
      </c>
      <c r="AA31" s="14" t="s">
        <v>34</v>
      </c>
      <c r="AB31" s="40">
        <f t="shared" si="11"/>
        <v>-0.69</v>
      </c>
      <c r="AC31" s="27">
        <v>2.4791666666666663E-2</v>
      </c>
      <c r="AD31" s="39">
        <f t="shared" si="12"/>
        <v>-0.78688749999999985</v>
      </c>
      <c r="AE31" s="43">
        <v>-3.64</v>
      </c>
      <c r="AF31" s="43">
        <v>-2.4519664377600003</v>
      </c>
      <c r="AG31" s="25">
        <v>0</v>
      </c>
    </row>
    <row r="32" spans="1:33" s="51" customFormat="1" ht="15.75" customHeight="1" x14ac:dyDescent="0.2">
      <c r="A32" s="51" t="s">
        <v>934</v>
      </c>
      <c r="C32" s="15">
        <f t="shared" si="4"/>
        <v>12.3405</v>
      </c>
      <c r="D32" s="52">
        <v>20</v>
      </c>
      <c r="E32" s="52">
        <v>0</v>
      </c>
      <c r="F32" s="53">
        <v>246.81</v>
      </c>
      <c r="G32" s="53">
        <v>-0.02</v>
      </c>
      <c r="H32" s="31">
        <f t="shared" si="1"/>
        <v>8.1033993760382477E-5</v>
      </c>
      <c r="I32" s="31">
        <f t="shared" si="2"/>
        <v>0.35349022018880921</v>
      </c>
      <c r="J32" s="32">
        <f t="shared" si="5"/>
        <v>87.244921244799997</v>
      </c>
      <c r="K32" s="32">
        <f t="shared" si="3"/>
        <v>4.3622460622399997</v>
      </c>
      <c r="L32" s="52">
        <v>39</v>
      </c>
      <c r="M32" s="33">
        <f t="shared" si="6"/>
        <v>0.51282051282051277</v>
      </c>
      <c r="N32" s="52">
        <v>509</v>
      </c>
      <c r="O32" s="34">
        <f t="shared" si="39"/>
        <v>2.8571428571428572</v>
      </c>
      <c r="P32" s="34">
        <f t="shared" si="39"/>
        <v>0</v>
      </c>
      <c r="Q32" s="29">
        <f t="shared" si="8"/>
        <v>178</v>
      </c>
      <c r="R32" s="29" t="str">
        <f ca="1">IFERROR(VLOOKUP($B$2,IMPORTRANGE("https://docs.google.com/spreadsheets/d/1KiWZV1ko8G7lnRucBRBd29jj3Be6ltMfljMDqzOkQmI/edit#gid=1381463014","Lookup!A:F"),6,FALSE),"")</f>
        <v/>
      </c>
      <c r="S32" s="54">
        <v>0.51756640959725797</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1</v>
      </c>
      <c r="X32" s="38">
        <f t="shared" si="9"/>
        <v>0.05</v>
      </c>
      <c r="Y32" s="39">
        <f t="shared" si="10"/>
        <v>0.02</v>
      </c>
      <c r="Z32" s="51">
        <v>0</v>
      </c>
      <c r="AA32" s="51" t="s">
        <v>34</v>
      </c>
      <c r="AB32" s="40">
        <f t="shared" si="11"/>
        <v>-0.69</v>
      </c>
      <c r="AC32" s="57">
        <v>2.4791666666666663E-2</v>
      </c>
      <c r="AD32" s="39">
        <f t="shared" si="12"/>
        <v>-0.6842499999999998</v>
      </c>
      <c r="AE32" s="58">
        <v>-3.64</v>
      </c>
      <c r="AF32" s="58">
        <v>-2.4519664377599999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84.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Info!B1:BJ5000""),3,FALSE),"""")"),"9 Ft Appliance Extension Cord Heavy Duty, Gray - 14 Gauge 3 Prong SPT-3 Air Conditioner Cable")</f>
        <v>9 Ft Appliance Extension Cord Heavy Duty, Gray - 14 Gauge 3 Prong SPT-3 Air Conditioner Cable</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Info!B1:BJ5000""),2,FALSE),"""")"),"B07ZS3Z947")</f>
        <v>B07ZS3Z947</v>
      </c>
      <c r="B2" s="3" t="s">
        <v>523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6.25" customHeight="1" x14ac:dyDescent="0.2">
      <c r="A3" s="76" t="s">
        <v>30</v>
      </c>
      <c r="B3" s="77"/>
      <c r="C3" s="47">
        <f>((AE32+AF32)/0.85)*-1</f>
        <v>8.7776319994823524</v>
      </c>
      <c r="D3" s="5">
        <f>SUM(D4:D99765)</f>
        <v>567</v>
      </c>
      <c r="E3" s="5"/>
      <c r="F3" s="6">
        <f t="shared" ref="F3:G3" si="0">SUM(F4:F99765)</f>
        <v>7983.2900000000009</v>
      </c>
      <c r="G3" s="6">
        <f t="shared" si="0"/>
        <v>-0.30000000000000004</v>
      </c>
      <c r="H3" s="7">
        <f t="shared" ref="H3:H32" si="1">G3/F3*-1</f>
        <v>3.7578492075322328E-5</v>
      </c>
      <c r="I3" s="8">
        <f t="shared" ref="I3:I32" si="2">J3/F3</f>
        <v>0.29706362381805423</v>
      </c>
      <c r="J3" s="6">
        <f>SUM(J4:J99765)</f>
        <v>2371.5450573904345</v>
      </c>
      <c r="K3" s="6">
        <f t="shared" ref="K3:K32" si="3">J3/D3</f>
        <v>4.1826191488367455</v>
      </c>
      <c r="L3" s="5"/>
      <c r="M3" s="9"/>
      <c r="N3" s="10"/>
      <c r="O3" s="5" t="str">
        <f ca="1">IFERROR(__xludf.DUMMYFUNCTION("IFERROR(VLOOKUP(B2,IMPORTRANGE(""https://docs.google.com/spreadsheets/d/1N8jvpEHDVkurDv7NrPxwI3eH6hQsvtb1QltGNCalRjU/edit#gid=865736387"",""Compiled Sheet!a1:g5000""),2,FALSE),"""")"),"4 - March
4 - April
4 - May
4 - June
7 - July
8 - Aug
7.5 - Sept
7 - Oct
5 - Nov
4 - Dec
4 - Jan
4 - Feb")</f>
        <v>4 - March
4 - April
4 - May
4 - June
7 - July
8 - Aug
7.5 - Sept
7 - Oct
5 - Nov
4 - Dec
4 - Jan
4 -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QTY-75")</f>
        <v>US QTY-75</v>
      </c>
      <c r="V3" s="13" t="str">
        <f ca="1">IFERROR(__xludf.DUMMYFUNCTION("CONCATENATE(""In Transit"", ""-"",IFERROR(VLOOKUP($B$2,IMPORTRANGE(""https://docs.google.com/spreadsheets/d/11afDUGgwIurytGWIAj1e7JPdtkZEoccxCski0CJdjqQ/edit#gid=1950799886"",""US Storage!a1:AD5000""),3,FALSE),""""))"),"In Transit-0")</f>
        <v>In Transit-0</v>
      </c>
      <c r="W3" s="5">
        <f>SUM(W4:W99765)</f>
        <v>3</v>
      </c>
      <c r="X3" s="7">
        <f>W3/D3</f>
        <v>5.2910052910052907E-3</v>
      </c>
      <c r="Y3" s="6"/>
      <c r="Z3" s="5"/>
      <c r="AA3" s="5"/>
      <c r="AB3" s="5"/>
      <c r="AC3" s="5"/>
      <c r="AD3" s="6">
        <f>SUM(AD4:AD99765)</f>
        <v>-33.171442452838207</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Info!B2:BZ7000""),37,FALSE)),"""")*-1"),-3.21098719956)</f>
        <v>-3.2109871995599999</v>
      </c>
      <c r="AG3" s="6">
        <f>SUM(AG4:AG99765)</f>
        <v>0</v>
      </c>
    </row>
    <row r="4" spans="1:33" ht="15.75" customHeight="1" x14ac:dyDescent="0.2">
      <c r="A4" s="14" t="s">
        <v>31</v>
      </c>
      <c r="B4" s="14" t="s">
        <v>524</v>
      </c>
      <c r="C4" s="15">
        <f t="shared" ref="C4:C32" si="4">IFERROR(F4/D4," - ")</f>
        <v>13.590000000000002</v>
      </c>
      <c r="D4" s="16">
        <v>9</v>
      </c>
      <c r="E4" s="16">
        <v>0</v>
      </c>
      <c r="F4" s="17">
        <v>122.31000000000002</v>
      </c>
      <c r="G4" s="17">
        <v>0</v>
      </c>
      <c r="H4" s="18">
        <f t="shared" si="1"/>
        <v>0</v>
      </c>
      <c r="I4" s="18">
        <f t="shared" si="2"/>
        <v>0.28928077525777818</v>
      </c>
      <c r="J4" s="17">
        <f t="shared" ref="J4:J32" si="5">F4*0.85+G4+AF4*D4+D4*AE4+AG4+AD4</f>
        <v>35.381931621778854</v>
      </c>
      <c r="K4" s="17">
        <f t="shared" si="3"/>
        <v>3.9313257357532061</v>
      </c>
      <c r="L4" s="16">
        <v>11</v>
      </c>
      <c r="M4" s="19">
        <f t="shared" ref="M4:M32" si="6">IFERROR(D4/L4,"-")</f>
        <v>0.81818181818181823</v>
      </c>
      <c r="N4" s="16">
        <v>30</v>
      </c>
      <c r="O4" s="20">
        <f t="shared" ref="O4:P4" si="7">D4/7</f>
        <v>1.2857142857142858</v>
      </c>
      <c r="P4" s="20">
        <f t="shared" si="7"/>
        <v>0</v>
      </c>
      <c r="Q4" s="16">
        <f t="shared" ref="Q4:Q32" si="8">ROUNDDOWN(N4/(O4+P4),0)</f>
        <v>23</v>
      </c>
      <c r="R4" s="16"/>
      <c r="S4" s="21">
        <v>3.0909090909090899</v>
      </c>
      <c r="T4" s="14">
        <v>750</v>
      </c>
      <c r="U4" s="22">
        <v>75</v>
      </c>
      <c r="V4" s="23" t="s">
        <v>404</v>
      </c>
      <c r="W4" s="14">
        <v>0</v>
      </c>
      <c r="X4" s="24">
        <f t="shared" ref="X4:X32" si="9">IFERROR(W4/D4,0)</f>
        <v>0</v>
      </c>
      <c r="Y4" s="25">
        <f t="shared" ref="Y4:Y32" si="10">IFERROR(G4/(W4+Z4)*-1,0)</f>
        <v>0</v>
      </c>
      <c r="Z4" s="14">
        <v>0</v>
      </c>
      <c r="AA4" s="2" t="s">
        <v>34</v>
      </c>
      <c r="AB4" s="26">
        <f t="shared" ref="AB4:AB32" si="11">IF(OR(AA4="UsLargeStandardSize",AA4="UsSmallStandardSize"),-0.69,-0.48)</f>
        <v>-0.69</v>
      </c>
      <c r="AC4" s="27">
        <v>4.2393093749999992E-2</v>
      </c>
      <c r="AD4" s="25">
        <f t="shared" ref="AD4:AD32" si="12">IFERROR(AB4*AC4*D4*2,0)</f>
        <v>-0.52652222437499985</v>
      </c>
      <c r="AE4" s="25">
        <v>-4.9000000000000004</v>
      </c>
      <c r="AF4" s="25">
        <v>-2.6616717948717947</v>
      </c>
      <c r="AG4" s="25">
        <v>0</v>
      </c>
    </row>
    <row r="5" spans="1:33" ht="15.75" customHeight="1" x14ac:dyDescent="0.2">
      <c r="A5" s="28" t="s">
        <v>35</v>
      </c>
      <c r="B5" s="28" t="s">
        <v>194</v>
      </c>
      <c r="C5" s="15">
        <f t="shared" si="4"/>
        <v>13.590000000000002</v>
      </c>
      <c r="D5" s="29">
        <v>8</v>
      </c>
      <c r="E5" s="29">
        <v>0</v>
      </c>
      <c r="F5" s="30">
        <v>108.72000000000001</v>
      </c>
      <c r="G5" s="30">
        <v>0</v>
      </c>
      <c r="H5" s="31">
        <f t="shared" si="1"/>
        <v>0</v>
      </c>
      <c r="I5" s="31">
        <f t="shared" si="2"/>
        <v>0.28927578705677365</v>
      </c>
      <c r="J5" s="32">
        <f t="shared" si="5"/>
        <v>31.450063568812432</v>
      </c>
      <c r="K5" s="32">
        <f t="shared" si="3"/>
        <v>3.931257946101554</v>
      </c>
      <c r="L5" s="29">
        <v>30</v>
      </c>
      <c r="M5" s="33">
        <f t="shared" si="6"/>
        <v>0.26666666666666666</v>
      </c>
      <c r="N5" s="29">
        <v>20</v>
      </c>
      <c r="O5" s="34">
        <f t="shared" ref="O5:P5" si="13">D5/7</f>
        <v>1.1428571428571428</v>
      </c>
      <c r="P5" s="34">
        <f t="shared" si="13"/>
        <v>0</v>
      </c>
      <c r="Q5" s="29">
        <f t="shared" si="8"/>
        <v>17</v>
      </c>
      <c r="R5" s="29"/>
      <c r="S5" s="35">
        <v>4.7012987012987004</v>
      </c>
      <c r="T5" s="28">
        <v>750</v>
      </c>
      <c r="U5" s="36">
        <v>75</v>
      </c>
      <c r="V5" s="37" t="s">
        <v>405</v>
      </c>
      <c r="W5" s="28">
        <v>0</v>
      </c>
      <c r="X5" s="38">
        <f t="shared" si="9"/>
        <v>0</v>
      </c>
      <c r="Y5" s="39">
        <f t="shared" si="10"/>
        <v>0</v>
      </c>
      <c r="Z5" s="28">
        <v>0</v>
      </c>
      <c r="AA5" s="28" t="s">
        <v>34</v>
      </c>
      <c r="AB5" s="40">
        <f t="shared" si="11"/>
        <v>-0.69</v>
      </c>
      <c r="AC5" s="41">
        <v>4.2442216685979139E-2</v>
      </c>
      <c r="AD5" s="39">
        <f t="shared" si="12"/>
        <v>-0.46856207221320967</v>
      </c>
      <c r="AE5" s="39">
        <v>-4.9000000000000004</v>
      </c>
      <c r="AF5" s="39">
        <v>-2.6616717948717947</v>
      </c>
      <c r="AG5" s="39">
        <v>0</v>
      </c>
    </row>
    <row r="6" spans="1:33" ht="15.75" customHeight="1" x14ac:dyDescent="0.2">
      <c r="A6" s="28" t="s">
        <v>37</v>
      </c>
      <c r="B6" s="28" t="s">
        <v>131</v>
      </c>
      <c r="C6" s="15">
        <f t="shared" si="4"/>
        <v>13.60565217391304</v>
      </c>
      <c r="D6" s="29">
        <v>23</v>
      </c>
      <c r="E6" s="29">
        <v>0</v>
      </c>
      <c r="F6" s="30">
        <v>312.92999999999989</v>
      </c>
      <c r="G6" s="30">
        <v>0</v>
      </c>
      <c r="H6" s="31">
        <f t="shared" si="1"/>
        <v>0</v>
      </c>
      <c r="I6" s="31">
        <f t="shared" si="2"/>
        <v>0.28992583620082335</v>
      </c>
      <c r="J6" s="32">
        <f t="shared" si="5"/>
        <v>90.726491922323618</v>
      </c>
      <c r="K6" s="32">
        <f t="shared" si="3"/>
        <v>3.9446300835792876</v>
      </c>
      <c r="L6" s="29">
        <v>42</v>
      </c>
      <c r="M6" s="33">
        <f t="shared" si="6"/>
        <v>0.54761904761904767</v>
      </c>
      <c r="N6" s="29">
        <v>2</v>
      </c>
      <c r="O6" s="34">
        <f t="shared" ref="O6:P6" si="14">D6/7</f>
        <v>3.2857142857142856</v>
      </c>
      <c r="P6" s="34">
        <f t="shared" si="14"/>
        <v>0</v>
      </c>
      <c r="Q6" s="29">
        <f t="shared" si="8"/>
        <v>0</v>
      </c>
      <c r="R6" s="29"/>
      <c r="S6" s="35">
        <v>8.0833333333333304</v>
      </c>
      <c r="T6" s="28">
        <v>1050</v>
      </c>
      <c r="U6" s="36">
        <v>75</v>
      </c>
      <c r="V6" s="37" t="s">
        <v>525</v>
      </c>
      <c r="W6" s="28">
        <v>0</v>
      </c>
      <c r="X6" s="38">
        <f t="shared" si="9"/>
        <v>0</v>
      </c>
      <c r="Y6" s="39">
        <f t="shared" si="10"/>
        <v>0</v>
      </c>
      <c r="Z6" s="28">
        <v>0</v>
      </c>
      <c r="AA6" s="28" t="s">
        <v>34</v>
      </c>
      <c r="AB6" s="40">
        <f t="shared" si="11"/>
        <v>-0.69</v>
      </c>
      <c r="AC6" s="41">
        <v>4.2393093749999992E-2</v>
      </c>
      <c r="AD6" s="39">
        <f t="shared" si="12"/>
        <v>-1.3455567956249996</v>
      </c>
      <c r="AE6" s="39">
        <v>-4.9000000000000004</v>
      </c>
      <c r="AF6" s="39">
        <v>-2.6616717948717947</v>
      </c>
      <c r="AG6" s="39">
        <v>0</v>
      </c>
    </row>
    <row r="7" spans="1:33" ht="15.75" customHeight="1" x14ac:dyDescent="0.2">
      <c r="A7" s="28" t="s">
        <v>40</v>
      </c>
      <c r="B7" s="28"/>
      <c r="C7" s="15" t="str">
        <f t="shared" si="4"/>
        <v xml:space="preserve"> - </v>
      </c>
      <c r="D7" s="29">
        <v>0</v>
      </c>
      <c r="E7" s="29">
        <v>0</v>
      </c>
      <c r="F7" s="30">
        <v>0</v>
      </c>
      <c r="G7" s="30">
        <v>0</v>
      </c>
      <c r="H7" s="31" t="e">
        <f t="shared" si="1"/>
        <v>#DIV/0!</v>
      </c>
      <c r="I7" s="31" t="e">
        <f t="shared" si="2"/>
        <v>#DIV/0!</v>
      </c>
      <c r="J7" s="32">
        <f t="shared" si="5"/>
        <v>0</v>
      </c>
      <c r="K7" s="32" t="e">
        <f t="shared" si="3"/>
        <v>#DIV/0!</v>
      </c>
      <c r="L7" s="29">
        <v>0</v>
      </c>
      <c r="M7" s="33" t="str">
        <f t="shared" si="6"/>
        <v>-</v>
      </c>
      <c r="N7" s="29">
        <v>0</v>
      </c>
      <c r="O7" s="34">
        <f t="shared" ref="O7:P7" si="15">D7/7</f>
        <v>0</v>
      </c>
      <c r="P7" s="34">
        <f t="shared" si="15"/>
        <v>0</v>
      </c>
      <c r="Q7" s="29" t="e">
        <f t="shared" si="8"/>
        <v>#DIV/0!</v>
      </c>
      <c r="R7" s="29"/>
      <c r="S7" s="35" t="e">
        <v>#N/A</v>
      </c>
      <c r="T7" s="28">
        <v>750</v>
      </c>
      <c r="U7" s="36">
        <v>75</v>
      </c>
      <c r="V7" s="37" t="s">
        <v>526</v>
      </c>
      <c r="W7" s="28">
        <v>0</v>
      </c>
      <c r="X7" s="38">
        <f t="shared" si="9"/>
        <v>0</v>
      </c>
      <c r="Y7" s="39">
        <f t="shared" si="10"/>
        <v>0</v>
      </c>
      <c r="Z7" s="28">
        <v>0</v>
      </c>
      <c r="AA7" s="28" t="e">
        <v>#N/A</v>
      </c>
      <c r="AB7" s="40" t="e">
        <f t="shared" si="11"/>
        <v>#N/A</v>
      </c>
      <c r="AC7" s="41" t="e">
        <v>#N/A</v>
      </c>
      <c r="AD7" s="39">
        <f t="shared" si="12"/>
        <v>0</v>
      </c>
      <c r="AE7" s="39">
        <v>0</v>
      </c>
      <c r="AF7" s="39">
        <v>-2.6616717948717947</v>
      </c>
      <c r="AG7" s="39">
        <v>0</v>
      </c>
    </row>
    <row r="8" spans="1:33" ht="15.75" customHeight="1" x14ac:dyDescent="0.2">
      <c r="A8" s="28" t="s">
        <v>42</v>
      </c>
      <c r="B8" s="28" t="s">
        <v>194</v>
      </c>
      <c r="C8" s="15">
        <f t="shared" si="4"/>
        <v>13.59</v>
      </c>
      <c r="D8" s="29">
        <v>1</v>
      </c>
      <c r="E8" s="29">
        <v>0</v>
      </c>
      <c r="F8" s="30">
        <v>13.59</v>
      </c>
      <c r="G8" s="30">
        <v>0</v>
      </c>
      <c r="H8" s="31">
        <f t="shared" si="1"/>
        <v>0</v>
      </c>
      <c r="I8" s="31">
        <f t="shared" si="2"/>
        <v>0.28940379180463566</v>
      </c>
      <c r="J8" s="32">
        <f t="shared" si="5"/>
        <v>3.9329975306249985</v>
      </c>
      <c r="K8" s="32">
        <f t="shared" si="3"/>
        <v>3.9329975306249985</v>
      </c>
      <c r="L8" s="29">
        <v>0</v>
      </c>
      <c r="M8" s="33" t="str">
        <f t="shared" si="6"/>
        <v>-</v>
      </c>
      <c r="N8" s="29">
        <v>49</v>
      </c>
      <c r="O8" s="34">
        <f t="shared" ref="O8:P8" si="16">D8/7</f>
        <v>0.14285714285714285</v>
      </c>
      <c r="P8" s="34">
        <f t="shared" si="16"/>
        <v>0</v>
      </c>
      <c r="Q8" s="29">
        <f t="shared" si="8"/>
        <v>343</v>
      </c>
      <c r="R8" s="29"/>
      <c r="S8" s="35">
        <v>3.2131147540983598</v>
      </c>
      <c r="T8" s="28">
        <v>675</v>
      </c>
      <c r="U8" s="36">
        <v>300</v>
      </c>
      <c r="V8" s="37" t="s">
        <v>527</v>
      </c>
      <c r="W8" s="28">
        <v>0</v>
      </c>
      <c r="X8" s="38">
        <f t="shared" si="9"/>
        <v>0</v>
      </c>
      <c r="Y8" s="39">
        <f t="shared" si="10"/>
        <v>0</v>
      </c>
      <c r="Z8" s="28">
        <v>0</v>
      </c>
      <c r="AA8" s="28" t="s">
        <v>34</v>
      </c>
      <c r="AB8" s="40">
        <f t="shared" si="11"/>
        <v>-0.69</v>
      </c>
      <c r="AC8" s="41">
        <v>4.2393093749999992E-2</v>
      </c>
      <c r="AD8" s="39">
        <f t="shared" si="12"/>
        <v>-5.8502469374999984E-2</v>
      </c>
      <c r="AE8" s="39">
        <v>-4.9000000000000004</v>
      </c>
      <c r="AF8" s="39">
        <v>-2.66</v>
      </c>
      <c r="AG8" s="39">
        <v>0</v>
      </c>
    </row>
    <row r="9" spans="1:33" ht="15.75" customHeight="1" x14ac:dyDescent="0.2">
      <c r="A9" s="28" t="s">
        <v>44</v>
      </c>
      <c r="B9" s="28" t="s">
        <v>194</v>
      </c>
      <c r="C9" s="15">
        <f t="shared" si="4"/>
        <v>13.590000000000002</v>
      </c>
      <c r="D9" s="29">
        <v>14</v>
      </c>
      <c r="E9" s="29">
        <v>1</v>
      </c>
      <c r="F9" s="30">
        <v>190.26000000000002</v>
      </c>
      <c r="G9" s="30">
        <v>0</v>
      </c>
      <c r="H9" s="31">
        <f t="shared" si="1"/>
        <v>0</v>
      </c>
      <c r="I9" s="31">
        <f t="shared" si="2"/>
        <v>0.28552386501080201</v>
      </c>
      <c r="J9" s="32">
        <f t="shared" si="5"/>
        <v>54.323770556955196</v>
      </c>
      <c r="K9" s="32">
        <f t="shared" si="3"/>
        <v>3.8802693254967999</v>
      </c>
      <c r="L9" s="29">
        <v>27</v>
      </c>
      <c r="M9" s="33">
        <f t="shared" si="6"/>
        <v>0.51851851851851849</v>
      </c>
      <c r="N9" s="29">
        <v>61</v>
      </c>
      <c r="O9" s="34">
        <f t="shared" ref="O9:P9" si="17">D9/7</f>
        <v>2</v>
      </c>
      <c r="P9" s="34">
        <f t="shared" si="17"/>
        <v>0.14285714285714285</v>
      </c>
      <c r="Q9" s="29">
        <f t="shared" si="8"/>
        <v>28</v>
      </c>
      <c r="R9" s="29"/>
      <c r="S9" s="35">
        <v>3.2</v>
      </c>
      <c r="T9" s="28">
        <v>675</v>
      </c>
      <c r="U9" s="36">
        <v>300</v>
      </c>
      <c r="V9" s="37" t="s">
        <v>528</v>
      </c>
      <c r="W9" s="28">
        <v>0</v>
      </c>
      <c r="X9" s="38">
        <f t="shared" si="9"/>
        <v>0</v>
      </c>
      <c r="Y9" s="39">
        <f t="shared" si="10"/>
        <v>0</v>
      </c>
      <c r="Z9" s="28">
        <v>0</v>
      </c>
      <c r="AA9" s="28" t="s">
        <v>34</v>
      </c>
      <c r="AB9" s="40">
        <f t="shared" si="11"/>
        <v>-0.69</v>
      </c>
      <c r="AC9" s="41">
        <v>4.2393093749999992E-2</v>
      </c>
      <c r="AD9" s="39">
        <f t="shared" si="12"/>
        <v>-0.81903457124999979</v>
      </c>
      <c r="AE9" s="39">
        <v>-4.9000000000000004</v>
      </c>
      <c r="AF9" s="39">
        <v>-2.7127282051282</v>
      </c>
      <c r="AG9" s="39">
        <v>0</v>
      </c>
    </row>
    <row r="10" spans="1:33" ht="15.75" customHeight="1" x14ac:dyDescent="0.2">
      <c r="A10" s="28" t="s">
        <v>46</v>
      </c>
      <c r="B10" s="28" t="s">
        <v>47</v>
      </c>
      <c r="C10" s="15">
        <f t="shared" si="4"/>
        <v>13.59</v>
      </c>
      <c r="D10" s="29">
        <v>10</v>
      </c>
      <c r="E10" s="29">
        <v>0</v>
      </c>
      <c r="F10" s="30">
        <v>135.9</v>
      </c>
      <c r="G10" s="30">
        <v>-0.08</v>
      </c>
      <c r="H10" s="31">
        <f t="shared" si="1"/>
        <v>5.8866813833701251E-4</v>
      </c>
      <c r="I10" s="31">
        <f t="shared" si="2"/>
        <v>0.28493519687246499</v>
      </c>
      <c r="J10" s="32">
        <f t="shared" si="5"/>
        <v>38.722693254967993</v>
      </c>
      <c r="K10" s="32">
        <f t="shared" si="3"/>
        <v>3.8722693254967995</v>
      </c>
      <c r="L10" s="29">
        <v>26</v>
      </c>
      <c r="M10" s="33">
        <f t="shared" si="6"/>
        <v>0.38461538461538464</v>
      </c>
      <c r="N10" s="29">
        <v>25</v>
      </c>
      <c r="O10" s="34">
        <f t="shared" ref="O10:P10" si="18">D10/7</f>
        <v>1.4285714285714286</v>
      </c>
      <c r="P10" s="34">
        <f t="shared" si="18"/>
        <v>0</v>
      </c>
      <c r="Q10" s="29">
        <f t="shared" si="8"/>
        <v>17</v>
      </c>
      <c r="R10" s="29"/>
      <c r="S10" s="35">
        <v>5.3015873015872996</v>
      </c>
      <c r="T10" s="28">
        <v>675</v>
      </c>
      <c r="U10" s="36">
        <v>300</v>
      </c>
      <c r="V10" s="37" t="s">
        <v>528</v>
      </c>
      <c r="W10" s="28">
        <v>1</v>
      </c>
      <c r="X10" s="38">
        <f t="shared" si="9"/>
        <v>0.1</v>
      </c>
      <c r="Y10" s="39">
        <f t="shared" si="10"/>
        <v>0.08</v>
      </c>
      <c r="Z10" s="28">
        <v>0</v>
      </c>
      <c r="AA10" s="28" t="s">
        <v>34</v>
      </c>
      <c r="AB10" s="40">
        <f t="shared" si="11"/>
        <v>-0.69</v>
      </c>
      <c r="AC10" s="41">
        <v>4.2393093749999992E-2</v>
      </c>
      <c r="AD10" s="39">
        <f t="shared" si="12"/>
        <v>-0.58502469374999988</v>
      </c>
      <c r="AE10" s="39">
        <v>-4.9000000000000004</v>
      </c>
      <c r="AF10" s="39">
        <v>-2.7127282051282</v>
      </c>
      <c r="AG10" s="39">
        <v>0</v>
      </c>
    </row>
    <row r="11" spans="1:33" ht="15.75" customHeight="1" x14ac:dyDescent="0.2">
      <c r="A11" s="28" t="s">
        <v>48</v>
      </c>
      <c r="B11" s="28" t="s">
        <v>529</v>
      </c>
      <c r="C11" s="15">
        <f t="shared" si="4"/>
        <v>13.59</v>
      </c>
      <c r="D11" s="29">
        <v>9</v>
      </c>
      <c r="E11" s="29">
        <v>0</v>
      </c>
      <c r="F11" s="30">
        <v>122.31</v>
      </c>
      <c r="G11" s="30">
        <v>0</v>
      </c>
      <c r="H11" s="31">
        <f t="shared" si="1"/>
        <v>0</v>
      </c>
      <c r="I11" s="31">
        <f t="shared" si="2"/>
        <v>0.28552386501080207</v>
      </c>
      <c r="J11" s="32">
        <f t="shared" si="5"/>
        <v>34.922423929471201</v>
      </c>
      <c r="K11" s="32">
        <f t="shared" si="3"/>
        <v>3.8802693254967999</v>
      </c>
      <c r="L11" s="29">
        <v>27</v>
      </c>
      <c r="M11" s="33">
        <f t="shared" si="6"/>
        <v>0.33333333333333331</v>
      </c>
      <c r="N11" s="29">
        <v>15</v>
      </c>
      <c r="O11" s="34">
        <f t="shared" ref="O11:P11" si="19">D11/7</f>
        <v>1.2857142857142858</v>
      </c>
      <c r="P11" s="34">
        <f t="shared" si="19"/>
        <v>0</v>
      </c>
      <c r="Q11" s="29">
        <f t="shared" si="8"/>
        <v>11</v>
      </c>
      <c r="R11" s="29"/>
      <c r="S11" s="35">
        <v>9.1692307692307597</v>
      </c>
      <c r="T11" s="28">
        <v>1049</v>
      </c>
      <c r="U11" s="36">
        <v>300</v>
      </c>
      <c r="V11" s="37" t="s">
        <v>530</v>
      </c>
      <c r="W11" s="28">
        <v>0</v>
      </c>
      <c r="X11" s="38">
        <f t="shared" si="9"/>
        <v>0</v>
      </c>
      <c r="Y11" s="39">
        <f t="shared" si="10"/>
        <v>0</v>
      </c>
      <c r="Z11" s="28">
        <v>0</v>
      </c>
      <c r="AA11" s="28" t="s">
        <v>34</v>
      </c>
      <c r="AB11" s="40">
        <f t="shared" si="11"/>
        <v>-0.69</v>
      </c>
      <c r="AC11" s="41">
        <v>4.2393093749999992E-2</v>
      </c>
      <c r="AD11" s="39">
        <f t="shared" si="12"/>
        <v>-0.52652222437499985</v>
      </c>
      <c r="AE11" s="39">
        <v>-4.9000000000000004</v>
      </c>
      <c r="AF11" s="39">
        <v>-2.7127282051282</v>
      </c>
      <c r="AG11" s="39">
        <v>0</v>
      </c>
    </row>
    <row r="12" spans="1:33" ht="15.75" customHeight="1" x14ac:dyDescent="0.2">
      <c r="A12" s="28" t="s">
        <v>49</v>
      </c>
      <c r="B12" s="28" t="s">
        <v>531</v>
      </c>
      <c r="C12" s="15">
        <f t="shared" si="4"/>
        <v>14.702500000000001</v>
      </c>
      <c r="D12" s="29">
        <v>8</v>
      </c>
      <c r="E12" s="29">
        <v>0</v>
      </c>
      <c r="F12" s="30">
        <v>117.62</v>
      </c>
      <c r="G12" s="30">
        <v>0</v>
      </c>
      <c r="H12" s="31">
        <f t="shared" si="1"/>
        <v>0</v>
      </c>
      <c r="I12" s="31">
        <f t="shared" si="2"/>
        <v>0.32823630848473384</v>
      </c>
      <c r="J12" s="32">
        <f t="shared" si="5"/>
        <v>38.607154603974394</v>
      </c>
      <c r="K12" s="32">
        <f t="shared" si="3"/>
        <v>4.8258943254967992</v>
      </c>
      <c r="L12" s="29">
        <v>25</v>
      </c>
      <c r="M12" s="33">
        <f t="shared" si="6"/>
        <v>0.32</v>
      </c>
      <c r="N12" s="29">
        <v>10</v>
      </c>
      <c r="O12" s="34">
        <f t="shared" ref="O12:P12" si="20">D12/7</f>
        <v>1.1428571428571428</v>
      </c>
      <c r="P12" s="34">
        <f t="shared" si="20"/>
        <v>0</v>
      </c>
      <c r="Q12" s="29">
        <f t="shared" si="8"/>
        <v>8</v>
      </c>
      <c r="R12" s="29"/>
      <c r="S12" s="35">
        <v>3.9154929577464701</v>
      </c>
      <c r="T12" s="28">
        <v>1100</v>
      </c>
      <c r="U12" s="36">
        <v>300</v>
      </c>
      <c r="V12" s="37" t="s">
        <v>532</v>
      </c>
      <c r="W12" s="28">
        <v>0</v>
      </c>
      <c r="X12" s="38">
        <f t="shared" si="9"/>
        <v>0</v>
      </c>
      <c r="Y12" s="39">
        <f t="shared" si="10"/>
        <v>0</v>
      </c>
      <c r="Z12" s="28">
        <v>0</v>
      </c>
      <c r="AA12" s="28" t="s">
        <v>34</v>
      </c>
      <c r="AB12" s="40">
        <f t="shared" si="11"/>
        <v>-0.69</v>
      </c>
      <c r="AC12" s="41">
        <v>4.2393093749999992E-2</v>
      </c>
      <c r="AD12" s="39">
        <f t="shared" si="12"/>
        <v>-0.46801975499999987</v>
      </c>
      <c r="AE12" s="39">
        <v>-4.9000000000000004</v>
      </c>
      <c r="AF12" s="39">
        <v>-2.7127282051282</v>
      </c>
      <c r="AG12" s="39">
        <v>0</v>
      </c>
    </row>
    <row r="13" spans="1:33" ht="15.75" customHeight="1" x14ac:dyDescent="0.2">
      <c r="A13" s="28" t="s">
        <v>50</v>
      </c>
      <c r="B13" s="28" t="s">
        <v>52</v>
      </c>
      <c r="C13" s="15">
        <f t="shared" si="4"/>
        <v>13.522500000000003</v>
      </c>
      <c r="D13" s="29">
        <v>8</v>
      </c>
      <c r="E13" s="29">
        <v>0</v>
      </c>
      <c r="F13" s="32">
        <v>108.18000000000002</v>
      </c>
      <c r="G13" s="30">
        <v>0</v>
      </c>
      <c r="H13" s="31">
        <f t="shared" si="1"/>
        <v>0</v>
      </c>
      <c r="I13" s="31">
        <f t="shared" si="2"/>
        <v>0.28071898913847304</v>
      </c>
      <c r="J13" s="32">
        <f t="shared" si="5"/>
        <v>30.368180245000019</v>
      </c>
      <c r="K13" s="32">
        <f t="shared" si="3"/>
        <v>3.7960225306250024</v>
      </c>
      <c r="L13" s="29">
        <v>10</v>
      </c>
      <c r="M13" s="33">
        <f t="shared" si="6"/>
        <v>0.8</v>
      </c>
      <c r="N13" s="29">
        <v>0</v>
      </c>
      <c r="O13" s="34">
        <f t="shared" ref="O13:P13" si="21">D13/7</f>
        <v>1.1428571428571428</v>
      </c>
      <c r="P13" s="34">
        <f t="shared" si="21"/>
        <v>0</v>
      </c>
      <c r="Q13" s="29">
        <f t="shared" si="8"/>
        <v>0</v>
      </c>
      <c r="R13" s="29"/>
      <c r="S13" s="35" t="e">
        <v>#N/A</v>
      </c>
      <c r="T13" s="28">
        <v>675</v>
      </c>
      <c r="U13" s="36">
        <v>125</v>
      </c>
      <c r="V13" s="37" t="s">
        <v>533</v>
      </c>
      <c r="W13" s="28">
        <v>0</v>
      </c>
      <c r="X13" s="38">
        <f t="shared" si="9"/>
        <v>0</v>
      </c>
      <c r="Y13" s="39">
        <f t="shared" si="10"/>
        <v>0</v>
      </c>
      <c r="Z13" s="28">
        <v>0</v>
      </c>
      <c r="AA13" s="28" t="s">
        <v>34</v>
      </c>
      <c r="AB13" s="40">
        <f t="shared" si="11"/>
        <v>-0.69</v>
      </c>
      <c r="AC13" s="41">
        <v>4.2393093749999992E-2</v>
      </c>
      <c r="AD13" s="39">
        <f t="shared" si="12"/>
        <v>-0.46801975499999987</v>
      </c>
      <c r="AE13" s="39">
        <v>-4.9000000000000004</v>
      </c>
      <c r="AF13" s="39">
        <v>-2.7395999999999998</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675</v>
      </c>
      <c r="U14" s="36">
        <v>125</v>
      </c>
      <c r="V14" s="37" t="s">
        <v>533</v>
      </c>
      <c r="W14" s="28">
        <v>0</v>
      </c>
      <c r="X14" s="38">
        <f t="shared" si="9"/>
        <v>0</v>
      </c>
      <c r="Y14" s="39">
        <f t="shared" si="10"/>
        <v>0</v>
      </c>
      <c r="Z14" s="28">
        <v>0</v>
      </c>
      <c r="AA14" s="28" t="e">
        <v>#N/A</v>
      </c>
      <c r="AB14" s="40" t="e">
        <f t="shared" si="11"/>
        <v>#N/A</v>
      </c>
      <c r="AC14" s="41" t="e">
        <v>#N/A</v>
      </c>
      <c r="AD14" s="39">
        <f t="shared" si="12"/>
        <v>0</v>
      </c>
      <c r="AE14" s="39">
        <v>0</v>
      </c>
      <c r="AF14" s="39">
        <v>-2.7395999999999998</v>
      </c>
      <c r="AG14" s="39">
        <v>0</v>
      </c>
    </row>
    <row r="15" spans="1:33" ht="15.75" customHeight="1" x14ac:dyDescent="0.2">
      <c r="A15" s="28" t="s">
        <v>53</v>
      </c>
      <c r="B15" s="28" t="s">
        <v>534</v>
      </c>
      <c r="C15" s="15">
        <f t="shared" si="4"/>
        <v>13.210000000000004</v>
      </c>
      <c r="D15" s="29">
        <v>8</v>
      </c>
      <c r="E15" s="29">
        <v>0</v>
      </c>
      <c r="F15" s="32">
        <v>105.68000000000004</v>
      </c>
      <c r="G15" s="30">
        <v>0</v>
      </c>
      <c r="H15" s="31">
        <f t="shared" si="1"/>
        <v>0</v>
      </c>
      <c r="I15" s="31">
        <f t="shared" si="2"/>
        <v>0.24832683804882688</v>
      </c>
      <c r="J15" s="32">
        <f t="shared" si="5"/>
        <v>26.243180245000033</v>
      </c>
      <c r="K15" s="32">
        <f t="shared" si="3"/>
        <v>3.2803975306250042</v>
      </c>
      <c r="L15" s="29">
        <v>6</v>
      </c>
      <c r="M15" s="33">
        <f t="shared" si="6"/>
        <v>1.3333333333333333</v>
      </c>
      <c r="N15" s="29">
        <v>219</v>
      </c>
      <c r="O15" s="34">
        <f t="shared" ref="O15:P15" si="23">D15/7</f>
        <v>1.1428571428571428</v>
      </c>
      <c r="P15" s="34">
        <f t="shared" si="23"/>
        <v>0</v>
      </c>
      <c r="Q15" s="29">
        <f t="shared" si="8"/>
        <v>191</v>
      </c>
      <c r="R15" s="29"/>
      <c r="S15" s="35">
        <v>1.38888888888888</v>
      </c>
      <c r="T15" s="28">
        <v>675</v>
      </c>
      <c r="U15" s="36">
        <v>125</v>
      </c>
      <c r="V15" s="37" t="s">
        <v>535</v>
      </c>
      <c r="W15" s="28">
        <v>0</v>
      </c>
      <c r="X15" s="38">
        <f t="shared" si="9"/>
        <v>0</v>
      </c>
      <c r="Y15" s="39">
        <f t="shared" si="10"/>
        <v>0</v>
      </c>
      <c r="Z15" s="28">
        <v>0</v>
      </c>
      <c r="AA15" s="28" t="s">
        <v>34</v>
      </c>
      <c r="AB15" s="40">
        <f t="shared" si="11"/>
        <v>-0.69</v>
      </c>
      <c r="AC15" s="41">
        <v>4.2393093749999992E-2</v>
      </c>
      <c r="AD15" s="39">
        <f t="shared" si="12"/>
        <v>-0.46801975499999987</v>
      </c>
      <c r="AE15" s="39">
        <v>-4.9000000000000004</v>
      </c>
      <c r="AF15" s="39">
        <v>-2.9895999999999998</v>
      </c>
      <c r="AG15" s="39">
        <v>0</v>
      </c>
    </row>
    <row r="16" spans="1:33" ht="15.75" customHeight="1" x14ac:dyDescent="0.2">
      <c r="A16" s="28" t="s">
        <v>54</v>
      </c>
      <c r="B16" s="28" t="s">
        <v>536</v>
      </c>
      <c r="C16" s="15">
        <f t="shared" si="4"/>
        <v>13.091538461538466</v>
      </c>
      <c r="D16" s="29">
        <v>13</v>
      </c>
      <c r="E16" s="29">
        <v>0</v>
      </c>
      <c r="F16" s="32">
        <v>170.19000000000005</v>
      </c>
      <c r="G16" s="30">
        <v>0</v>
      </c>
      <c r="H16" s="31">
        <f t="shared" si="1"/>
        <v>0</v>
      </c>
      <c r="I16" s="31">
        <f t="shared" si="2"/>
        <v>0.24288247193210546</v>
      </c>
      <c r="J16" s="32">
        <f t="shared" si="5"/>
        <v>41.336167898125041</v>
      </c>
      <c r="K16" s="32">
        <f t="shared" si="3"/>
        <v>3.1797052229326956</v>
      </c>
      <c r="L16" s="29">
        <v>21</v>
      </c>
      <c r="M16" s="33">
        <f t="shared" si="6"/>
        <v>0.61904761904761907</v>
      </c>
      <c r="N16" s="29">
        <v>207</v>
      </c>
      <c r="O16" s="34">
        <f t="shared" ref="O16:P16" si="24">D16/7</f>
        <v>1.8571428571428572</v>
      </c>
      <c r="P16" s="34">
        <f t="shared" si="24"/>
        <v>0</v>
      </c>
      <c r="Q16" s="29">
        <f t="shared" si="8"/>
        <v>111</v>
      </c>
      <c r="R16" s="29"/>
      <c r="S16" s="35">
        <v>1.7121212121212099</v>
      </c>
      <c r="T16" s="28">
        <v>675</v>
      </c>
      <c r="U16" s="36">
        <v>125</v>
      </c>
      <c r="V16" s="37" t="s">
        <v>535</v>
      </c>
      <c r="W16" s="28">
        <v>0</v>
      </c>
      <c r="X16" s="38">
        <f t="shared" si="9"/>
        <v>0</v>
      </c>
      <c r="Y16" s="39">
        <f t="shared" si="10"/>
        <v>0</v>
      </c>
      <c r="Z16" s="28">
        <v>0</v>
      </c>
      <c r="AA16" s="28" t="s">
        <v>34</v>
      </c>
      <c r="AB16" s="40">
        <f t="shared" si="11"/>
        <v>-0.69</v>
      </c>
      <c r="AC16" s="41">
        <v>4.2393093749999992E-2</v>
      </c>
      <c r="AD16" s="39">
        <f t="shared" si="12"/>
        <v>-0.76053210187499976</v>
      </c>
      <c r="AE16" s="39">
        <v>-4.9000000000000004</v>
      </c>
      <c r="AF16" s="39">
        <v>-2.9895999999999998</v>
      </c>
      <c r="AG16" s="39">
        <v>0</v>
      </c>
    </row>
    <row r="17" spans="1:33" ht="15.75" customHeight="1" x14ac:dyDescent="0.2">
      <c r="A17" s="28" t="s">
        <v>55</v>
      </c>
      <c r="B17" s="28" t="s">
        <v>47</v>
      </c>
      <c r="C17" s="15">
        <f t="shared" si="4"/>
        <v>12.604400000000005</v>
      </c>
      <c r="D17" s="29">
        <v>25</v>
      </c>
      <c r="E17" s="29">
        <v>2</v>
      </c>
      <c r="F17" s="32">
        <v>315.11000000000013</v>
      </c>
      <c r="G17" s="30">
        <v>0</v>
      </c>
      <c r="H17" s="31">
        <f t="shared" si="1"/>
        <v>0</v>
      </c>
      <c r="I17" s="31">
        <f t="shared" si="2"/>
        <v>0.21941841980776575</v>
      </c>
      <c r="J17" s="32">
        <f t="shared" si="5"/>
        <v>69.140938265625095</v>
      </c>
      <c r="K17" s="32">
        <f t="shared" si="3"/>
        <v>2.7656375306250038</v>
      </c>
      <c r="L17" s="29">
        <v>50</v>
      </c>
      <c r="M17" s="33">
        <f t="shared" si="6"/>
        <v>0.5</v>
      </c>
      <c r="N17" s="29">
        <v>180</v>
      </c>
      <c r="O17" s="34">
        <f t="shared" ref="O17:P17" si="25">D17/7</f>
        <v>3.5714285714285716</v>
      </c>
      <c r="P17" s="34">
        <f t="shared" si="25"/>
        <v>0.2857142857142857</v>
      </c>
      <c r="Q17" s="29">
        <f t="shared" si="8"/>
        <v>46</v>
      </c>
      <c r="R17" s="29"/>
      <c r="S17" s="35">
        <v>2.0239043824701102</v>
      </c>
      <c r="T17" s="28">
        <v>550</v>
      </c>
      <c r="U17" s="36" t="s">
        <v>33</v>
      </c>
      <c r="V17" s="37" t="s">
        <v>33</v>
      </c>
      <c r="W17" s="28">
        <v>0</v>
      </c>
      <c r="X17" s="38">
        <f t="shared" si="9"/>
        <v>0</v>
      </c>
      <c r="Y17" s="39">
        <f t="shared" si="10"/>
        <v>0</v>
      </c>
      <c r="Z17" s="28">
        <v>0</v>
      </c>
      <c r="AA17" s="28" t="s">
        <v>34</v>
      </c>
      <c r="AB17" s="40">
        <f t="shared" si="11"/>
        <v>-0.69</v>
      </c>
      <c r="AC17" s="41">
        <v>4.2393093749999992E-2</v>
      </c>
      <c r="AD17" s="39">
        <f t="shared" si="12"/>
        <v>-1.4625617343749997</v>
      </c>
      <c r="AE17" s="39">
        <v>-4.9000000000000004</v>
      </c>
      <c r="AF17" s="39">
        <v>-2.9895999999999998</v>
      </c>
      <c r="AG17" s="39">
        <v>0</v>
      </c>
    </row>
    <row r="18" spans="1:33" ht="15.75" customHeight="1" x14ac:dyDescent="0.2">
      <c r="A18" s="28" t="s">
        <v>56</v>
      </c>
      <c r="B18" s="28" t="s">
        <v>47</v>
      </c>
      <c r="C18" s="15">
        <f t="shared" si="4"/>
        <v>12.035000000000004</v>
      </c>
      <c r="D18" s="29">
        <v>38</v>
      </c>
      <c r="E18" s="29">
        <v>1</v>
      </c>
      <c r="F18" s="32">
        <v>457.33000000000015</v>
      </c>
      <c r="G18" s="30">
        <v>0</v>
      </c>
      <c r="H18" s="31">
        <f t="shared" si="1"/>
        <v>0</v>
      </c>
      <c r="I18" s="31">
        <f t="shared" si="2"/>
        <v>0.18958433989405912</v>
      </c>
      <c r="J18" s="32">
        <f t="shared" si="5"/>
        <v>86.70260616375009</v>
      </c>
      <c r="K18" s="32">
        <f t="shared" si="3"/>
        <v>2.2816475306250026</v>
      </c>
      <c r="L18" s="29">
        <v>43</v>
      </c>
      <c r="M18" s="33">
        <f t="shared" si="6"/>
        <v>0.88372093023255816</v>
      </c>
      <c r="N18" s="29">
        <v>269</v>
      </c>
      <c r="O18" s="34">
        <f t="shared" ref="O18:P18" si="26">D18/7</f>
        <v>5.4285714285714288</v>
      </c>
      <c r="P18" s="34">
        <f t="shared" si="26"/>
        <v>0.14285714285714285</v>
      </c>
      <c r="Q18" s="29">
        <f t="shared" si="8"/>
        <v>48</v>
      </c>
      <c r="R18" s="29"/>
      <c r="S18" s="35">
        <v>1.67777777777777</v>
      </c>
      <c r="T18" s="28">
        <v>550</v>
      </c>
      <c r="U18" s="36">
        <v>0</v>
      </c>
      <c r="V18" s="37" t="s">
        <v>537</v>
      </c>
      <c r="W18" s="28">
        <v>0</v>
      </c>
      <c r="X18" s="38">
        <f t="shared" si="9"/>
        <v>0</v>
      </c>
      <c r="Y18" s="39">
        <f t="shared" si="10"/>
        <v>0</v>
      </c>
      <c r="Z18" s="28">
        <v>0</v>
      </c>
      <c r="AA18" s="28" t="s">
        <v>34</v>
      </c>
      <c r="AB18" s="40">
        <f t="shared" si="11"/>
        <v>-0.69</v>
      </c>
      <c r="AC18" s="41">
        <v>4.2393093749999992E-2</v>
      </c>
      <c r="AD18" s="39">
        <f t="shared" si="12"/>
        <v>-2.2230938362499995</v>
      </c>
      <c r="AE18" s="39">
        <v>-4.9000000000000004</v>
      </c>
      <c r="AF18" s="39">
        <v>-2.9895999999999998</v>
      </c>
      <c r="AG18" s="39">
        <v>0</v>
      </c>
    </row>
    <row r="19" spans="1:33" ht="15.75" customHeight="1" x14ac:dyDescent="0.2">
      <c r="A19" s="28" t="s">
        <v>57</v>
      </c>
      <c r="B19" s="28" t="s">
        <v>47</v>
      </c>
      <c r="C19" s="15">
        <f t="shared" si="4"/>
        <v>12.016666666666666</v>
      </c>
      <c r="D19" s="29">
        <v>21</v>
      </c>
      <c r="E19" s="29">
        <v>0</v>
      </c>
      <c r="F19" s="32">
        <v>252.34999999999997</v>
      </c>
      <c r="G19" s="30">
        <v>0</v>
      </c>
      <c r="H19" s="31">
        <f t="shared" si="1"/>
        <v>0</v>
      </c>
      <c r="I19" s="31">
        <f t="shared" si="2"/>
        <v>0.17700950324202494</v>
      </c>
      <c r="J19" s="32">
        <f t="shared" si="5"/>
        <v>44.668348143124987</v>
      </c>
      <c r="K19" s="32">
        <f t="shared" si="3"/>
        <v>2.127064197291666</v>
      </c>
      <c r="L19" s="29">
        <v>38</v>
      </c>
      <c r="M19" s="33">
        <f t="shared" si="6"/>
        <v>0.55263157894736847</v>
      </c>
      <c r="N19" s="29">
        <v>248</v>
      </c>
      <c r="O19" s="34">
        <f t="shared" ref="O19:P19" si="27">D19/7</f>
        <v>3</v>
      </c>
      <c r="P19" s="34">
        <f t="shared" si="27"/>
        <v>0</v>
      </c>
      <c r="Q19" s="29">
        <f t="shared" si="8"/>
        <v>82</v>
      </c>
      <c r="R19" s="29"/>
      <c r="S19" s="35">
        <v>1.2995780590717201</v>
      </c>
      <c r="T19" s="28">
        <v>550</v>
      </c>
      <c r="U19" s="36">
        <v>25</v>
      </c>
      <c r="V19" s="37" t="s">
        <v>537</v>
      </c>
      <c r="W19" s="28">
        <v>0</v>
      </c>
      <c r="X19" s="38">
        <f t="shared" si="9"/>
        <v>0</v>
      </c>
      <c r="Y19" s="39">
        <f t="shared" si="10"/>
        <v>0</v>
      </c>
      <c r="Z19" s="28">
        <v>0</v>
      </c>
      <c r="AA19" s="28" t="s">
        <v>34</v>
      </c>
      <c r="AB19" s="40">
        <f t="shared" si="11"/>
        <v>-0.69</v>
      </c>
      <c r="AC19" s="41">
        <v>4.2393093749999992E-2</v>
      </c>
      <c r="AD19" s="39">
        <f t="shared" si="12"/>
        <v>-1.2285518568749996</v>
      </c>
      <c r="AE19" s="39">
        <v>-4.9000000000000004</v>
      </c>
      <c r="AF19" s="39">
        <v>-3.1286</v>
      </c>
      <c r="AG19" s="39">
        <v>0</v>
      </c>
    </row>
    <row r="20" spans="1:33" ht="15.75" customHeight="1" x14ac:dyDescent="0.2">
      <c r="A20" s="28" t="s">
        <v>58</v>
      </c>
      <c r="B20" s="28" t="s">
        <v>47</v>
      </c>
      <c r="C20" s="15">
        <f t="shared" si="4"/>
        <v>11.99</v>
      </c>
      <c r="D20" s="29">
        <v>14</v>
      </c>
      <c r="E20" s="29">
        <v>0</v>
      </c>
      <c r="F20" s="32">
        <v>167.86</v>
      </c>
      <c r="G20" s="30">
        <v>-0.03</v>
      </c>
      <c r="H20" s="31">
        <f t="shared" si="1"/>
        <v>1.7872036220660073E-4</v>
      </c>
      <c r="I20" s="31">
        <f t="shared" si="2"/>
        <v>0.17533400112444897</v>
      </c>
      <c r="J20" s="32">
        <f t="shared" si="5"/>
        <v>29.431565428750005</v>
      </c>
      <c r="K20" s="32">
        <f t="shared" si="3"/>
        <v>2.1022546734821432</v>
      </c>
      <c r="L20" s="29">
        <v>31</v>
      </c>
      <c r="M20" s="33">
        <f t="shared" si="6"/>
        <v>0.45161290322580644</v>
      </c>
      <c r="N20" s="29">
        <v>231</v>
      </c>
      <c r="O20" s="34">
        <f t="shared" ref="O20:P20" si="28">D20/7</f>
        <v>2</v>
      </c>
      <c r="P20" s="34">
        <f t="shared" si="28"/>
        <v>0</v>
      </c>
      <c r="Q20" s="29">
        <f t="shared" si="8"/>
        <v>115</v>
      </c>
      <c r="R20" s="29"/>
      <c r="S20" s="35">
        <v>1.4774774774774699</v>
      </c>
      <c r="T20" s="28">
        <v>225</v>
      </c>
      <c r="U20" s="36">
        <v>25</v>
      </c>
      <c r="V20" s="37" t="s">
        <v>538</v>
      </c>
      <c r="W20" s="28">
        <v>0</v>
      </c>
      <c r="X20" s="38">
        <f t="shared" si="9"/>
        <v>0</v>
      </c>
      <c r="Y20" s="39">
        <f t="shared" si="10"/>
        <v>0</v>
      </c>
      <c r="Z20" s="28">
        <v>0</v>
      </c>
      <c r="AA20" s="28" t="s">
        <v>34</v>
      </c>
      <c r="AB20" s="40">
        <f t="shared" si="11"/>
        <v>-0.69</v>
      </c>
      <c r="AC20" s="41">
        <v>4.2393093749999992E-2</v>
      </c>
      <c r="AD20" s="39">
        <f t="shared" si="12"/>
        <v>-0.81903457124999979</v>
      </c>
      <c r="AE20" s="39">
        <v>-4.9000000000000004</v>
      </c>
      <c r="AF20" s="39">
        <v>-3.1286</v>
      </c>
      <c r="AG20" s="39">
        <v>0</v>
      </c>
    </row>
    <row r="21" spans="1:33" ht="15.75" customHeight="1" x14ac:dyDescent="0.2">
      <c r="A21" s="28" t="s">
        <v>59</v>
      </c>
      <c r="B21" s="28" t="s">
        <v>539</v>
      </c>
      <c r="C21" s="15">
        <f t="shared" si="4"/>
        <v>11.990000000000004</v>
      </c>
      <c r="D21" s="29">
        <v>20</v>
      </c>
      <c r="E21" s="29">
        <v>1</v>
      </c>
      <c r="F21" s="32">
        <v>239.80000000000007</v>
      </c>
      <c r="G21" s="30">
        <v>0</v>
      </c>
      <c r="H21" s="31">
        <f t="shared" si="1"/>
        <v>0</v>
      </c>
      <c r="I21" s="31">
        <f t="shared" si="2"/>
        <v>0.17551272148665564</v>
      </c>
      <c r="J21" s="32">
        <f t="shared" si="5"/>
        <v>42.087950612500038</v>
      </c>
      <c r="K21" s="32">
        <f t="shared" si="3"/>
        <v>2.1043975306250018</v>
      </c>
      <c r="L21" s="29">
        <v>12</v>
      </c>
      <c r="M21" s="33">
        <f t="shared" si="6"/>
        <v>1.6666666666666667</v>
      </c>
      <c r="N21" s="29">
        <v>212</v>
      </c>
      <c r="O21" s="34">
        <f t="shared" ref="O21:P21" si="29">D21/7</f>
        <v>2.8571428571428572</v>
      </c>
      <c r="P21" s="34">
        <f t="shared" si="29"/>
        <v>0.14285714285714285</v>
      </c>
      <c r="Q21" s="29">
        <f t="shared" si="8"/>
        <v>70</v>
      </c>
      <c r="R21" s="29"/>
      <c r="S21" s="35">
        <v>1.5319148936170199</v>
      </c>
      <c r="T21" s="28">
        <v>225</v>
      </c>
      <c r="U21" s="36">
        <v>25</v>
      </c>
      <c r="V21" s="37" t="s">
        <v>540</v>
      </c>
      <c r="W21" s="28">
        <v>0</v>
      </c>
      <c r="X21" s="38">
        <f t="shared" si="9"/>
        <v>0</v>
      </c>
      <c r="Y21" s="39">
        <f t="shared" si="10"/>
        <v>0</v>
      </c>
      <c r="Z21" s="28">
        <v>0</v>
      </c>
      <c r="AA21" s="28" t="s">
        <v>34</v>
      </c>
      <c r="AB21" s="40">
        <f t="shared" si="11"/>
        <v>-0.69</v>
      </c>
      <c r="AC21" s="41">
        <v>4.2393093749999992E-2</v>
      </c>
      <c r="AD21" s="39">
        <f t="shared" si="12"/>
        <v>-1.1700493874999998</v>
      </c>
      <c r="AE21" s="39">
        <v>-4.9000000000000004</v>
      </c>
      <c r="AF21" s="39">
        <v>-3.1286</v>
      </c>
      <c r="AG21" s="39">
        <v>0</v>
      </c>
    </row>
    <row r="22" spans="1:33" ht="15.75" customHeight="1" x14ac:dyDescent="0.2">
      <c r="A22" s="28" t="s">
        <v>60</v>
      </c>
      <c r="B22" s="28" t="s">
        <v>47</v>
      </c>
      <c r="C22" s="15">
        <f t="shared" si="4"/>
        <v>14.847142857142861</v>
      </c>
      <c r="D22" s="29">
        <v>21</v>
      </c>
      <c r="E22" s="29">
        <v>0</v>
      </c>
      <c r="F22" s="30">
        <v>311.79000000000008</v>
      </c>
      <c r="G22" s="30">
        <v>0</v>
      </c>
      <c r="H22" s="31">
        <f t="shared" si="1"/>
        <v>0</v>
      </c>
      <c r="I22" s="31">
        <f t="shared" si="2"/>
        <v>0.30530917650702405</v>
      </c>
      <c r="J22" s="32">
        <f t="shared" si="5"/>
        <v>95.192348143125045</v>
      </c>
      <c r="K22" s="32">
        <f t="shared" si="3"/>
        <v>4.5329689591964311</v>
      </c>
      <c r="L22" s="29">
        <v>47</v>
      </c>
      <c r="M22" s="33">
        <f t="shared" si="6"/>
        <v>0.44680851063829785</v>
      </c>
      <c r="N22" s="29">
        <v>190</v>
      </c>
      <c r="O22" s="34">
        <f t="shared" ref="O22:P22" si="30">D22/7</f>
        <v>3</v>
      </c>
      <c r="P22" s="34">
        <f t="shared" si="30"/>
        <v>0</v>
      </c>
      <c r="Q22" s="29">
        <f t="shared" si="8"/>
        <v>63</v>
      </c>
      <c r="R22" s="29"/>
      <c r="S22" s="35">
        <v>1.42124542124542</v>
      </c>
      <c r="T22" s="28">
        <v>850</v>
      </c>
      <c r="U22" s="36">
        <v>25</v>
      </c>
      <c r="V22" s="37" t="s">
        <v>541</v>
      </c>
      <c r="W22" s="28">
        <v>0</v>
      </c>
      <c r="X22" s="38">
        <f t="shared" si="9"/>
        <v>0</v>
      </c>
      <c r="Y22" s="39">
        <f t="shared" si="10"/>
        <v>0</v>
      </c>
      <c r="Z22" s="28">
        <v>0</v>
      </c>
      <c r="AA22" s="28" t="s">
        <v>34</v>
      </c>
      <c r="AB22" s="40">
        <f t="shared" si="11"/>
        <v>-0.69</v>
      </c>
      <c r="AC22" s="41">
        <v>4.2393093749999992E-2</v>
      </c>
      <c r="AD22" s="39">
        <f t="shared" si="12"/>
        <v>-1.2285518568749996</v>
      </c>
      <c r="AE22" s="39">
        <v>-4.9000000000000004</v>
      </c>
      <c r="AF22" s="39">
        <v>-3.1286</v>
      </c>
      <c r="AG22" s="39">
        <v>0</v>
      </c>
    </row>
    <row r="23" spans="1:33" ht="15.75" customHeight="1" x14ac:dyDescent="0.2">
      <c r="A23" s="28" t="s">
        <v>62</v>
      </c>
      <c r="B23" s="28" t="s">
        <v>542</v>
      </c>
      <c r="C23" s="15">
        <f t="shared" si="4"/>
        <v>14.99</v>
      </c>
      <c r="D23" s="29">
        <v>19</v>
      </c>
      <c r="E23" s="29">
        <v>0</v>
      </c>
      <c r="F23" s="32">
        <v>284.81</v>
      </c>
      <c r="G23" s="30">
        <v>0</v>
      </c>
      <c r="H23" s="31">
        <f t="shared" si="1"/>
        <v>0</v>
      </c>
      <c r="I23" s="31">
        <f t="shared" si="2"/>
        <v>0.3105001688208805</v>
      </c>
      <c r="J23" s="32">
        <f t="shared" si="5"/>
        <v>88.433553081874976</v>
      </c>
      <c r="K23" s="32">
        <f t="shared" si="3"/>
        <v>4.6543975306249985</v>
      </c>
      <c r="L23" s="29">
        <v>31</v>
      </c>
      <c r="M23" s="33">
        <f t="shared" si="6"/>
        <v>0.61290322580645162</v>
      </c>
      <c r="N23" s="29">
        <v>170</v>
      </c>
      <c r="O23" s="34">
        <f t="shared" ref="O23:P23" si="31">D23/7</f>
        <v>2.7142857142857144</v>
      </c>
      <c r="P23" s="34">
        <f t="shared" si="31"/>
        <v>0</v>
      </c>
      <c r="Q23" s="29">
        <f t="shared" si="8"/>
        <v>62</v>
      </c>
      <c r="R23" s="29"/>
      <c r="S23" s="35">
        <v>1.69874476987447</v>
      </c>
      <c r="T23" s="28">
        <v>850</v>
      </c>
      <c r="U23" s="36">
        <v>200</v>
      </c>
      <c r="V23" s="37" t="s">
        <v>543</v>
      </c>
      <c r="W23" s="28">
        <v>0</v>
      </c>
      <c r="X23" s="38">
        <f t="shared" si="9"/>
        <v>0</v>
      </c>
      <c r="Y23" s="39">
        <f t="shared" si="10"/>
        <v>0</v>
      </c>
      <c r="Z23" s="28">
        <v>0</v>
      </c>
      <c r="AA23" s="28" t="s">
        <v>34</v>
      </c>
      <c r="AB23" s="40">
        <f t="shared" si="11"/>
        <v>-0.69</v>
      </c>
      <c r="AC23" s="41">
        <v>4.2393093749999992E-2</v>
      </c>
      <c r="AD23" s="39">
        <f t="shared" si="12"/>
        <v>-1.1115469181249997</v>
      </c>
      <c r="AE23" s="39">
        <v>-4.9000000000000004</v>
      </c>
      <c r="AF23" s="39">
        <v>-3.1286</v>
      </c>
      <c r="AG23" s="39">
        <v>0</v>
      </c>
    </row>
    <row r="24" spans="1:33" ht="15.75" customHeight="1" x14ac:dyDescent="0.2">
      <c r="A24" s="28" t="s">
        <v>64</v>
      </c>
      <c r="B24" s="28" t="s">
        <v>344</v>
      </c>
      <c r="C24" s="15">
        <f t="shared" si="4"/>
        <v>14.764705882352947</v>
      </c>
      <c r="D24" s="29">
        <v>51</v>
      </c>
      <c r="E24" s="29">
        <v>0</v>
      </c>
      <c r="F24" s="32">
        <v>753.00000000000034</v>
      </c>
      <c r="G24" s="32">
        <v>0</v>
      </c>
      <c r="H24" s="31">
        <f t="shared" si="1"/>
        <v>0</v>
      </c>
      <c r="I24" s="31">
        <f t="shared" si="2"/>
        <v>0.30226796024153413</v>
      </c>
      <c r="J24" s="32">
        <f t="shared" si="5"/>
        <v>227.60777406187529</v>
      </c>
      <c r="K24" s="32">
        <f t="shared" si="3"/>
        <v>4.462897530625006</v>
      </c>
      <c r="L24" s="29">
        <v>63</v>
      </c>
      <c r="M24" s="33">
        <f t="shared" si="6"/>
        <v>0.80952380952380953</v>
      </c>
      <c r="N24" s="29">
        <v>121</v>
      </c>
      <c r="O24" s="34">
        <f t="shared" ref="O24:P24" si="32">D24/7</f>
        <v>7.2857142857142856</v>
      </c>
      <c r="P24" s="34">
        <f t="shared" si="32"/>
        <v>0</v>
      </c>
      <c r="Q24" s="29">
        <f t="shared" si="8"/>
        <v>16</v>
      </c>
      <c r="R24" s="29"/>
      <c r="S24" s="35">
        <v>1.37715179968701</v>
      </c>
      <c r="T24" s="28">
        <v>1150</v>
      </c>
      <c r="U24" s="36">
        <v>25</v>
      </c>
      <c r="V24" s="37" t="s">
        <v>544</v>
      </c>
      <c r="W24" s="28">
        <v>0</v>
      </c>
      <c r="X24" s="38">
        <f t="shared" si="9"/>
        <v>0</v>
      </c>
      <c r="Y24" s="39">
        <f t="shared" si="10"/>
        <v>0</v>
      </c>
      <c r="Z24" s="28">
        <v>0</v>
      </c>
      <c r="AA24" s="28" t="s">
        <v>34</v>
      </c>
      <c r="AB24" s="40">
        <f t="shared" si="11"/>
        <v>-0.69</v>
      </c>
      <c r="AC24" s="41">
        <v>4.2393093749999992E-2</v>
      </c>
      <c r="AD24" s="39">
        <f t="shared" si="12"/>
        <v>-2.983625938124999</v>
      </c>
      <c r="AE24" s="39">
        <v>-4.9000000000000004</v>
      </c>
      <c r="AF24" s="39">
        <v>-3.1286</v>
      </c>
      <c r="AG24" s="39">
        <v>0</v>
      </c>
    </row>
    <row r="25" spans="1:33" ht="15.75" customHeight="1" x14ac:dyDescent="0.2">
      <c r="A25" s="28" t="s">
        <v>65</v>
      </c>
      <c r="B25" s="28" t="s">
        <v>344</v>
      </c>
      <c r="C25" s="15">
        <f t="shared" si="4"/>
        <v>15.05076923076923</v>
      </c>
      <c r="D25" s="29">
        <v>26</v>
      </c>
      <c r="E25" s="29">
        <v>0</v>
      </c>
      <c r="F25" s="32">
        <v>391.32</v>
      </c>
      <c r="G25" s="32">
        <v>0</v>
      </c>
      <c r="H25" s="31">
        <f t="shared" si="1"/>
        <v>0</v>
      </c>
      <c r="I25" s="31">
        <f t="shared" si="2"/>
        <v>0.31258544361711632</v>
      </c>
      <c r="J25" s="32">
        <f t="shared" si="5"/>
        <v>122.32093579624996</v>
      </c>
      <c r="K25" s="32">
        <f t="shared" si="3"/>
        <v>4.7046513767788447</v>
      </c>
      <c r="L25" s="29">
        <v>33</v>
      </c>
      <c r="M25" s="33">
        <f t="shared" si="6"/>
        <v>0.78787878787878785</v>
      </c>
      <c r="N25" s="29">
        <v>86</v>
      </c>
      <c r="O25" s="34">
        <f t="shared" ref="O25:P25" si="33">D25/7</f>
        <v>3.7142857142857144</v>
      </c>
      <c r="P25" s="34">
        <f t="shared" si="33"/>
        <v>0</v>
      </c>
      <c r="Q25" s="29">
        <f t="shared" si="8"/>
        <v>23</v>
      </c>
      <c r="R25" s="29"/>
      <c r="S25" s="35">
        <v>1.985074626865672</v>
      </c>
      <c r="T25" s="28">
        <v>1350</v>
      </c>
      <c r="U25" s="36">
        <v>25</v>
      </c>
      <c r="V25" s="37" t="s">
        <v>545</v>
      </c>
      <c r="W25" s="14">
        <v>0</v>
      </c>
      <c r="X25" s="38">
        <f t="shared" si="9"/>
        <v>0</v>
      </c>
      <c r="Y25" s="39">
        <f t="shared" si="10"/>
        <v>0</v>
      </c>
      <c r="Z25" s="14">
        <v>0</v>
      </c>
      <c r="AA25" s="28" t="s">
        <v>34</v>
      </c>
      <c r="AB25" s="40">
        <f t="shared" si="11"/>
        <v>-0.69</v>
      </c>
      <c r="AC25" s="41">
        <v>4.2393093749999992E-2</v>
      </c>
      <c r="AD25" s="39">
        <f t="shared" si="12"/>
        <v>-1.5210642037499995</v>
      </c>
      <c r="AE25" s="39">
        <v>-4.9000000000000004</v>
      </c>
      <c r="AF25" s="39">
        <v>-3.13</v>
      </c>
      <c r="AG25" s="39">
        <v>0</v>
      </c>
    </row>
    <row r="26" spans="1:33" ht="15.75" customHeight="1" x14ac:dyDescent="0.2">
      <c r="A26" s="14" t="s">
        <v>67</v>
      </c>
      <c r="B26" s="14" t="s">
        <v>47</v>
      </c>
      <c r="C26" s="15">
        <f t="shared" si="4"/>
        <v>14.989999999999998</v>
      </c>
      <c r="D26" s="16">
        <v>23</v>
      </c>
      <c r="E26" s="16">
        <v>0</v>
      </c>
      <c r="F26" s="17">
        <v>344.77</v>
      </c>
      <c r="G26" s="17">
        <v>0</v>
      </c>
      <c r="H26" s="31">
        <f t="shared" si="1"/>
        <v>0</v>
      </c>
      <c r="I26" s="31">
        <f t="shared" si="2"/>
        <v>0.35316327756003996</v>
      </c>
      <c r="J26" s="32">
        <f t="shared" si="5"/>
        <v>121.76010320437497</v>
      </c>
      <c r="K26" s="32">
        <f t="shared" si="3"/>
        <v>5.2939175306249986</v>
      </c>
      <c r="L26" s="16">
        <v>54</v>
      </c>
      <c r="M26" s="33">
        <f t="shared" si="6"/>
        <v>0.42592592592592593</v>
      </c>
      <c r="N26" s="16">
        <v>70</v>
      </c>
      <c r="O26" s="34">
        <f t="shared" ref="O26:P26" si="34">D26/7</f>
        <v>3.2857142857142856</v>
      </c>
      <c r="P26" s="34">
        <f t="shared" si="34"/>
        <v>0</v>
      </c>
      <c r="Q26" s="29">
        <f t="shared" si="8"/>
        <v>21</v>
      </c>
      <c r="R26" s="29"/>
      <c r="S26" s="21">
        <v>2.280851063829787</v>
      </c>
      <c r="T26" s="28">
        <v>1150</v>
      </c>
      <c r="U26" s="36">
        <v>25</v>
      </c>
      <c r="V26" s="37" t="s">
        <v>546</v>
      </c>
      <c r="W26" s="14">
        <v>0</v>
      </c>
      <c r="X26" s="38">
        <f t="shared" si="9"/>
        <v>0</v>
      </c>
      <c r="Y26" s="39">
        <f t="shared" si="10"/>
        <v>0</v>
      </c>
      <c r="Z26" s="14">
        <v>0</v>
      </c>
      <c r="AA26" s="28" t="s">
        <v>34</v>
      </c>
      <c r="AB26" s="40">
        <f t="shared" si="11"/>
        <v>-0.69</v>
      </c>
      <c r="AC26" s="41">
        <v>4.2393093749999992E-2</v>
      </c>
      <c r="AD26" s="39">
        <f t="shared" si="12"/>
        <v>-1.3455567956249996</v>
      </c>
      <c r="AE26" s="25">
        <v>-4.25</v>
      </c>
      <c r="AF26" s="25">
        <v>-3.1390799999999999</v>
      </c>
      <c r="AG26" s="25">
        <v>0</v>
      </c>
    </row>
    <row r="27" spans="1:33" ht="15.75" customHeight="1" x14ac:dyDescent="0.2">
      <c r="A27" s="14" t="s">
        <v>69</v>
      </c>
      <c r="B27" s="14" t="s">
        <v>280</v>
      </c>
      <c r="C27" s="15">
        <f t="shared" si="4"/>
        <v>14.99</v>
      </c>
      <c r="D27" s="16">
        <v>34</v>
      </c>
      <c r="E27" s="16">
        <v>0</v>
      </c>
      <c r="F27" s="17">
        <v>509.66</v>
      </c>
      <c r="G27" s="17">
        <v>0</v>
      </c>
      <c r="H27" s="31">
        <f t="shared" si="1"/>
        <v>0</v>
      </c>
      <c r="I27" s="31">
        <f t="shared" si="2"/>
        <v>0.3433567398682455</v>
      </c>
      <c r="J27" s="32">
        <f t="shared" si="5"/>
        <v>174.99519604125001</v>
      </c>
      <c r="K27" s="32">
        <f t="shared" si="3"/>
        <v>5.1469175306250001</v>
      </c>
      <c r="L27" s="16">
        <v>53</v>
      </c>
      <c r="M27" s="33">
        <f t="shared" si="6"/>
        <v>0.64150943396226412</v>
      </c>
      <c r="N27" s="16">
        <v>237</v>
      </c>
      <c r="O27" s="34">
        <f t="shared" ref="O27:P27" si="35">D27/7</f>
        <v>4.8571428571428568</v>
      </c>
      <c r="P27" s="34">
        <f t="shared" si="35"/>
        <v>0</v>
      </c>
      <c r="Q27" s="29">
        <f t="shared" si="8"/>
        <v>48</v>
      </c>
      <c r="R27" s="29"/>
      <c r="S27" s="21">
        <v>1.774566473988439</v>
      </c>
      <c r="T27" s="28">
        <v>1150</v>
      </c>
      <c r="U27" s="36">
        <v>25</v>
      </c>
      <c r="V27" s="37" t="s">
        <v>547</v>
      </c>
      <c r="W27" s="14">
        <v>0</v>
      </c>
      <c r="X27" s="38">
        <f t="shared" si="9"/>
        <v>0</v>
      </c>
      <c r="Y27" s="39">
        <f t="shared" si="10"/>
        <v>0</v>
      </c>
      <c r="Z27" s="14">
        <v>0</v>
      </c>
      <c r="AA27" s="28" t="s">
        <v>34</v>
      </c>
      <c r="AB27" s="40">
        <f t="shared" si="11"/>
        <v>-0.69</v>
      </c>
      <c r="AC27" s="41">
        <v>4.2393093749999992E-2</v>
      </c>
      <c r="AD27" s="39">
        <f t="shared" si="12"/>
        <v>-1.9890839587499995</v>
      </c>
      <c r="AE27" s="25">
        <v>-4.25</v>
      </c>
      <c r="AF27" s="25">
        <v>-3.2860800000000001</v>
      </c>
      <c r="AG27" s="25">
        <v>0</v>
      </c>
    </row>
    <row r="28" spans="1:33" ht="15.75" customHeight="1" x14ac:dyDescent="0.2">
      <c r="A28" s="14" t="s">
        <v>71</v>
      </c>
      <c r="B28" s="14" t="s">
        <v>47</v>
      </c>
      <c r="C28" s="15">
        <f t="shared" si="4"/>
        <v>14.99</v>
      </c>
      <c r="D28" s="16">
        <v>30</v>
      </c>
      <c r="E28" s="16">
        <v>0</v>
      </c>
      <c r="F28" s="17">
        <v>449.7</v>
      </c>
      <c r="G28" s="17">
        <v>-0.03</v>
      </c>
      <c r="H28" s="31">
        <f t="shared" si="1"/>
        <v>6.6711140760507002E-5</v>
      </c>
      <c r="I28" s="31">
        <f t="shared" si="2"/>
        <v>0.34329002872748504</v>
      </c>
      <c r="J28" s="32">
        <f t="shared" si="5"/>
        <v>154.37752591875002</v>
      </c>
      <c r="K28" s="32">
        <f t="shared" si="3"/>
        <v>5.1459175306250007</v>
      </c>
      <c r="L28" s="16">
        <v>48</v>
      </c>
      <c r="M28" s="33">
        <f t="shared" si="6"/>
        <v>0.625</v>
      </c>
      <c r="N28" s="16">
        <v>207</v>
      </c>
      <c r="O28" s="34">
        <f t="shared" ref="O28:P28" si="36">D28/7</f>
        <v>4.2857142857142856</v>
      </c>
      <c r="P28" s="34">
        <f t="shared" si="36"/>
        <v>0</v>
      </c>
      <c r="Q28" s="29">
        <f t="shared" si="8"/>
        <v>48</v>
      </c>
      <c r="R28" s="29"/>
      <c r="S28" s="21">
        <v>1.53810082063306</v>
      </c>
      <c r="T28" s="28">
        <v>525</v>
      </c>
      <c r="U28" s="36">
        <v>44384</v>
      </c>
      <c r="V28" s="37" t="s">
        <v>548</v>
      </c>
      <c r="W28" s="14">
        <v>0</v>
      </c>
      <c r="X28" s="38">
        <f t="shared" si="9"/>
        <v>0</v>
      </c>
      <c r="Y28" s="39">
        <f t="shared" si="10"/>
        <v>0</v>
      </c>
      <c r="Z28" s="14">
        <v>0</v>
      </c>
      <c r="AA28" s="28" t="s">
        <v>34</v>
      </c>
      <c r="AB28" s="40">
        <f t="shared" si="11"/>
        <v>-0.69</v>
      </c>
      <c r="AC28" s="41">
        <v>4.2393093749999992E-2</v>
      </c>
      <c r="AD28" s="39">
        <f t="shared" si="12"/>
        <v>-1.7550740812499994</v>
      </c>
      <c r="AE28" s="25">
        <v>-4.25</v>
      </c>
      <c r="AF28" s="25">
        <v>-3.2860800000000001</v>
      </c>
      <c r="AG28" s="25">
        <v>0</v>
      </c>
    </row>
    <row r="29" spans="1:33" ht="15.75" customHeight="1" x14ac:dyDescent="0.2">
      <c r="A29" s="28" t="s">
        <v>72</v>
      </c>
      <c r="B29" s="28" t="s">
        <v>47</v>
      </c>
      <c r="C29" s="15">
        <f t="shared" si="4"/>
        <v>14.99</v>
      </c>
      <c r="D29" s="29">
        <v>24</v>
      </c>
      <c r="E29" s="29">
        <v>2</v>
      </c>
      <c r="F29" s="32">
        <v>359.76</v>
      </c>
      <c r="G29" s="32">
        <v>-0.08</v>
      </c>
      <c r="H29" s="31">
        <f t="shared" si="1"/>
        <v>2.2237046920169003E-4</v>
      </c>
      <c r="I29" s="31">
        <f t="shared" si="2"/>
        <v>0.34313436939904379</v>
      </c>
      <c r="J29" s="32">
        <f t="shared" si="5"/>
        <v>123.44602073499999</v>
      </c>
      <c r="K29" s="32">
        <f t="shared" si="3"/>
        <v>5.1435841972916663</v>
      </c>
      <c r="L29" s="29">
        <v>59</v>
      </c>
      <c r="M29" s="33">
        <f t="shared" si="6"/>
        <v>0.40677966101694918</v>
      </c>
      <c r="N29" s="16">
        <v>177</v>
      </c>
      <c r="O29" s="34">
        <f t="shared" ref="O29:P29" si="37">D29/7</f>
        <v>3.4285714285714284</v>
      </c>
      <c r="P29" s="34">
        <f t="shared" si="37"/>
        <v>0.2857142857142857</v>
      </c>
      <c r="Q29" s="29">
        <f t="shared" si="8"/>
        <v>47</v>
      </c>
      <c r="R29" s="29"/>
      <c r="S29" s="21">
        <v>1.806622516556291</v>
      </c>
      <c r="T29" s="28">
        <v>200</v>
      </c>
      <c r="U29" s="36" t="s">
        <v>33</v>
      </c>
      <c r="V29" s="37" t="s">
        <v>33</v>
      </c>
      <c r="W29" s="14">
        <v>1</v>
      </c>
      <c r="X29" s="38">
        <f t="shared" si="9"/>
        <v>4.1666666666666664E-2</v>
      </c>
      <c r="Y29" s="39">
        <f t="shared" si="10"/>
        <v>0.08</v>
      </c>
      <c r="Z29" s="14">
        <v>0</v>
      </c>
      <c r="AA29" s="28" t="s">
        <v>34</v>
      </c>
      <c r="AB29" s="40">
        <f t="shared" si="11"/>
        <v>-0.69</v>
      </c>
      <c r="AC29" s="41">
        <v>4.2393093749999992E-2</v>
      </c>
      <c r="AD29" s="39">
        <f t="shared" si="12"/>
        <v>-1.4040592649999997</v>
      </c>
      <c r="AE29" s="39">
        <v>-4.25</v>
      </c>
      <c r="AF29" s="25">
        <v>-3.2860800000000001</v>
      </c>
      <c r="AG29" s="39">
        <v>0</v>
      </c>
    </row>
    <row r="30" spans="1:33" ht="15.75" customHeight="1" x14ac:dyDescent="0.2">
      <c r="A30" s="14" t="s">
        <v>74</v>
      </c>
      <c r="B30" s="14" t="s">
        <v>47</v>
      </c>
      <c r="C30" s="15">
        <f t="shared" si="4"/>
        <v>15.09096774193549</v>
      </c>
      <c r="D30" s="16">
        <v>31</v>
      </c>
      <c r="E30" s="16">
        <v>1</v>
      </c>
      <c r="F30" s="17">
        <v>467.82000000000016</v>
      </c>
      <c r="G30" s="17">
        <v>0</v>
      </c>
      <c r="H30" s="31">
        <f t="shared" si="1"/>
        <v>0</v>
      </c>
      <c r="I30" s="31">
        <f t="shared" si="2"/>
        <v>0.351722500669093</v>
      </c>
      <c r="J30" s="32">
        <f t="shared" si="5"/>
        <v>164.54282026301513</v>
      </c>
      <c r="K30" s="32">
        <f t="shared" si="3"/>
        <v>5.3078329117101655</v>
      </c>
      <c r="L30" s="16">
        <v>68</v>
      </c>
      <c r="M30" s="33">
        <f t="shared" si="6"/>
        <v>0.45588235294117646</v>
      </c>
      <c r="N30" s="16">
        <v>146</v>
      </c>
      <c r="O30" s="34">
        <f t="shared" ref="O30:P30" si="38">D30/7</f>
        <v>4.4285714285714288</v>
      </c>
      <c r="P30" s="34">
        <f t="shared" si="38"/>
        <v>0.14285714285714285</v>
      </c>
      <c r="Q30" s="29">
        <f t="shared" si="8"/>
        <v>31</v>
      </c>
      <c r="R30" s="29"/>
      <c r="S30" s="21">
        <v>2.0707964601769908</v>
      </c>
      <c r="T30" s="28">
        <v>1100</v>
      </c>
      <c r="U30" s="36">
        <v>300</v>
      </c>
      <c r="V30" s="37" t="s">
        <v>549</v>
      </c>
      <c r="W30" s="14">
        <v>0</v>
      </c>
      <c r="X30" s="38">
        <f t="shared" si="9"/>
        <v>0</v>
      </c>
      <c r="Y30" s="39">
        <f t="shared" si="10"/>
        <v>0</v>
      </c>
      <c r="Z30" s="14">
        <v>0</v>
      </c>
      <c r="AA30" s="28" t="s">
        <v>34</v>
      </c>
      <c r="AB30" s="40">
        <f t="shared" si="11"/>
        <v>-0.69</v>
      </c>
      <c r="AC30" s="41">
        <v>4.2393093749999992E-2</v>
      </c>
      <c r="AD30" s="39">
        <f t="shared" si="12"/>
        <v>-1.8135765506249995</v>
      </c>
      <c r="AE30" s="25">
        <v>-4.25</v>
      </c>
      <c r="AF30" s="25">
        <v>-3.2109871995599999</v>
      </c>
      <c r="AG30" s="25">
        <v>0</v>
      </c>
    </row>
    <row r="31" spans="1:33" ht="15.75" customHeight="1" x14ac:dyDescent="0.2">
      <c r="A31" s="14" t="s">
        <v>75</v>
      </c>
      <c r="B31" s="14"/>
      <c r="C31" s="15">
        <f t="shared" si="4"/>
        <v>15.011428571428578</v>
      </c>
      <c r="D31" s="16">
        <v>42</v>
      </c>
      <c r="E31" s="16">
        <v>0</v>
      </c>
      <c r="F31" s="17">
        <v>630.48000000000025</v>
      </c>
      <c r="G31" s="42">
        <v>-0.08</v>
      </c>
      <c r="H31" s="31">
        <f t="shared" si="1"/>
        <v>1.2688745083111276E-4</v>
      </c>
      <c r="I31" s="31">
        <f t="shared" si="2"/>
        <v>0.34895545283709251</v>
      </c>
      <c r="J31" s="32">
        <f t="shared" si="5"/>
        <v>220.00943390473017</v>
      </c>
      <c r="K31" s="32">
        <f t="shared" si="3"/>
        <v>5.2383198548745282</v>
      </c>
      <c r="L31" s="16">
        <v>73</v>
      </c>
      <c r="M31" s="33">
        <f t="shared" si="6"/>
        <v>0.57534246575342463</v>
      </c>
      <c r="N31" s="16">
        <v>130</v>
      </c>
      <c r="O31" s="34">
        <f t="shared" ref="O31:P32" si="39">D31/7</f>
        <v>6</v>
      </c>
      <c r="P31" s="34">
        <f t="shared" si="39"/>
        <v>0</v>
      </c>
      <c r="Q31" s="29">
        <f t="shared" si="8"/>
        <v>21</v>
      </c>
      <c r="R31" s="29"/>
      <c r="S31" s="21">
        <v>2.0057636887607999</v>
      </c>
      <c r="T31" s="14">
        <v>600</v>
      </c>
      <c r="U31" s="22">
        <v>325</v>
      </c>
      <c r="V31" s="1" t="s">
        <v>953</v>
      </c>
      <c r="W31" s="14">
        <v>1</v>
      </c>
      <c r="X31" s="38">
        <f t="shared" si="9"/>
        <v>2.3809523809523808E-2</v>
      </c>
      <c r="Y31" s="39">
        <f t="shared" si="10"/>
        <v>0.08</v>
      </c>
      <c r="Z31" s="14">
        <v>0</v>
      </c>
      <c r="AA31" s="14" t="s">
        <v>34</v>
      </c>
      <c r="AB31" s="40">
        <f t="shared" si="11"/>
        <v>-0.69</v>
      </c>
      <c r="AC31" s="27">
        <v>4.2393093749999992E-2</v>
      </c>
      <c r="AD31" s="39">
        <f t="shared" si="12"/>
        <v>-2.4571037137499991</v>
      </c>
      <c r="AE31" s="43">
        <v>-4.25</v>
      </c>
      <c r="AF31" s="43">
        <v>-3.2109871995599999</v>
      </c>
      <c r="AG31" s="25">
        <v>0</v>
      </c>
    </row>
    <row r="32" spans="1:33" s="51" customFormat="1" ht="15.75" customHeight="1" x14ac:dyDescent="0.2">
      <c r="A32" s="51" t="s">
        <v>934</v>
      </c>
      <c r="C32" s="15">
        <f t="shared" si="4"/>
        <v>14.595675675675675</v>
      </c>
      <c r="D32" s="52">
        <v>37</v>
      </c>
      <c r="E32" s="52">
        <v>0</v>
      </c>
      <c r="F32" s="53">
        <v>540.04</v>
      </c>
      <c r="G32" s="53">
        <v>0</v>
      </c>
      <c r="H32" s="31">
        <f t="shared" si="1"/>
        <v>0</v>
      </c>
      <c r="I32" s="31">
        <f t="shared" si="2"/>
        <v>0.33481386980483846</v>
      </c>
      <c r="J32" s="32">
        <f t="shared" si="5"/>
        <v>180.81288224940496</v>
      </c>
      <c r="K32" s="32">
        <f t="shared" si="3"/>
        <v>4.8868346553893236</v>
      </c>
      <c r="L32" s="52">
        <v>56</v>
      </c>
      <c r="M32" s="33">
        <f t="shared" si="6"/>
        <v>0.6607142857142857</v>
      </c>
      <c r="N32" s="52">
        <v>107</v>
      </c>
      <c r="O32" s="34">
        <f t="shared" si="39"/>
        <v>5.2857142857142856</v>
      </c>
      <c r="P32" s="34">
        <f t="shared" si="39"/>
        <v>0</v>
      </c>
      <c r="Q32" s="29">
        <f t="shared" si="8"/>
        <v>20</v>
      </c>
      <c r="R32" s="29" t="str">
        <f ca="1">IFERROR(VLOOKUP($B$2,IMPORTRANGE("https://docs.google.com/spreadsheets/d/1KiWZV1ko8G7lnRucBRBd29jj3Be6ltMfljMDqzOkQmI/edit#gid=1381463014","Lookup!A:F"),6,FALSE),"")</f>
        <v/>
      </c>
      <c r="S32" s="54">
        <v>1.954727030625832</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4.2393093749999992E-2</v>
      </c>
      <c r="AD32" s="39">
        <f t="shared" si="12"/>
        <v>-2.1645913668749994</v>
      </c>
      <c r="AE32" s="58">
        <v>-4.25</v>
      </c>
      <c r="AF32" s="58">
        <v>-3.2109871995599999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22" customWidth="1"/>
    <col min="21" max="21" width="28.83203125" customWidth="1"/>
    <col min="22" max="22" width="63.832031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Info!B1:BJ5000""),3,FALSE),"""")"),"12 Ft Appliance Extension Cord Heavy Duty, Gray - 14 Gauge 3 Prong SPT-3 Air Conditioner Cable")</f>
        <v>12 Ft Appliance Extension Cord Heavy Duty, Gray - 14 Gauge 3 Prong SPT-3 Air Conditioner Cable</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Info!B1:BJ5000""),2,FALSE),"""")"),"B07ZS2X5VB")</f>
        <v>B07ZS2X5VB</v>
      </c>
      <c r="B2" s="3" t="s">
        <v>550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35.25" customHeight="1" x14ac:dyDescent="0.2">
      <c r="A3" s="76" t="s">
        <v>30</v>
      </c>
      <c r="B3" s="77"/>
      <c r="C3" s="47">
        <f>((AE32+AF32)/0.85)*-1</f>
        <v>10.722162011505883</v>
      </c>
      <c r="D3" s="5">
        <f>SUM(D4:D99765)</f>
        <v>639</v>
      </c>
      <c r="E3" s="5"/>
      <c r="F3" s="6">
        <f t="shared" ref="F3:G3" si="0">SUM(F4:F99765)</f>
        <v>11694.45</v>
      </c>
      <c r="G3" s="6">
        <f t="shared" si="0"/>
        <v>-0.35000000000000009</v>
      </c>
      <c r="H3" s="7">
        <f t="shared" ref="H3:H32" si="1">G3/F3*-1</f>
        <v>2.992872687471408E-5</v>
      </c>
      <c r="I3" s="8">
        <f t="shared" ref="I3:I32" si="2">J3/F3</f>
        <v>0.38244657239886837</v>
      </c>
      <c r="J3" s="6">
        <f>SUM(J4:J99765)</f>
        <v>4472.5023185899463</v>
      </c>
      <c r="K3" s="6">
        <f t="shared" ref="K3:K32" si="3">J3/D3</f>
        <v>6.999221155852811</v>
      </c>
      <c r="L3" s="5"/>
      <c r="M3" s="9"/>
      <c r="N3" s="10"/>
      <c r="O3" s="5" t="str">
        <f ca="1">IFERROR(__xludf.DUMMYFUNCTION("IFERROR(VLOOKUP(B2,IMPORTRANGE(""https://docs.google.com/spreadsheets/d/1N8jvpEHDVkurDv7NrPxwI3eH6hQsvtb1QltGNCalRjU/edit#gid=865736387"",""Compiled Sheet!a1:g5000""),2,FALSE),"""")"),"3 - March
3 - April
4 - May
4 - June
6 - July
6 - Aug
6 - Sept
6 - Oct
5 - Nov
5 - Dec
3 - Jan
3 - Feb")</f>
        <v>3 - March
3 - April
4 - May
4 - June
6 - July
6 - Aug
6 - Sept
6 - Oct
5 - Nov
5 - Dec
3 - Jan
3 - Feb</v>
      </c>
      <c r="P3" s="5"/>
      <c r="Q3" s="11"/>
      <c r="R3" s="11"/>
      <c r="S3" s="12"/>
      <c r="T3" s="13" t="str">
        <f ca="1">IFERROR(__xludf.DUMMYFUNCTION("CONCATENATE(""Del QTY"", ""-"",IFERROR(VLOOKUP($B$2,IMPORTRANGE(""https://docs.google.com/spreadsheets/d/1_esbIR7_dYaLQXq3pOe98A6enPdKY7UPO5aCcj2tn1I/edit#gid=973934429"",""Inventory Input!A1:AD5000""),2,FALSE),""""))"),"Del QTY-1")</f>
        <v>Del QTY-1</v>
      </c>
      <c r="U3" s="13" t="str">
        <f ca="1">IFERROR(__xludf.DUMMYFUNCTION("CONCATENATE(""US QTY"", ""-"",iferror(VLOOKUP($B$2,IMPORTRANGE(""https://docs.google.com/spreadsheets/d/11afDUGgwIurytGWIAj1e7JPdtkZEoccxCski0CJdjqQ/edit#gid=1950799886"",""US Storage!a1:AD5000""),2,FALSE),""""))"),"US QTY-0")</f>
        <v>US QTY-0</v>
      </c>
      <c r="V3" s="13" t="str">
        <f ca="1">IFERROR(__xludf.DUMMYFUNCTION("CONCATENATE(""In Transit"", ""-"",IFERROR(VLOOKUP($B$2,IMPORTRANGE(""https://docs.google.com/spreadsheets/d/11afDUGgwIurytGWIAj1e7JPdtkZEoccxCski0CJdjqQ/edit#gid=1950799886"",""US Storage!a1:AD5000""),3,FALSE),""""))"),"In Transit-0")</f>
        <v>In Transit-0</v>
      </c>
      <c r="W3" s="5">
        <f>SUM(W4:W99765)</f>
        <v>0</v>
      </c>
      <c r="X3" s="7">
        <f>W3/D3</f>
        <v>0</v>
      </c>
      <c r="Y3" s="6"/>
      <c r="Z3" s="5"/>
      <c r="AA3" s="5"/>
      <c r="AB3" s="5"/>
      <c r="AC3" s="5"/>
      <c r="AD3" s="6">
        <f>SUM(AD4:AD99765)</f>
        <v>-45.237179288882764</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Info!B2:BZ7000""),37,FALSE)),"""")*-1"),-4.16383770978)</f>
        <v>-4.1638377097800001</v>
      </c>
      <c r="AG3" s="6">
        <f>SUM(AG4:AG99765)</f>
        <v>0</v>
      </c>
    </row>
    <row r="4" spans="1:33" ht="15.75" customHeight="1" x14ac:dyDescent="0.2">
      <c r="A4" s="14" t="s">
        <v>31</v>
      </c>
      <c r="B4" s="14"/>
      <c r="C4" s="15">
        <f t="shared" ref="C4:C32" si="4">IFERROR(F4/D4," - ")</f>
        <v>20.065555555555559</v>
      </c>
      <c r="D4" s="16">
        <v>9</v>
      </c>
      <c r="E4" s="16">
        <v>0</v>
      </c>
      <c r="F4" s="17">
        <v>180.59000000000003</v>
      </c>
      <c r="G4" s="17">
        <v>0</v>
      </c>
      <c r="H4" s="18">
        <f t="shared" si="1"/>
        <v>0</v>
      </c>
      <c r="I4" s="18">
        <f t="shared" si="2"/>
        <v>0.4466679487002006</v>
      </c>
      <c r="J4" s="17">
        <f t="shared" ref="J4:J32" si="5">F4*0.85+G4+AF4*D4+D4*AE4+AG4+AD4</f>
        <v>80.663764855769244</v>
      </c>
      <c r="K4" s="17">
        <f t="shared" si="3"/>
        <v>8.9626405395299162</v>
      </c>
      <c r="L4" s="16">
        <v>9</v>
      </c>
      <c r="M4" s="19">
        <f t="shared" ref="M4:M32" si="6">IFERROR(D4/L4,"-")</f>
        <v>1</v>
      </c>
      <c r="N4" s="16">
        <v>63</v>
      </c>
      <c r="O4" s="20">
        <f t="shared" ref="O4:P4" si="7">D4/7</f>
        <v>1.2857142857142858</v>
      </c>
      <c r="P4" s="20">
        <f t="shared" si="7"/>
        <v>0</v>
      </c>
      <c r="Q4" s="16">
        <f t="shared" ref="Q4:Q32" si="8">ROUNDDOWN(N4/(O4+P4),0)</f>
        <v>49</v>
      </c>
      <c r="R4" s="16"/>
      <c r="S4" s="21">
        <v>2.3375527426160301</v>
      </c>
      <c r="T4" s="14">
        <v>575</v>
      </c>
      <c r="U4" s="22">
        <v>50</v>
      </c>
      <c r="V4" s="23" t="s">
        <v>551</v>
      </c>
      <c r="W4" s="14">
        <v>0</v>
      </c>
      <c r="X4" s="24">
        <f t="shared" ref="X4:X32" si="9">IFERROR(W4/D4,0)</f>
        <v>0</v>
      </c>
      <c r="Y4" s="25">
        <f t="shared" ref="Y4:Y32" si="10">IFERROR(G4/(W4+Z4)*-1,0)</f>
        <v>0</v>
      </c>
      <c r="Z4" s="14">
        <v>0</v>
      </c>
      <c r="AA4" s="2" t="s">
        <v>34</v>
      </c>
      <c r="AB4" s="26">
        <f t="shared" ref="AB4:AB32" si="11">IF(OR(AA4="UsLargeStandardSize",AA4="UsSmallStandardSize"),-0.69,-0.48)</f>
        <v>-0.69</v>
      </c>
      <c r="AC4" s="27">
        <v>2.4871527777777777E-2</v>
      </c>
      <c r="AD4" s="25">
        <f t="shared" ref="AD4:AD32" si="12">IFERROR(AB4*AC4*D4*2,0)</f>
        <v>-0.30890437499999995</v>
      </c>
      <c r="AE4" s="25">
        <v>-4.9000000000000004</v>
      </c>
      <c r="AF4" s="25">
        <v>-3.1587589743589741</v>
      </c>
      <c r="AG4" s="25">
        <v>0</v>
      </c>
    </row>
    <row r="5" spans="1:33" ht="15.75" customHeight="1" x14ac:dyDescent="0.2">
      <c r="A5" s="28" t="s">
        <v>35</v>
      </c>
      <c r="B5" s="28" t="s">
        <v>194</v>
      </c>
      <c r="C5" s="15">
        <f t="shared" si="4"/>
        <v>17.583684210526318</v>
      </c>
      <c r="D5" s="29">
        <v>19</v>
      </c>
      <c r="E5" s="29">
        <v>0</v>
      </c>
      <c r="F5" s="30">
        <v>334.09000000000003</v>
      </c>
      <c r="G5" s="30">
        <v>0</v>
      </c>
      <c r="H5" s="31">
        <f t="shared" si="1"/>
        <v>0</v>
      </c>
      <c r="I5" s="31">
        <f t="shared" si="2"/>
        <v>0.3897368744124739</v>
      </c>
      <c r="J5" s="32">
        <f t="shared" si="5"/>
        <v>130.20719237246342</v>
      </c>
      <c r="K5" s="32">
        <f t="shared" si="3"/>
        <v>6.8530101248664961</v>
      </c>
      <c r="L5" s="29">
        <v>27</v>
      </c>
      <c r="M5" s="33">
        <f t="shared" si="6"/>
        <v>0.70370370370370372</v>
      </c>
      <c r="N5" s="29">
        <v>78</v>
      </c>
      <c r="O5" s="34">
        <f t="shared" ref="O5:P5" si="13">D5/7</f>
        <v>2.7142857142857144</v>
      </c>
      <c r="P5" s="34">
        <f t="shared" si="13"/>
        <v>0</v>
      </c>
      <c r="Q5" s="29">
        <f t="shared" si="8"/>
        <v>28</v>
      </c>
      <c r="R5" s="29"/>
      <c r="S5" s="35">
        <v>2.5371428571428498</v>
      </c>
      <c r="T5" s="28">
        <v>575</v>
      </c>
      <c r="U5" s="36">
        <v>50</v>
      </c>
      <c r="V5" s="37" t="s">
        <v>552</v>
      </c>
      <c r="W5" s="28">
        <v>0</v>
      </c>
      <c r="X5" s="38">
        <f t="shared" si="9"/>
        <v>0</v>
      </c>
      <c r="Y5" s="39">
        <f t="shared" si="10"/>
        <v>0</v>
      </c>
      <c r="Z5" s="28">
        <v>0</v>
      </c>
      <c r="AA5" s="28" t="s">
        <v>34</v>
      </c>
      <c r="AB5" s="40">
        <f t="shared" si="11"/>
        <v>-0.69</v>
      </c>
      <c r="AC5" s="41">
        <v>2.4900347624565469E-2</v>
      </c>
      <c r="AD5" s="39">
        <f t="shared" si="12"/>
        <v>-0.65288711471610661</v>
      </c>
      <c r="AE5" s="39">
        <v>-4.9000000000000004</v>
      </c>
      <c r="AF5" s="39">
        <v>-3.1587589743589741</v>
      </c>
      <c r="AG5" s="39">
        <v>0</v>
      </c>
    </row>
    <row r="6" spans="1:33" ht="15.75" customHeight="1" x14ac:dyDescent="0.2">
      <c r="A6" s="28" t="s">
        <v>37</v>
      </c>
      <c r="B6" s="28" t="s">
        <v>553</v>
      </c>
      <c r="C6" s="15">
        <f t="shared" si="4"/>
        <v>17.071000000000002</v>
      </c>
      <c r="D6" s="29">
        <v>20</v>
      </c>
      <c r="E6" s="29">
        <v>1</v>
      </c>
      <c r="F6" s="30">
        <v>341.42</v>
      </c>
      <c r="G6" s="30">
        <v>-0.08</v>
      </c>
      <c r="H6" s="31">
        <f t="shared" si="1"/>
        <v>2.3431550582859821E-4</v>
      </c>
      <c r="I6" s="31">
        <f t="shared" si="2"/>
        <v>0.37568205244611869</v>
      </c>
      <c r="J6" s="32">
        <f t="shared" si="5"/>
        <v>128.26536634615385</v>
      </c>
      <c r="K6" s="32">
        <f t="shared" si="3"/>
        <v>6.4132683173076925</v>
      </c>
      <c r="L6" s="29">
        <v>34</v>
      </c>
      <c r="M6" s="33">
        <f t="shared" si="6"/>
        <v>0.58823529411764708</v>
      </c>
      <c r="N6" s="29">
        <v>56</v>
      </c>
      <c r="O6" s="34">
        <f t="shared" ref="O6:P6" si="14">D6/7</f>
        <v>2.8571428571428572</v>
      </c>
      <c r="P6" s="34">
        <f t="shared" si="14"/>
        <v>0.14285714285714285</v>
      </c>
      <c r="Q6" s="29">
        <f t="shared" si="8"/>
        <v>18</v>
      </c>
      <c r="R6" s="29"/>
      <c r="S6" s="35">
        <v>3.0040160642570202</v>
      </c>
      <c r="T6" s="28">
        <v>625</v>
      </c>
      <c r="U6" s="36">
        <v>225</v>
      </c>
      <c r="V6" s="37" t="s">
        <v>554</v>
      </c>
      <c r="W6" s="28">
        <v>0</v>
      </c>
      <c r="X6" s="38">
        <f t="shared" si="9"/>
        <v>0</v>
      </c>
      <c r="Y6" s="39">
        <f t="shared" si="10"/>
        <v>0</v>
      </c>
      <c r="Z6" s="28">
        <v>0</v>
      </c>
      <c r="AA6" s="28" t="s">
        <v>34</v>
      </c>
      <c r="AB6" s="40">
        <f t="shared" si="11"/>
        <v>-0.69</v>
      </c>
      <c r="AC6" s="41">
        <v>2.4871527777777777E-2</v>
      </c>
      <c r="AD6" s="39">
        <f t="shared" si="12"/>
        <v>-0.68645416666666659</v>
      </c>
      <c r="AE6" s="39">
        <v>-4.9000000000000004</v>
      </c>
      <c r="AF6" s="39">
        <v>-3.1587589743589741</v>
      </c>
      <c r="AG6" s="39">
        <v>0</v>
      </c>
    </row>
    <row r="7" spans="1:33" ht="15.75" customHeight="1" x14ac:dyDescent="0.2">
      <c r="A7" s="28" t="s">
        <v>40</v>
      </c>
      <c r="B7" s="28" t="s">
        <v>555</v>
      </c>
      <c r="C7" s="15">
        <f t="shared" si="4"/>
        <v>15.749999999999998</v>
      </c>
      <c r="D7" s="29">
        <v>15</v>
      </c>
      <c r="E7" s="29">
        <v>0</v>
      </c>
      <c r="F7" s="30">
        <v>236.24999999999997</v>
      </c>
      <c r="G7" s="30">
        <v>0</v>
      </c>
      <c r="H7" s="31">
        <f t="shared" si="1"/>
        <v>0</v>
      </c>
      <c r="I7" s="31">
        <f t="shared" si="2"/>
        <v>0.33615354395604391</v>
      </c>
      <c r="J7" s="32">
        <f t="shared" si="5"/>
        <v>79.416274759615362</v>
      </c>
      <c r="K7" s="32">
        <f t="shared" si="3"/>
        <v>5.2944183173076906</v>
      </c>
      <c r="L7" s="29">
        <v>40</v>
      </c>
      <c r="M7" s="33">
        <f t="shared" si="6"/>
        <v>0.375</v>
      </c>
      <c r="N7" s="29">
        <v>110</v>
      </c>
      <c r="O7" s="34">
        <f t="shared" ref="O7:P7" si="15">D7/7</f>
        <v>2.1428571428571428</v>
      </c>
      <c r="P7" s="34">
        <f t="shared" si="15"/>
        <v>0</v>
      </c>
      <c r="Q7" s="29">
        <f t="shared" si="8"/>
        <v>51</v>
      </c>
      <c r="R7" s="29"/>
      <c r="S7" s="35">
        <v>1.86510263929618</v>
      </c>
      <c r="T7" s="28">
        <v>400</v>
      </c>
      <c r="U7" s="36">
        <v>225</v>
      </c>
      <c r="V7" s="37" t="s">
        <v>554</v>
      </c>
      <c r="W7" s="28">
        <v>0</v>
      </c>
      <c r="X7" s="38">
        <f t="shared" si="9"/>
        <v>0</v>
      </c>
      <c r="Y7" s="39">
        <f t="shared" si="10"/>
        <v>0</v>
      </c>
      <c r="Z7" s="28">
        <v>0</v>
      </c>
      <c r="AA7" s="28" t="s">
        <v>34</v>
      </c>
      <c r="AB7" s="40">
        <f t="shared" si="11"/>
        <v>-0.69</v>
      </c>
      <c r="AC7" s="41">
        <v>2.4871527777777777E-2</v>
      </c>
      <c r="AD7" s="39">
        <f t="shared" si="12"/>
        <v>-0.51484062499999994</v>
      </c>
      <c r="AE7" s="39">
        <v>-4.9000000000000004</v>
      </c>
      <c r="AF7" s="39">
        <v>-3.1587589743589741</v>
      </c>
      <c r="AG7" s="39">
        <v>0</v>
      </c>
    </row>
    <row r="8" spans="1:33" ht="15.75" customHeight="1" x14ac:dyDescent="0.2">
      <c r="A8" s="28" t="s">
        <v>42</v>
      </c>
      <c r="B8" s="28" t="s">
        <v>194</v>
      </c>
      <c r="C8" s="15">
        <f t="shared" si="4"/>
        <v>15.720857142857151</v>
      </c>
      <c r="D8" s="29">
        <v>35</v>
      </c>
      <c r="E8" s="29">
        <v>0</v>
      </c>
      <c r="F8" s="30">
        <v>550.23000000000025</v>
      </c>
      <c r="G8" s="30">
        <v>0</v>
      </c>
      <c r="H8" s="31">
        <f t="shared" si="1"/>
        <v>0</v>
      </c>
      <c r="I8" s="31">
        <f t="shared" si="2"/>
        <v>0.33512204933997314</v>
      </c>
      <c r="J8" s="32">
        <f t="shared" si="5"/>
        <v>184.39420520833352</v>
      </c>
      <c r="K8" s="32">
        <f t="shared" si="3"/>
        <v>5.2684058630952437</v>
      </c>
      <c r="L8" s="29">
        <v>48</v>
      </c>
      <c r="M8" s="33">
        <f t="shared" si="6"/>
        <v>0.72916666666666663</v>
      </c>
      <c r="N8" s="29">
        <v>53</v>
      </c>
      <c r="O8" s="34">
        <f t="shared" ref="O8:P8" si="16">D8/7</f>
        <v>5</v>
      </c>
      <c r="P8" s="34">
        <f t="shared" si="16"/>
        <v>0</v>
      </c>
      <c r="Q8" s="29">
        <f t="shared" si="8"/>
        <v>10</v>
      </c>
      <c r="R8" s="29"/>
      <c r="S8" s="35">
        <v>2.7441860465116199</v>
      </c>
      <c r="T8" s="28">
        <v>400</v>
      </c>
      <c r="U8" s="36">
        <v>225</v>
      </c>
      <c r="V8" s="37" t="s">
        <v>556</v>
      </c>
      <c r="W8" s="28">
        <v>0</v>
      </c>
      <c r="X8" s="38">
        <f t="shared" si="9"/>
        <v>0</v>
      </c>
      <c r="Y8" s="39">
        <f t="shared" si="10"/>
        <v>0</v>
      </c>
      <c r="Z8" s="28">
        <v>0</v>
      </c>
      <c r="AA8" s="28" t="s">
        <v>34</v>
      </c>
      <c r="AB8" s="40">
        <f t="shared" si="11"/>
        <v>-0.69</v>
      </c>
      <c r="AC8" s="41">
        <v>2.4871527777777777E-2</v>
      </c>
      <c r="AD8" s="39">
        <f t="shared" si="12"/>
        <v>-1.2012947916666665</v>
      </c>
      <c r="AE8" s="39">
        <v>-4.9000000000000004</v>
      </c>
      <c r="AF8" s="39">
        <v>-3.16</v>
      </c>
      <c r="AG8" s="39">
        <v>0</v>
      </c>
    </row>
    <row r="9" spans="1:33" ht="15.75" customHeight="1" x14ac:dyDescent="0.2">
      <c r="A9" s="28" t="s">
        <v>44</v>
      </c>
      <c r="B9" s="28" t="s">
        <v>557</v>
      </c>
      <c r="C9" s="15">
        <f t="shared" si="4"/>
        <v>17.117058823529408</v>
      </c>
      <c r="D9" s="29">
        <v>17</v>
      </c>
      <c r="E9" s="29">
        <v>0</v>
      </c>
      <c r="F9" s="30">
        <v>290.98999999999995</v>
      </c>
      <c r="G9" s="30">
        <v>0</v>
      </c>
      <c r="H9" s="31">
        <f t="shared" si="1"/>
        <v>0</v>
      </c>
      <c r="I9" s="31">
        <f t="shared" si="2"/>
        <v>0.37382218125171296</v>
      </c>
      <c r="J9" s="32">
        <f t="shared" si="5"/>
        <v>108.77851652243594</v>
      </c>
      <c r="K9" s="32">
        <f t="shared" si="3"/>
        <v>6.3987362660256437</v>
      </c>
      <c r="L9" s="29">
        <v>29</v>
      </c>
      <c r="M9" s="33">
        <f t="shared" si="6"/>
        <v>0.58620689655172409</v>
      </c>
      <c r="N9" s="29">
        <v>33</v>
      </c>
      <c r="O9" s="34">
        <f t="shared" ref="O9:P9" si="17">D9/7</f>
        <v>2.4285714285714284</v>
      </c>
      <c r="P9" s="34">
        <f t="shared" si="17"/>
        <v>0</v>
      </c>
      <c r="Q9" s="29">
        <f t="shared" si="8"/>
        <v>13</v>
      </c>
      <c r="R9" s="29"/>
      <c r="S9" s="35">
        <v>4.1463414634146298</v>
      </c>
      <c r="T9" s="28">
        <v>400</v>
      </c>
      <c r="U9" s="36">
        <v>225</v>
      </c>
      <c r="V9" s="37" t="s">
        <v>558</v>
      </c>
      <c r="W9" s="28">
        <v>0</v>
      </c>
      <c r="X9" s="38">
        <f t="shared" si="9"/>
        <v>0</v>
      </c>
      <c r="Y9" s="39">
        <f t="shared" si="10"/>
        <v>0</v>
      </c>
      <c r="Z9" s="28">
        <v>0</v>
      </c>
      <c r="AA9" s="28" t="s">
        <v>34</v>
      </c>
      <c r="AB9" s="40">
        <f t="shared" si="11"/>
        <v>-0.69</v>
      </c>
      <c r="AC9" s="41">
        <v>2.4871527777777777E-2</v>
      </c>
      <c r="AD9" s="39">
        <f t="shared" si="12"/>
        <v>-0.58348604166666651</v>
      </c>
      <c r="AE9" s="39">
        <v>-4.9000000000000004</v>
      </c>
      <c r="AF9" s="39">
        <v>-3.2164410256410201</v>
      </c>
      <c r="AG9" s="39">
        <v>0</v>
      </c>
    </row>
    <row r="10" spans="1:33" ht="15.75" customHeight="1" x14ac:dyDescent="0.2">
      <c r="A10" s="28" t="s">
        <v>46</v>
      </c>
      <c r="B10" s="28" t="s">
        <v>559</v>
      </c>
      <c r="C10" s="15">
        <f t="shared" si="4"/>
        <v>17.441666666666663</v>
      </c>
      <c r="D10" s="29">
        <v>30</v>
      </c>
      <c r="E10" s="29">
        <v>0</v>
      </c>
      <c r="F10" s="30">
        <v>523.24999999999989</v>
      </c>
      <c r="G10" s="30">
        <v>-0.15000000000000002</v>
      </c>
      <c r="H10" s="31">
        <f t="shared" si="1"/>
        <v>2.8666985188724329E-4</v>
      </c>
      <c r="I10" s="31">
        <f t="shared" si="2"/>
        <v>0.38239768367084442</v>
      </c>
      <c r="J10" s="32">
        <f t="shared" si="5"/>
        <v>200.08958798076929</v>
      </c>
      <c r="K10" s="32">
        <f t="shared" si="3"/>
        <v>6.6696529326923102</v>
      </c>
      <c r="L10" s="29">
        <v>42</v>
      </c>
      <c r="M10" s="33">
        <f t="shared" si="6"/>
        <v>0.7142857142857143</v>
      </c>
      <c r="N10" s="29">
        <v>12</v>
      </c>
      <c r="O10" s="34">
        <f t="shared" ref="O10:P10" si="18">D10/7</f>
        <v>4.2857142857142856</v>
      </c>
      <c r="P10" s="34">
        <f t="shared" si="18"/>
        <v>0</v>
      </c>
      <c r="Q10" s="29">
        <f t="shared" si="8"/>
        <v>2</v>
      </c>
      <c r="R10" s="29"/>
      <c r="S10" s="35">
        <v>5.28125</v>
      </c>
      <c r="T10" s="28">
        <v>400</v>
      </c>
      <c r="U10" s="36">
        <v>225</v>
      </c>
      <c r="V10" s="37" t="s">
        <v>558</v>
      </c>
      <c r="W10" s="28">
        <v>0</v>
      </c>
      <c r="X10" s="38">
        <f t="shared" si="9"/>
        <v>0</v>
      </c>
      <c r="Y10" s="39">
        <f t="shared" si="10"/>
        <v>0</v>
      </c>
      <c r="Z10" s="28">
        <v>0</v>
      </c>
      <c r="AA10" s="28" t="s">
        <v>34</v>
      </c>
      <c r="AB10" s="40">
        <f t="shared" si="11"/>
        <v>-0.69</v>
      </c>
      <c r="AC10" s="41">
        <v>2.4871527777777777E-2</v>
      </c>
      <c r="AD10" s="39">
        <f t="shared" si="12"/>
        <v>-1.0296812499999999</v>
      </c>
      <c r="AE10" s="39">
        <v>-4.9000000000000004</v>
      </c>
      <c r="AF10" s="39">
        <v>-3.2164410256410201</v>
      </c>
      <c r="AG10" s="39">
        <v>0</v>
      </c>
    </row>
    <row r="11" spans="1:33" ht="15.75" customHeight="1" x14ac:dyDescent="0.2">
      <c r="A11" s="28" t="s">
        <v>48</v>
      </c>
      <c r="B11" s="28" t="s">
        <v>47</v>
      </c>
      <c r="C11" s="15">
        <f t="shared" si="4"/>
        <v>17.95</v>
      </c>
      <c r="D11" s="29">
        <v>8</v>
      </c>
      <c r="E11" s="29">
        <v>0</v>
      </c>
      <c r="F11" s="30">
        <v>143.6</v>
      </c>
      <c r="G11" s="30">
        <v>0</v>
      </c>
      <c r="H11" s="31">
        <f t="shared" si="1"/>
        <v>0</v>
      </c>
      <c r="I11" s="31">
        <f t="shared" si="2"/>
        <v>0.39591845493179079</v>
      </c>
      <c r="J11" s="32">
        <f t="shared" si="5"/>
        <v>56.853890128205158</v>
      </c>
      <c r="K11" s="32">
        <f t="shared" si="3"/>
        <v>7.1067362660256448</v>
      </c>
      <c r="L11" s="29">
        <v>34</v>
      </c>
      <c r="M11" s="33">
        <f t="shared" si="6"/>
        <v>0.23529411764705882</v>
      </c>
      <c r="N11" s="29">
        <v>54</v>
      </c>
      <c r="O11" s="34">
        <f t="shared" ref="O11:P11" si="19">D11/7</f>
        <v>1.1428571428571428</v>
      </c>
      <c r="P11" s="34">
        <f t="shared" si="19"/>
        <v>0</v>
      </c>
      <c r="Q11" s="29">
        <f t="shared" si="8"/>
        <v>47</v>
      </c>
      <c r="R11" s="29"/>
      <c r="S11" s="35">
        <v>2.88</v>
      </c>
      <c r="T11" s="28">
        <v>1062</v>
      </c>
      <c r="U11" s="36">
        <v>225</v>
      </c>
      <c r="V11" s="37" t="s">
        <v>560</v>
      </c>
      <c r="W11" s="28">
        <v>0</v>
      </c>
      <c r="X11" s="38">
        <f t="shared" si="9"/>
        <v>0</v>
      </c>
      <c r="Y11" s="39">
        <f t="shared" si="10"/>
        <v>0</v>
      </c>
      <c r="Z11" s="28">
        <v>0</v>
      </c>
      <c r="AA11" s="28" t="s">
        <v>34</v>
      </c>
      <c r="AB11" s="40">
        <f t="shared" si="11"/>
        <v>-0.69</v>
      </c>
      <c r="AC11" s="41">
        <v>2.4871527777777777E-2</v>
      </c>
      <c r="AD11" s="39">
        <f t="shared" si="12"/>
        <v>-0.27458166666666661</v>
      </c>
      <c r="AE11" s="39">
        <v>-4.9000000000000004</v>
      </c>
      <c r="AF11" s="39">
        <v>-3.2164410256410201</v>
      </c>
      <c r="AG11" s="39">
        <v>0</v>
      </c>
    </row>
    <row r="12" spans="1:33" ht="15.75" customHeight="1" x14ac:dyDescent="0.2">
      <c r="A12" s="28" t="s">
        <v>49</v>
      </c>
      <c r="B12" s="28" t="s">
        <v>561</v>
      </c>
      <c r="C12" s="15">
        <f t="shared" si="4"/>
        <v>18.179999999999996</v>
      </c>
      <c r="D12" s="29">
        <v>19</v>
      </c>
      <c r="E12" s="29">
        <v>0</v>
      </c>
      <c r="F12" s="30">
        <v>345.41999999999996</v>
      </c>
      <c r="G12" s="30">
        <v>-0.02</v>
      </c>
      <c r="H12" s="31">
        <f t="shared" si="1"/>
        <v>5.7900526894794753E-5</v>
      </c>
      <c r="I12" s="31">
        <f t="shared" si="2"/>
        <v>0.4016052604206104</v>
      </c>
      <c r="J12" s="32">
        <f t="shared" si="5"/>
        <v>138.72248905448723</v>
      </c>
      <c r="K12" s="32">
        <f t="shared" si="3"/>
        <v>7.301183634446696</v>
      </c>
      <c r="L12" s="29">
        <v>30</v>
      </c>
      <c r="M12" s="33">
        <f t="shared" si="6"/>
        <v>0.6333333333333333</v>
      </c>
      <c r="N12" s="29">
        <v>83</v>
      </c>
      <c r="O12" s="34">
        <f t="shared" ref="O12:P12" si="20">D12/7</f>
        <v>2.7142857142857144</v>
      </c>
      <c r="P12" s="34">
        <f t="shared" si="20"/>
        <v>0</v>
      </c>
      <c r="Q12" s="29">
        <f t="shared" si="8"/>
        <v>30</v>
      </c>
      <c r="R12" s="29"/>
      <c r="S12" s="35">
        <v>2.63117870722433</v>
      </c>
      <c r="T12" s="28">
        <v>975</v>
      </c>
      <c r="U12" s="36">
        <v>225</v>
      </c>
      <c r="V12" s="37" t="s">
        <v>562</v>
      </c>
      <c r="W12" s="28">
        <v>0</v>
      </c>
      <c r="X12" s="38">
        <f t="shared" si="9"/>
        <v>0</v>
      </c>
      <c r="Y12" s="39">
        <f t="shared" si="10"/>
        <v>0</v>
      </c>
      <c r="Z12" s="28">
        <v>0</v>
      </c>
      <c r="AA12" s="28" t="s">
        <v>34</v>
      </c>
      <c r="AB12" s="40">
        <f t="shared" si="11"/>
        <v>-0.69</v>
      </c>
      <c r="AC12" s="41">
        <v>2.4871527777777777E-2</v>
      </c>
      <c r="AD12" s="39">
        <f t="shared" si="12"/>
        <v>-0.65213145833333319</v>
      </c>
      <c r="AE12" s="39">
        <v>-4.9000000000000004</v>
      </c>
      <c r="AF12" s="39">
        <v>-3.2164410256410201</v>
      </c>
      <c r="AG12" s="39">
        <v>0</v>
      </c>
    </row>
    <row r="13" spans="1:33" ht="15.75" customHeight="1" x14ac:dyDescent="0.2">
      <c r="A13" s="28" t="s">
        <v>50</v>
      </c>
      <c r="B13" s="28" t="s">
        <v>47</v>
      </c>
      <c r="C13" s="15">
        <f t="shared" si="4"/>
        <v>17.806250000000002</v>
      </c>
      <c r="D13" s="29">
        <v>24</v>
      </c>
      <c r="E13" s="29">
        <v>0</v>
      </c>
      <c r="F13" s="32">
        <v>427.35000000000008</v>
      </c>
      <c r="G13" s="30">
        <v>0</v>
      </c>
      <c r="H13" s="31">
        <f t="shared" si="1"/>
        <v>0</v>
      </c>
      <c r="I13" s="31">
        <f t="shared" si="2"/>
        <v>0.39054768924768923</v>
      </c>
      <c r="J13" s="32">
        <f t="shared" si="5"/>
        <v>166.90055500000003</v>
      </c>
      <c r="K13" s="32">
        <f t="shared" si="3"/>
        <v>6.9541897916666677</v>
      </c>
      <c r="L13" s="29">
        <v>33</v>
      </c>
      <c r="M13" s="33">
        <f t="shared" si="6"/>
        <v>0.72727272727272729</v>
      </c>
      <c r="N13" s="29">
        <v>58</v>
      </c>
      <c r="O13" s="34">
        <f t="shared" ref="O13:P13" si="21">D13/7</f>
        <v>3.4285714285714284</v>
      </c>
      <c r="P13" s="34">
        <f t="shared" si="21"/>
        <v>0</v>
      </c>
      <c r="Q13" s="29">
        <f t="shared" si="8"/>
        <v>16</v>
      </c>
      <c r="R13" s="29"/>
      <c r="S13" s="35">
        <v>3.07438016528925</v>
      </c>
      <c r="T13" s="28">
        <v>575</v>
      </c>
      <c r="U13" s="36">
        <v>175</v>
      </c>
      <c r="V13" s="37" t="s">
        <v>563</v>
      </c>
      <c r="W13" s="28">
        <v>0</v>
      </c>
      <c r="X13" s="38">
        <f t="shared" si="9"/>
        <v>0</v>
      </c>
      <c r="Y13" s="39">
        <f t="shared" si="10"/>
        <v>0</v>
      </c>
      <c r="Z13" s="28">
        <v>0</v>
      </c>
      <c r="AA13" s="28" t="s">
        <v>34</v>
      </c>
      <c r="AB13" s="40">
        <f t="shared" si="11"/>
        <v>-0.69</v>
      </c>
      <c r="AC13" s="41">
        <v>2.4871527777777777E-2</v>
      </c>
      <c r="AD13" s="39">
        <f t="shared" si="12"/>
        <v>-0.82374499999999984</v>
      </c>
      <c r="AE13" s="39">
        <v>-4.9000000000000004</v>
      </c>
      <c r="AF13" s="39">
        <v>-3.2467999999999999</v>
      </c>
      <c r="AG13" s="39">
        <v>0</v>
      </c>
    </row>
    <row r="14" spans="1:33" ht="15.75" customHeight="1" x14ac:dyDescent="0.2">
      <c r="A14" s="28" t="s">
        <v>51</v>
      </c>
      <c r="B14" s="28" t="s">
        <v>564</v>
      </c>
      <c r="C14" s="15">
        <f t="shared" si="4"/>
        <v>16.69869565217391</v>
      </c>
      <c r="D14" s="29">
        <v>23</v>
      </c>
      <c r="E14" s="29">
        <v>0</v>
      </c>
      <c r="F14" s="32">
        <v>384.06999999999994</v>
      </c>
      <c r="G14" s="30">
        <v>0</v>
      </c>
      <c r="H14" s="31">
        <f t="shared" si="1"/>
        <v>0</v>
      </c>
      <c r="I14" s="31">
        <f t="shared" si="2"/>
        <v>0.35399122911405029</v>
      </c>
      <c r="J14" s="32">
        <f t="shared" si="5"/>
        <v>135.95741136583328</v>
      </c>
      <c r="K14" s="32">
        <f t="shared" si="3"/>
        <v>5.9111917985144906</v>
      </c>
      <c r="L14" s="29">
        <v>51</v>
      </c>
      <c r="M14" s="33">
        <f t="shared" si="6"/>
        <v>0.45098039215686275</v>
      </c>
      <c r="N14" s="29">
        <v>37</v>
      </c>
      <c r="O14" s="34">
        <f t="shared" ref="O14:P14" si="22">D14/7</f>
        <v>3.2857142857142856</v>
      </c>
      <c r="P14" s="34">
        <f t="shared" si="22"/>
        <v>0</v>
      </c>
      <c r="Q14" s="29">
        <f t="shared" si="8"/>
        <v>11</v>
      </c>
      <c r="R14" s="29"/>
      <c r="S14" s="35">
        <v>5.8082191780821901</v>
      </c>
      <c r="T14" s="28">
        <v>575</v>
      </c>
      <c r="U14" s="36">
        <v>175</v>
      </c>
      <c r="V14" s="37" t="s">
        <v>563</v>
      </c>
      <c r="W14" s="28">
        <v>0</v>
      </c>
      <c r="X14" s="38">
        <f t="shared" si="9"/>
        <v>0</v>
      </c>
      <c r="Y14" s="39">
        <f t="shared" si="10"/>
        <v>0</v>
      </c>
      <c r="Z14" s="28">
        <v>0</v>
      </c>
      <c r="AA14" s="28" t="s">
        <v>34</v>
      </c>
      <c r="AB14" s="40">
        <f t="shared" si="11"/>
        <v>-0.69</v>
      </c>
      <c r="AC14" s="41">
        <v>9.8477902777777765E-2</v>
      </c>
      <c r="AD14" s="39">
        <f t="shared" si="12"/>
        <v>-3.1256886341666656</v>
      </c>
      <c r="AE14" s="39">
        <v>-4.9000000000000004</v>
      </c>
      <c r="AF14" s="39">
        <v>-3.2467999999999999</v>
      </c>
      <c r="AG14" s="39">
        <v>0</v>
      </c>
    </row>
    <row r="15" spans="1:33" ht="15.75" customHeight="1" x14ac:dyDescent="0.2">
      <c r="A15" s="28" t="s">
        <v>53</v>
      </c>
      <c r="B15" s="28" t="s">
        <v>565</v>
      </c>
      <c r="C15" s="15">
        <f t="shared" si="4"/>
        <v>18.309047619047618</v>
      </c>
      <c r="D15" s="29">
        <v>21</v>
      </c>
      <c r="E15" s="29">
        <v>0</v>
      </c>
      <c r="F15" s="32">
        <v>384.49</v>
      </c>
      <c r="G15" s="30">
        <v>0</v>
      </c>
      <c r="H15" s="31">
        <f t="shared" si="1"/>
        <v>0</v>
      </c>
      <c r="I15" s="31">
        <f t="shared" si="2"/>
        <v>0.38177796659861113</v>
      </c>
      <c r="J15" s="32">
        <f t="shared" si="5"/>
        <v>146.7898103775</v>
      </c>
      <c r="K15" s="32">
        <f t="shared" si="3"/>
        <v>6.9899909703571428</v>
      </c>
      <c r="L15" s="29">
        <v>45</v>
      </c>
      <c r="M15" s="33">
        <f t="shared" si="6"/>
        <v>0.46666666666666667</v>
      </c>
      <c r="N15" s="29">
        <v>218</v>
      </c>
      <c r="O15" s="34">
        <f t="shared" ref="O15:P15" si="23">D15/7</f>
        <v>3</v>
      </c>
      <c r="P15" s="34">
        <f t="shared" si="23"/>
        <v>0</v>
      </c>
      <c r="Q15" s="29">
        <f t="shared" si="8"/>
        <v>72</v>
      </c>
      <c r="R15" s="29"/>
      <c r="S15" s="35">
        <v>2.4352331606217601</v>
      </c>
      <c r="T15" s="28">
        <v>575</v>
      </c>
      <c r="U15" s="36">
        <v>175</v>
      </c>
      <c r="V15" s="37" t="s">
        <v>566</v>
      </c>
      <c r="W15" s="28">
        <v>0</v>
      </c>
      <c r="X15" s="38">
        <f t="shared" si="9"/>
        <v>0</v>
      </c>
      <c r="Y15" s="39">
        <f t="shared" si="10"/>
        <v>0</v>
      </c>
      <c r="Z15" s="28">
        <v>0</v>
      </c>
      <c r="AA15" s="28" t="s">
        <v>34</v>
      </c>
      <c r="AB15" s="40">
        <f t="shared" si="11"/>
        <v>-0.69</v>
      </c>
      <c r="AC15" s="41">
        <v>9.8477902777777765E-2</v>
      </c>
      <c r="AD15" s="39">
        <f t="shared" si="12"/>
        <v>-2.8538896224999992</v>
      </c>
      <c r="AE15" s="39">
        <v>-4.9000000000000004</v>
      </c>
      <c r="AF15" s="39">
        <v>-3.5367999999999999</v>
      </c>
      <c r="AG15" s="39">
        <v>0</v>
      </c>
    </row>
    <row r="16" spans="1:33" ht="15.75" customHeight="1" x14ac:dyDescent="0.2">
      <c r="A16" s="28" t="s">
        <v>54</v>
      </c>
      <c r="B16" s="28" t="s">
        <v>47</v>
      </c>
      <c r="C16" s="15">
        <f t="shared" si="4"/>
        <v>18.785555555555561</v>
      </c>
      <c r="D16" s="29">
        <v>36</v>
      </c>
      <c r="E16" s="29">
        <v>0</v>
      </c>
      <c r="F16" s="32">
        <v>676.2800000000002</v>
      </c>
      <c r="G16" s="30">
        <v>0</v>
      </c>
      <c r="H16" s="31">
        <f t="shared" si="1"/>
        <v>0</v>
      </c>
      <c r="I16" s="31">
        <f t="shared" si="2"/>
        <v>0.39365472554267489</v>
      </c>
      <c r="J16" s="32">
        <f t="shared" si="5"/>
        <v>266.22081779000024</v>
      </c>
      <c r="K16" s="32">
        <f t="shared" si="3"/>
        <v>7.3950227163888957</v>
      </c>
      <c r="L16" s="29">
        <v>52</v>
      </c>
      <c r="M16" s="33">
        <f t="shared" si="6"/>
        <v>0.69230769230769229</v>
      </c>
      <c r="N16" s="29">
        <v>183</v>
      </c>
      <c r="O16" s="34">
        <f t="shared" ref="O16:P16" si="24">D16/7</f>
        <v>5.1428571428571432</v>
      </c>
      <c r="P16" s="34">
        <f t="shared" si="24"/>
        <v>0</v>
      </c>
      <c r="Q16" s="29">
        <f t="shared" si="8"/>
        <v>35</v>
      </c>
      <c r="R16" s="29"/>
      <c r="S16" s="35">
        <v>2.5569007263922501</v>
      </c>
      <c r="T16" s="28">
        <v>575</v>
      </c>
      <c r="U16" s="36">
        <v>175</v>
      </c>
      <c r="V16" s="37" t="s">
        <v>566</v>
      </c>
      <c r="W16" s="28">
        <v>0</v>
      </c>
      <c r="X16" s="38">
        <f t="shared" si="9"/>
        <v>0</v>
      </c>
      <c r="Y16" s="39">
        <f t="shared" si="10"/>
        <v>0</v>
      </c>
      <c r="Z16" s="28">
        <v>0</v>
      </c>
      <c r="AA16" s="28" t="s">
        <v>34</v>
      </c>
      <c r="AB16" s="40">
        <f t="shared" si="11"/>
        <v>-0.69</v>
      </c>
      <c r="AC16" s="41">
        <v>9.8477902777777765E-2</v>
      </c>
      <c r="AD16" s="39">
        <f t="shared" si="12"/>
        <v>-4.8923822099999983</v>
      </c>
      <c r="AE16" s="39">
        <v>-4.9000000000000004</v>
      </c>
      <c r="AF16" s="39">
        <v>-3.5367999999999999</v>
      </c>
      <c r="AG16" s="39">
        <v>0</v>
      </c>
    </row>
    <row r="17" spans="1:33" ht="15.75" customHeight="1" x14ac:dyDescent="0.2">
      <c r="A17" s="28" t="s">
        <v>55</v>
      </c>
      <c r="B17" s="28" t="s">
        <v>567</v>
      </c>
      <c r="C17" s="15">
        <f t="shared" si="4"/>
        <v>18.73952380952381</v>
      </c>
      <c r="D17" s="29">
        <v>21</v>
      </c>
      <c r="E17" s="29">
        <v>1</v>
      </c>
      <c r="F17" s="32">
        <v>393.53</v>
      </c>
      <c r="G17" s="30">
        <v>0</v>
      </c>
      <c r="H17" s="31">
        <f t="shared" si="1"/>
        <v>0</v>
      </c>
      <c r="I17" s="31">
        <f t="shared" si="2"/>
        <v>0.39253375950372266</v>
      </c>
      <c r="J17" s="32">
        <f t="shared" si="5"/>
        <v>154.47381037749997</v>
      </c>
      <c r="K17" s="32">
        <f t="shared" si="3"/>
        <v>7.3558957322619039</v>
      </c>
      <c r="L17" s="29">
        <v>41</v>
      </c>
      <c r="M17" s="33">
        <f t="shared" si="6"/>
        <v>0.51219512195121952</v>
      </c>
      <c r="N17" s="29">
        <v>160</v>
      </c>
      <c r="O17" s="34">
        <f t="shared" ref="O17:P17" si="25">D17/7</f>
        <v>3</v>
      </c>
      <c r="P17" s="34">
        <f t="shared" si="25"/>
        <v>0.14285714285714285</v>
      </c>
      <c r="Q17" s="29">
        <f t="shared" si="8"/>
        <v>50</v>
      </c>
      <c r="R17" s="29"/>
      <c r="S17" s="35">
        <v>2.8997429305912501</v>
      </c>
      <c r="T17" s="28">
        <v>400</v>
      </c>
      <c r="U17" s="36" t="s">
        <v>33</v>
      </c>
      <c r="V17" s="37" t="s">
        <v>33</v>
      </c>
      <c r="W17" s="28">
        <v>0</v>
      </c>
      <c r="X17" s="38">
        <f t="shared" si="9"/>
        <v>0</v>
      </c>
      <c r="Y17" s="39">
        <f t="shared" si="10"/>
        <v>0</v>
      </c>
      <c r="Z17" s="28">
        <v>0</v>
      </c>
      <c r="AA17" s="28" t="s">
        <v>34</v>
      </c>
      <c r="AB17" s="40">
        <f t="shared" si="11"/>
        <v>-0.69</v>
      </c>
      <c r="AC17" s="41">
        <v>9.8477902777777765E-2</v>
      </c>
      <c r="AD17" s="39">
        <f t="shared" si="12"/>
        <v>-2.8538896224999992</v>
      </c>
      <c r="AE17" s="39">
        <v>-4.9000000000000004</v>
      </c>
      <c r="AF17" s="39">
        <v>-3.5367999999999999</v>
      </c>
      <c r="AG17" s="39">
        <v>0</v>
      </c>
    </row>
    <row r="18" spans="1:33" ht="15.75" customHeight="1" x14ac:dyDescent="0.2">
      <c r="A18" s="28" t="s">
        <v>56</v>
      </c>
      <c r="B18" s="28" t="s">
        <v>47</v>
      </c>
      <c r="C18" s="15">
        <f t="shared" si="4"/>
        <v>18.859354838709681</v>
      </c>
      <c r="D18" s="29">
        <v>31</v>
      </c>
      <c r="E18" s="29">
        <v>1</v>
      </c>
      <c r="F18" s="32">
        <v>584.6400000000001</v>
      </c>
      <c r="G18" s="30">
        <v>-0.1</v>
      </c>
      <c r="H18" s="31">
        <f t="shared" si="1"/>
        <v>1.7104542966611929E-4</v>
      </c>
      <c r="I18" s="31">
        <f t="shared" si="2"/>
        <v>0.39526942275445859</v>
      </c>
      <c r="J18" s="32">
        <f t="shared" si="5"/>
        <v>231.09031531916671</v>
      </c>
      <c r="K18" s="32">
        <f t="shared" si="3"/>
        <v>7.4545263006182809</v>
      </c>
      <c r="L18" s="29">
        <v>50</v>
      </c>
      <c r="M18" s="33">
        <f t="shared" si="6"/>
        <v>0.62</v>
      </c>
      <c r="N18" s="29">
        <v>302</v>
      </c>
      <c r="O18" s="34">
        <f t="shared" ref="O18:P18" si="26">D18/7</f>
        <v>4.4285714285714288</v>
      </c>
      <c r="P18" s="34">
        <f t="shared" si="26"/>
        <v>0.14285714285714285</v>
      </c>
      <c r="Q18" s="29">
        <f t="shared" si="8"/>
        <v>66</v>
      </c>
      <c r="R18" s="29"/>
      <c r="S18" s="35">
        <v>2.5586353944562901</v>
      </c>
      <c r="T18" s="28">
        <v>400</v>
      </c>
      <c r="U18" s="36">
        <v>0</v>
      </c>
      <c r="V18" s="37" t="s">
        <v>33</v>
      </c>
      <c r="W18" s="28">
        <v>0</v>
      </c>
      <c r="X18" s="38">
        <f t="shared" si="9"/>
        <v>0</v>
      </c>
      <c r="Y18" s="39">
        <f t="shared" si="10"/>
        <v>0</v>
      </c>
      <c r="Z18" s="28">
        <v>0</v>
      </c>
      <c r="AA18" s="28" t="s">
        <v>34</v>
      </c>
      <c r="AB18" s="40">
        <f t="shared" si="11"/>
        <v>-0.69</v>
      </c>
      <c r="AC18" s="41">
        <v>9.8477902777777765E-2</v>
      </c>
      <c r="AD18" s="39">
        <f t="shared" si="12"/>
        <v>-4.2128846808333318</v>
      </c>
      <c r="AE18" s="39">
        <v>-4.9000000000000004</v>
      </c>
      <c r="AF18" s="39">
        <v>-3.5367999999999999</v>
      </c>
      <c r="AG18" s="39">
        <v>0</v>
      </c>
    </row>
    <row r="19" spans="1:33" ht="15.75" customHeight="1" x14ac:dyDescent="0.2">
      <c r="A19" s="28" t="s">
        <v>57</v>
      </c>
      <c r="B19" s="28" t="s">
        <v>47</v>
      </c>
      <c r="C19" s="15">
        <f t="shared" si="4"/>
        <v>17.455517241379308</v>
      </c>
      <c r="D19" s="29">
        <v>29</v>
      </c>
      <c r="E19" s="29">
        <v>1</v>
      </c>
      <c r="F19" s="32">
        <v>506.20999999999992</v>
      </c>
      <c r="G19" s="30">
        <v>0</v>
      </c>
      <c r="H19" s="31">
        <f t="shared" si="1"/>
        <v>0</v>
      </c>
      <c r="I19" s="31">
        <f t="shared" si="2"/>
        <v>0.34943050182895108</v>
      </c>
      <c r="J19" s="32">
        <f t="shared" si="5"/>
        <v>176.88521433083329</v>
      </c>
      <c r="K19" s="32">
        <f t="shared" si="3"/>
        <v>6.0994901493390792</v>
      </c>
      <c r="L19" s="29">
        <v>50</v>
      </c>
      <c r="M19" s="33">
        <f t="shared" si="6"/>
        <v>0.57999999999999996</v>
      </c>
      <c r="N19" s="29">
        <v>274</v>
      </c>
      <c r="O19" s="34">
        <f t="shared" ref="O19:P19" si="27">D19/7</f>
        <v>4.1428571428571432</v>
      </c>
      <c r="P19" s="34">
        <f t="shared" si="27"/>
        <v>0.14285714285714285</v>
      </c>
      <c r="Q19" s="29">
        <f t="shared" si="8"/>
        <v>63</v>
      </c>
      <c r="R19" s="29"/>
      <c r="S19" s="35">
        <v>2.04326123128119</v>
      </c>
      <c r="T19" s="28">
        <v>400</v>
      </c>
      <c r="U19" s="36" t="s">
        <v>33</v>
      </c>
      <c r="V19" s="37" t="s">
        <v>33</v>
      </c>
      <c r="W19" s="28">
        <v>0</v>
      </c>
      <c r="X19" s="38">
        <f t="shared" si="9"/>
        <v>0</v>
      </c>
      <c r="Y19" s="39">
        <f t="shared" si="10"/>
        <v>0</v>
      </c>
      <c r="Z19" s="28">
        <v>0</v>
      </c>
      <c r="AA19" s="28" t="s">
        <v>34</v>
      </c>
      <c r="AB19" s="40">
        <f t="shared" si="11"/>
        <v>-0.69</v>
      </c>
      <c r="AC19" s="41">
        <v>9.8477902777777765E-2</v>
      </c>
      <c r="AD19" s="39">
        <f t="shared" si="12"/>
        <v>-3.9410856691666654</v>
      </c>
      <c r="AE19" s="39">
        <v>-4.9000000000000004</v>
      </c>
      <c r="AF19" s="39">
        <v>-3.7018</v>
      </c>
      <c r="AG19" s="39">
        <v>0</v>
      </c>
    </row>
    <row r="20" spans="1:33" ht="15.75" customHeight="1" x14ac:dyDescent="0.2">
      <c r="A20" s="28" t="s">
        <v>58</v>
      </c>
      <c r="B20" s="28" t="s">
        <v>47</v>
      </c>
      <c r="C20" s="15">
        <f t="shared" si="4"/>
        <v>18.690000000000001</v>
      </c>
      <c r="D20" s="29">
        <v>24</v>
      </c>
      <c r="E20" s="29">
        <v>1</v>
      </c>
      <c r="F20" s="32">
        <v>448.56</v>
      </c>
      <c r="G20" s="30">
        <v>0</v>
      </c>
      <c r="H20" s="31">
        <f t="shared" si="1"/>
        <v>0</v>
      </c>
      <c r="I20" s="31">
        <f t="shared" si="2"/>
        <v>0.38249333837167832</v>
      </c>
      <c r="J20" s="32">
        <f t="shared" si="5"/>
        <v>171.57121186000003</v>
      </c>
      <c r="K20" s="32">
        <f t="shared" si="3"/>
        <v>7.1488004941666681</v>
      </c>
      <c r="L20" s="29">
        <v>24</v>
      </c>
      <c r="M20" s="33">
        <f t="shared" si="6"/>
        <v>1</v>
      </c>
      <c r="N20" s="29">
        <v>251</v>
      </c>
      <c r="O20" s="34">
        <f t="shared" ref="O20:P20" si="28">D20/7</f>
        <v>3.4285714285714284</v>
      </c>
      <c r="P20" s="34">
        <f t="shared" si="28"/>
        <v>0.14285714285714285</v>
      </c>
      <c r="Q20" s="29">
        <f t="shared" si="8"/>
        <v>70</v>
      </c>
      <c r="R20" s="29"/>
      <c r="S20" s="35">
        <v>2.0521172638436398</v>
      </c>
      <c r="T20" s="28">
        <v>0</v>
      </c>
      <c r="U20" s="36" t="s">
        <v>33</v>
      </c>
      <c r="V20" s="37" t="s">
        <v>33</v>
      </c>
      <c r="W20" s="28">
        <v>0</v>
      </c>
      <c r="X20" s="38">
        <f t="shared" si="9"/>
        <v>0</v>
      </c>
      <c r="Y20" s="39">
        <f t="shared" si="10"/>
        <v>0</v>
      </c>
      <c r="Z20" s="28">
        <v>0</v>
      </c>
      <c r="AA20" s="28" t="s">
        <v>34</v>
      </c>
      <c r="AB20" s="40">
        <f t="shared" si="11"/>
        <v>-0.69</v>
      </c>
      <c r="AC20" s="41">
        <v>9.8477902777777765E-2</v>
      </c>
      <c r="AD20" s="39">
        <f t="shared" si="12"/>
        <v>-3.2615881399999989</v>
      </c>
      <c r="AE20" s="39">
        <v>-4.9000000000000004</v>
      </c>
      <c r="AF20" s="39">
        <v>-3.7018</v>
      </c>
      <c r="AG20" s="39">
        <v>0</v>
      </c>
    </row>
    <row r="21" spans="1:33" ht="15.75" customHeight="1" x14ac:dyDescent="0.2">
      <c r="A21" s="28" t="s">
        <v>59</v>
      </c>
      <c r="B21" s="28" t="s">
        <v>47</v>
      </c>
      <c r="C21" s="15">
        <f t="shared" si="4"/>
        <v>18.697894736842109</v>
      </c>
      <c r="D21" s="29">
        <v>19</v>
      </c>
      <c r="E21" s="29">
        <v>1</v>
      </c>
      <c r="F21" s="32">
        <v>355.26000000000005</v>
      </c>
      <c r="G21" s="30">
        <v>0</v>
      </c>
      <c r="H21" s="31">
        <f t="shared" si="1"/>
        <v>0</v>
      </c>
      <c r="I21" s="31">
        <f t="shared" si="2"/>
        <v>0.38269073182786323</v>
      </c>
      <c r="J21" s="32">
        <f t="shared" si="5"/>
        <v>135.95470938916671</v>
      </c>
      <c r="K21" s="32">
        <f t="shared" si="3"/>
        <v>7.1555110204824581</v>
      </c>
      <c r="L21" s="29">
        <v>16</v>
      </c>
      <c r="M21" s="33">
        <f t="shared" si="6"/>
        <v>1.1875</v>
      </c>
      <c r="N21" s="29">
        <v>230</v>
      </c>
      <c r="O21" s="34">
        <f t="shared" ref="O21:P21" si="29">D21/7</f>
        <v>2.7142857142857144</v>
      </c>
      <c r="P21" s="34">
        <f t="shared" si="29"/>
        <v>0.14285714285714285</v>
      </c>
      <c r="Q21" s="29">
        <f t="shared" si="8"/>
        <v>80</v>
      </c>
      <c r="R21" s="29"/>
      <c r="S21" s="35">
        <v>2.2624768946395499</v>
      </c>
      <c r="T21" s="28">
        <v>0</v>
      </c>
      <c r="U21" s="36" t="s">
        <v>33</v>
      </c>
      <c r="V21" s="37" t="s">
        <v>33</v>
      </c>
      <c r="W21" s="28">
        <v>0</v>
      </c>
      <c r="X21" s="38">
        <f t="shared" si="9"/>
        <v>0</v>
      </c>
      <c r="Y21" s="39">
        <f t="shared" si="10"/>
        <v>0</v>
      </c>
      <c r="Z21" s="28">
        <v>0</v>
      </c>
      <c r="AA21" s="28" t="s">
        <v>34</v>
      </c>
      <c r="AB21" s="40">
        <f t="shared" si="11"/>
        <v>-0.69</v>
      </c>
      <c r="AC21" s="41">
        <v>9.8477902777777765E-2</v>
      </c>
      <c r="AD21" s="39">
        <f t="shared" si="12"/>
        <v>-2.5820906108333328</v>
      </c>
      <c r="AE21" s="39">
        <v>-4.9000000000000004</v>
      </c>
      <c r="AF21" s="39">
        <v>-3.7018</v>
      </c>
      <c r="AG21" s="39">
        <v>0</v>
      </c>
    </row>
    <row r="22" spans="1:33" ht="15.75" customHeight="1" x14ac:dyDescent="0.2">
      <c r="A22" s="28" t="s">
        <v>60</v>
      </c>
      <c r="B22" s="28" t="s">
        <v>47</v>
      </c>
      <c r="C22" s="15">
        <f t="shared" si="4"/>
        <v>18.690000000000001</v>
      </c>
      <c r="D22" s="29">
        <v>21</v>
      </c>
      <c r="E22" s="29">
        <v>0</v>
      </c>
      <c r="F22" s="30">
        <v>392.49</v>
      </c>
      <c r="G22" s="30">
        <v>0</v>
      </c>
      <c r="H22" s="31">
        <f t="shared" si="1"/>
        <v>0</v>
      </c>
      <c r="I22" s="31">
        <f t="shared" si="2"/>
        <v>0.38749885745496693</v>
      </c>
      <c r="J22" s="32">
        <f t="shared" si="5"/>
        <v>152.08942656249997</v>
      </c>
      <c r="K22" s="32">
        <f t="shared" si="3"/>
        <v>7.2423536458333313</v>
      </c>
      <c r="L22" s="29">
        <v>56</v>
      </c>
      <c r="M22" s="33">
        <f t="shared" si="6"/>
        <v>0.375</v>
      </c>
      <c r="N22" s="29">
        <v>210</v>
      </c>
      <c r="O22" s="34">
        <f t="shared" ref="O22:P22" si="30">D22/7</f>
        <v>3</v>
      </c>
      <c r="P22" s="34">
        <f t="shared" si="30"/>
        <v>0</v>
      </c>
      <c r="Q22" s="29">
        <f t="shared" si="8"/>
        <v>70</v>
      </c>
      <c r="R22" s="29"/>
      <c r="S22" s="35">
        <v>1.93996840442338</v>
      </c>
      <c r="T22" s="28">
        <v>600</v>
      </c>
      <c r="U22" s="36" t="s">
        <v>33</v>
      </c>
      <c r="V22" s="37" t="s">
        <v>33</v>
      </c>
      <c r="W22" s="28">
        <v>0</v>
      </c>
      <c r="X22" s="38">
        <f t="shared" si="9"/>
        <v>0</v>
      </c>
      <c r="Y22" s="39">
        <f t="shared" si="10"/>
        <v>0</v>
      </c>
      <c r="Z22" s="28">
        <v>0</v>
      </c>
      <c r="AA22" s="28" t="s">
        <v>34</v>
      </c>
      <c r="AB22" s="40">
        <f t="shared" si="11"/>
        <v>-0.69</v>
      </c>
      <c r="AC22" s="41">
        <v>3.0685763888888891E-2</v>
      </c>
      <c r="AD22" s="39">
        <f t="shared" si="12"/>
        <v>-0.8892734375000001</v>
      </c>
      <c r="AE22" s="39">
        <v>-4.9000000000000004</v>
      </c>
      <c r="AF22" s="39">
        <v>-3.7018</v>
      </c>
      <c r="AG22" s="39">
        <v>0</v>
      </c>
    </row>
    <row r="23" spans="1:33" ht="15.75" customHeight="1" x14ac:dyDescent="0.2">
      <c r="A23" s="28" t="s">
        <v>62</v>
      </c>
      <c r="B23" s="28" t="s">
        <v>568</v>
      </c>
      <c r="C23" s="15">
        <f t="shared" si="4"/>
        <v>18.738</v>
      </c>
      <c r="D23" s="29">
        <v>25</v>
      </c>
      <c r="E23" s="29">
        <v>0</v>
      </c>
      <c r="F23" s="32">
        <v>468.45</v>
      </c>
      <c r="G23" s="30">
        <v>0</v>
      </c>
      <c r="H23" s="31">
        <f t="shared" si="1"/>
        <v>0</v>
      </c>
      <c r="I23" s="31">
        <f t="shared" si="2"/>
        <v>0.38868361862703238</v>
      </c>
      <c r="J23" s="32">
        <f t="shared" si="5"/>
        <v>182.07884114583331</v>
      </c>
      <c r="K23" s="32">
        <f t="shared" si="3"/>
        <v>7.2831536458333321</v>
      </c>
      <c r="L23" s="29">
        <v>54</v>
      </c>
      <c r="M23" s="33">
        <f t="shared" si="6"/>
        <v>0.46296296296296297</v>
      </c>
      <c r="N23" s="29">
        <v>187</v>
      </c>
      <c r="O23" s="34">
        <f t="shared" ref="O23:P23" si="31">D23/7</f>
        <v>3.5714285714285716</v>
      </c>
      <c r="P23" s="34">
        <f t="shared" si="31"/>
        <v>0</v>
      </c>
      <c r="Q23" s="29">
        <f t="shared" si="8"/>
        <v>52</v>
      </c>
      <c r="R23" s="29"/>
      <c r="S23" s="35">
        <v>2.2118491921005301</v>
      </c>
      <c r="T23" s="28">
        <v>600</v>
      </c>
      <c r="U23" s="36" t="s">
        <v>33</v>
      </c>
      <c r="V23" s="37" t="s">
        <v>33</v>
      </c>
      <c r="W23" s="28">
        <v>0</v>
      </c>
      <c r="X23" s="38">
        <f t="shared" si="9"/>
        <v>0</v>
      </c>
      <c r="Y23" s="39">
        <f t="shared" si="10"/>
        <v>0</v>
      </c>
      <c r="Z23" s="28">
        <v>0</v>
      </c>
      <c r="AA23" s="28" t="s">
        <v>34</v>
      </c>
      <c r="AB23" s="40">
        <f t="shared" si="11"/>
        <v>-0.69</v>
      </c>
      <c r="AC23" s="41">
        <v>3.0685763888888891E-2</v>
      </c>
      <c r="AD23" s="39">
        <f t="shared" si="12"/>
        <v>-1.0586588541666668</v>
      </c>
      <c r="AE23" s="39">
        <v>-4.9000000000000004</v>
      </c>
      <c r="AF23" s="39">
        <v>-3.7018</v>
      </c>
      <c r="AG23" s="39">
        <v>0</v>
      </c>
    </row>
    <row r="24" spans="1:33" ht="15.75" customHeight="1" x14ac:dyDescent="0.2">
      <c r="A24" s="28" t="s">
        <v>64</v>
      </c>
      <c r="B24" s="28" t="s">
        <v>569</v>
      </c>
      <c r="C24" s="15">
        <f t="shared" si="4"/>
        <v>19.137735849056615</v>
      </c>
      <c r="D24" s="29">
        <v>53</v>
      </c>
      <c r="E24" s="29">
        <v>0</v>
      </c>
      <c r="F24" s="32">
        <v>1014.3000000000006</v>
      </c>
      <c r="G24" s="32">
        <v>0</v>
      </c>
      <c r="H24" s="31">
        <f t="shared" si="1"/>
        <v>0</v>
      </c>
      <c r="I24" s="31">
        <f t="shared" si="2"/>
        <v>0.39831927756005814</v>
      </c>
      <c r="J24" s="32">
        <f t="shared" si="5"/>
        <v>404.0152432291672</v>
      </c>
      <c r="K24" s="32">
        <f t="shared" si="3"/>
        <v>7.6229291175314566</v>
      </c>
      <c r="L24" s="29">
        <v>56</v>
      </c>
      <c r="M24" s="33">
        <f t="shared" si="6"/>
        <v>0.9464285714285714</v>
      </c>
      <c r="N24" s="29">
        <v>143</v>
      </c>
      <c r="O24" s="34">
        <f t="shared" ref="O24:P24" si="32">D24/7</f>
        <v>7.5714285714285712</v>
      </c>
      <c r="P24" s="34">
        <f t="shared" si="32"/>
        <v>0</v>
      </c>
      <c r="Q24" s="29">
        <f t="shared" si="8"/>
        <v>18</v>
      </c>
      <c r="R24" s="29"/>
      <c r="S24" s="35">
        <v>1.79271708683473</v>
      </c>
      <c r="T24" s="28">
        <v>1000</v>
      </c>
      <c r="U24" s="36">
        <v>400</v>
      </c>
      <c r="V24" s="37" t="s">
        <v>495</v>
      </c>
      <c r="W24" s="28">
        <v>0</v>
      </c>
      <c r="X24" s="38">
        <f t="shared" si="9"/>
        <v>0</v>
      </c>
      <c r="Y24" s="39">
        <f t="shared" si="10"/>
        <v>0</v>
      </c>
      <c r="Z24" s="28">
        <v>0</v>
      </c>
      <c r="AA24" s="28" t="s">
        <v>34</v>
      </c>
      <c r="AB24" s="40">
        <f t="shared" si="11"/>
        <v>-0.69</v>
      </c>
      <c r="AC24" s="41">
        <v>3.0685763888888891E-2</v>
      </c>
      <c r="AD24" s="39">
        <f t="shared" si="12"/>
        <v>-2.2443567708333334</v>
      </c>
      <c r="AE24" s="39">
        <v>-4.9000000000000004</v>
      </c>
      <c r="AF24" s="39">
        <v>-3.7018</v>
      </c>
      <c r="AG24" s="39">
        <v>0</v>
      </c>
    </row>
    <row r="25" spans="1:33" ht="15.75" customHeight="1" x14ac:dyDescent="0.2">
      <c r="A25" s="28" t="s">
        <v>65</v>
      </c>
      <c r="B25" s="14" t="s">
        <v>47</v>
      </c>
      <c r="C25" s="15">
        <f t="shared" si="4"/>
        <v>19.954761904761906</v>
      </c>
      <c r="D25" s="29">
        <v>21</v>
      </c>
      <c r="E25" s="29">
        <v>0</v>
      </c>
      <c r="F25" s="32">
        <v>419.05</v>
      </c>
      <c r="G25" s="32">
        <v>0</v>
      </c>
      <c r="H25" s="31">
        <f t="shared" si="1"/>
        <v>0</v>
      </c>
      <c r="I25" s="31">
        <f t="shared" si="2"/>
        <v>0.41690305825677126</v>
      </c>
      <c r="J25" s="32">
        <f t="shared" si="5"/>
        <v>174.70322656249999</v>
      </c>
      <c r="K25" s="32">
        <f t="shared" si="3"/>
        <v>8.3192012648809524</v>
      </c>
      <c r="L25" s="29">
        <v>47</v>
      </c>
      <c r="M25" s="33">
        <f t="shared" si="6"/>
        <v>0.44680851063829785</v>
      </c>
      <c r="N25" s="29">
        <v>110</v>
      </c>
      <c r="O25" s="34">
        <f t="shared" ref="O25:P25" si="33">D25/7</f>
        <v>3</v>
      </c>
      <c r="P25" s="34">
        <f t="shared" si="33"/>
        <v>0</v>
      </c>
      <c r="Q25" s="29">
        <f t="shared" si="8"/>
        <v>36</v>
      </c>
      <c r="R25" s="29"/>
      <c r="S25" s="35">
        <v>2.311986863711001</v>
      </c>
      <c r="T25" s="28">
        <v>1200</v>
      </c>
      <c r="U25" s="36">
        <v>400</v>
      </c>
      <c r="V25" s="37" t="s">
        <v>496</v>
      </c>
      <c r="W25" s="14">
        <v>0</v>
      </c>
      <c r="X25" s="38">
        <f t="shared" si="9"/>
        <v>0</v>
      </c>
      <c r="Y25" s="39">
        <f t="shared" si="10"/>
        <v>0</v>
      </c>
      <c r="Z25" s="14">
        <v>0</v>
      </c>
      <c r="AA25" s="28" t="s">
        <v>34</v>
      </c>
      <c r="AB25" s="40">
        <f t="shared" si="11"/>
        <v>-0.69</v>
      </c>
      <c r="AC25" s="41">
        <v>3.0685763888888891E-2</v>
      </c>
      <c r="AD25" s="39">
        <f t="shared" si="12"/>
        <v>-0.8892734375000001</v>
      </c>
      <c r="AE25" s="39">
        <v>-4.9000000000000004</v>
      </c>
      <c r="AF25" s="39">
        <v>-3.7</v>
      </c>
      <c r="AG25" s="39">
        <v>0</v>
      </c>
    </row>
    <row r="26" spans="1:33" ht="15.75" customHeight="1" x14ac:dyDescent="0.2">
      <c r="A26" s="14" t="s">
        <v>67</v>
      </c>
      <c r="B26" s="14" t="s">
        <v>47</v>
      </c>
      <c r="C26" s="15">
        <f t="shared" si="4"/>
        <v>18.707096774193552</v>
      </c>
      <c r="D26" s="16">
        <v>31</v>
      </c>
      <c r="E26" s="16">
        <v>0</v>
      </c>
      <c r="F26" s="17">
        <v>579.92000000000007</v>
      </c>
      <c r="G26" s="17">
        <v>0</v>
      </c>
      <c r="H26" s="31">
        <f t="shared" si="1"/>
        <v>0</v>
      </c>
      <c r="I26" s="31">
        <f t="shared" si="2"/>
        <v>0.38461584877368149</v>
      </c>
      <c r="J26" s="32">
        <f t="shared" si="5"/>
        <v>223.0464230208334</v>
      </c>
      <c r="K26" s="32">
        <f t="shared" si="3"/>
        <v>7.195045903897852</v>
      </c>
      <c r="L26" s="16">
        <v>58</v>
      </c>
      <c r="M26" s="33">
        <f t="shared" si="6"/>
        <v>0.53448275862068961</v>
      </c>
      <c r="N26" s="16">
        <v>84</v>
      </c>
      <c r="O26" s="34">
        <f t="shared" ref="O26:P26" si="34">D26/7</f>
        <v>4.4285714285714288</v>
      </c>
      <c r="P26" s="34">
        <f t="shared" si="34"/>
        <v>0</v>
      </c>
      <c r="Q26" s="29">
        <f t="shared" si="8"/>
        <v>18</v>
      </c>
      <c r="R26" s="29"/>
      <c r="S26" s="21">
        <v>2.4946236559139781</v>
      </c>
      <c r="T26" s="28">
        <v>1200</v>
      </c>
      <c r="U26" s="36">
        <v>400</v>
      </c>
      <c r="V26" s="37" t="s">
        <v>496</v>
      </c>
      <c r="W26" s="14">
        <v>0</v>
      </c>
      <c r="X26" s="38">
        <f t="shared" si="9"/>
        <v>0</v>
      </c>
      <c r="Y26" s="39">
        <f t="shared" si="10"/>
        <v>0</v>
      </c>
      <c r="Z26" s="14">
        <v>0</v>
      </c>
      <c r="AA26" s="28" t="s">
        <v>34</v>
      </c>
      <c r="AB26" s="40">
        <f t="shared" si="11"/>
        <v>-0.69</v>
      </c>
      <c r="AC26" s="41">
        <v>3.0685763888888891E-2</v>
      </c>
      <c r="AD26" s="39">
        <f t="shared" si="12"/>
        <v>-1.3127369791666668</v>
      </c>
      <c r="AE26" s="25">
        <v>-4.95</v>
      </c>
      <c r="AF26" s="25">
        <v>-3.7136399999999998</v>
      </c>
      <c r="AG26" s="25">
        <v>0</v>
      </c>
    </row>
    <row r="27" spans="1:33" ht="15.75" customHeight="1" x14ac:dyDescent="0.2">
      <c r="A27" s="14" t="s">
        <v>69</v>
      </c>
      <c r="B27" s="14" t="s">
        <v>253</v>
      </c>
      <c r="C27" s="15">
        <f t="shared" si="4"/>
        <v>18.755454545454548</v>
      </c>
      <c r="D27" s="16">
        <v>33</v>
      </c>
      <c r="E27" s="16">
        <v>0</v>
      </c>
      <c r="F27" s="17">
        <v>618.93000000000006</v>
      </c>
      <c r="G27" s="17">
        <v>0</v>
      </c>
      <c r="H27" s="31">
        <f t="shared" si="1"/>
        <v>0</v>
      </c>
      <c r="I27" s="31">
        <f t="shared" si="2"/>
        <v>0.35686121968760598</v>
      </c>
      <c r="J27" s="32">
        <f t="shared" si="5"/>
        <v>220.87211470124998</v>
      </c>
      <c r="K27" s="32">
        <f t="shared" si="3"/>
        <v>6.6930943848863631</v>
      </c>
      <c r="L27" s="16">
        <v>83</v>
      </c>
      <c r="M27" s="33">
        <f t="shared" si="6"/>
        <v>0.39759036144578314</v>
      </c>
      <c r="N27" s="16">
        <v>49</v>
      </c>
      <c r="O27" s="34">
        <f t="shared" ref="O27:P27" si="35">D27/7</f>
        <v>4.7142857142857144</v>
      </c>
      <c r="P27" s="34">
        <f t="shared" si="35"/>
        <v>0</v>
      </c>
      <c r="Q27" s="29">
        <f t="shared" si="8"/>
        <v>10</v>
      </c>
      <c r="R27" s="29"/>
      <c r="S27" s="21">
        <v>2.4268907563025208</v>
      </c>
      <c r="T27" s="28">
        <v>1200</v>
      </c>
      <c r="U27" s="36">
        <v>400</v>
      </c>
      <c r="V27" s="37" t="s">
        <v>499</v>
      </c>
      <c r="W27" s="14">
        <v>0</v>
      </c>
      <c r="X27" s="38">
        <f t="shared" si="9"/>
        <v>0</v>
      </c>
      <c r="Y27" s="39">
        <f t="shared" si="10"/>
        <v>0</v>
      </c>
      <c r="Z27" s="14">
        <v>0</v>
      </c>
      <c r="AA27" s="28" t="s">
        <v>34</v>
      </c>
      <c r="AB27" s="40">
        <f t="shared" si="11"/>
        <v>-0.69</v>
      </c>
      <c r="AC27" s="41">
        <v>3.6160854166666666E-2</v>
      </c>
      <c r="AD27" s="39">
        <f t="shared" si="12"/>
        <v>-1.6467652987499997</v>
      </c>
      <c r="AE27" s="25">
        <v>-4.95</v>
      </c>
      <c r="AF27" s="25">
        <v>-4.2491399999999997</v>
      </c>
      <c r="AG27" s="25">
        <v>0</v>
      </c>
    </row>
    <row r="28" spans="1:33" ht="15.75" customHeight="1" x14ac:dyDescent="0.2">
      <c r="A28" s="14" t="s">
        <v>71</v>
      </c>
      <c r="B28" s="14" t="s">
        <v>47</v>
      </c>
      <c r="C28" s="15">
        <f t="shared" si="4"/>
        <v>19.594347826086956</v>
      </c>
      <c r="D28" s="16">
        <v>23</v>
      </c>
      <c r="E28" s="16">
        <v>0</v>
      </c>
      <c r="F28" s="17">
        <v>450.67</v>
      </c>
      <c r="G28" s="17">
        <v>0</v>
      </c>
      <c r="H28" s="31">
        <f t="shared" si="1"/>
        <v>0</v>
      </c>
      <c r="I28" s="31">
        <f t="shared" si="2"/>
        <v>0.37797398204617566</v>
      </c>
      <c r="J28" s="32">
        <f t="shared" si="5"/>
        <v>170.34153448875</v>
      </c>
      <c r="K28" s="32">
        <f t="shared" si="3"/>
        <v>7.4061536734239128</v>
      </c>
      <c r="L28" s="16">
        <v>70</v>
      </c>
      <c r="M28" s="33">
        <f t="shared" si="6"/>
        <v>0.32857142857142857</v>
      </c>
      <c r="N28" s="16">
        <v>30</v>
      </c>
      <c r="O28" s="34">
        <f t="shared" ref="O28:P28" si="36">D28/7</f>
        <v>3.2857142857142856</v>
      </c>
      <c r="P28" s="34">
        <f t="shared" si="36"/>
        <v>0</v>
      </c>
      <c r="Q28" s="29">
        <f t="shared" si="8"/>
        <v>9</v>
      </c>
      <c r="R28" s="29"/>
      <c r="S28" s="21">
        <v>2.0592383638928071</v>
      </c>
      <c r="T28" s="28">
        <v>600</v>
      </c>
      <c r="U28" s="36">
        <v>44384</v>
      </c>
      <c r="V28" s="37" t="s">
        <v>499</v>
      </c>
      <c r="W28" s="14">
        <v>0</v>
      </c>
      <c r="X28" s="38">
        <f t="shared" si="9"/>
        <v>0</v>
      </c>
      <c r="Y28" s="39">
        <f t="shared" si="10"/>
        <v>0</v>
      </c>
      <c r="Z28" s="14">
        <v>0</v>
      </c>
      <c r="AA28" s="28" t="s">
        <v>34</v>
      </c>
      <c r="AB28" s="40">
        <f t="shared" si="11"/>
        <v>-0.69</v>
      </c>
      <c r="AC28" s="41">
        <v>3.6160854166666666E-2</v>
      </c>
      <c r="AD28" s="39">
        <f t="shared" si="12"/>
        <v>-1.1477455112499999</v>
      </c>
      <c r="AE28" s="25">
        <v>-4.95</v>
      </c>
      <c r="AF28" s="25">
        <v>-4.2491399999999997</v>
      </c>
      <c r="AG28" s="25">
        <v>0</v>
      </c>
    </row>
    <row r="29" spans="1:33" ht="15.75" customHeight="1" x14ac:dyDescent="0.2">
      <c r="A29" s="28" t="s">
        <v>72</v>
      </c>
      <c r="B29" s="28" t="s">
        <v>47</v>
      </c>
      <c r="C29" s="15">
        <f t="shared" si="4"/>
        <v>20.158928571428568</v>
      </c>
      <c r="D29" s="29">
        <v>28</v>
      </c>
      <c r="E29" s="29">
        <v>0</v>
      </c>
      <c r="F29" s="32">
        <v>564.44999999999993</v>
      </c>
      <c r="G29" s="32">
        <v>0</v>
      </c>
      <c r="H29" s="31">
        <f t="shared" si="1"/>
        <v>0</v>
      </c>
      <c r="I29" s="31">
        <f t="shared" si="2"/>
        <v>0.3911937719815749</v>
      </c>
      <c r="J29" s="32">
        <f t="shared" si="5"/>
        <v>220.80932459499994</v>
      </c>
      <c r="K29" s="32">
        <f t="shared" si="3"/>
        <v>7.8860473069642838</v>
      </c>
      <c r="L29" s="29">
        <v>75</v>
      </c>
      <c r="M29" s="33">
        <f t="shared" si="6"/>
        <v>0.37333333333333335</v>
      </c>
      <c r="N29" s="16">
        <v>3</v>
      </c>
      <c r="O29" s="34">
        <f t="shared" ref="O29:P29" si="37">D29/7</f>
        <v>4</v>
      </c>
      <c r="P29" s="34">
        <f t="shared" si="37"/>
        <v>0</v>
      </c>
      <c r="Q29" s="29">
        <f t="shared" si="8"/>
        <v>0</v>
      </c>
      <c r="R29" s="29"/>
      <c r="S29" s="21">
        <v>2.5531914893617018</v>
      </c>
      <c r="T29" s="28">
        <v>200</v>
      </c>
      <c r="U29" s="36" t="s">
        <v>33</v>
      </c>
      <c r="V29" s="37" t="s">
        <v>33</v>
      </c>
      <c r="W29" s="14">
        <v>0</v>
      </c>
      <c r="X29" s="38">
        <f t="shared" si="9"/>
        <v>0</v>
      </c>
      <c r="Y29" s="39">
        <f t="shared" si="10"/>
        <v>0</v>
      </c>
      <c r="Z29" s="14">
        <v>0</v>
      </c>
      <c r="AA29" s="28" t="s">
        <v>34</v>
      </c>
      <c r="AB29" s="40">
        <f t="shared" si="11"/>
        <v>-0.69</v>
      </c>
      <c r="AC29" s="41">
        <v>3.6160854166666666E-2</v>
      </c>
      <c r="AD29" s="39">
        <f t="shared" si="12"/>
        <v>-1.3972554049999997</v>
      </c>
      <c r="AE29" s="39">
        <v>-4.95</v>
      </c>
      <c r="AF29" s="25">
        <v>-4.2491399999999997</v>
      </c>
      <c r="AG29" s="39">
        <v>0</v>
      </c>
    </row>
    <row r="30" spans="1:33" ht="15.75" customHeight="1" x14ac:dyDescent="0.2">
      <c r="A30" s="14" t="s">
        <v>74</v>
      </c>
      <c r="B30" s="14" t="s">
        <v>150</v>
      </c>
      <c r="C30" s="15">
        <f t="shared" si="4"/>
        <v>19.989999999999998</v>
      </c>
      <c r="D30" s="16">
        <v>1</v>
      </c>
      <c r="E30" s="16">
        <v>0</v>
      </c>
      <c r="F30" s="17">
        <v>19.989999999999998</v>
      </c>
      <c r="G30" s="17">
        <v>0</v>
      </c>
      <c r="H30" s="31">
        <f t="shared" si="1"/>
        <v>0</v>
      </c>
      <c r="I30" s="31">
        <f t="shared" si="2"/>
        <v>0.39158380747723848</v>
      </c>
      <c r="J30" s="32">
        <f t="shared" si="5"/>
        <v>7.827760311469997</v>
      </c>
      <c r="K30" s="32">
        <f t="shared" si="3"/>
        <v>7.827760311469997</v>
      </c>
      <c r="L30" s="16">
        <v>5</v>
      </c>
      <c r="M30" s="33">
        <f t="shared" si="6"/>
        <v>0.2</v>
      </c>
      <c r="N30" s="16">
        <v>0</v>
      </c>
      <c r="O30" s="34">
        <f t="shared" ref="O30:P30" si="38">D30/7</f>
        <v>0.14285714285714285</v>
      </c>
      <c r="P30" s="34">
        <f t="shared" si="38"/>
        <v>0</v>
      </c>
      <c r="Q30" s="29">
        <f t="shared" si="8"/>
        <v>0</v>
      </c>
      <c r="R30" s="29"/>
      <c r="S30" s="21">
        <v>0</v>
      </c>
      <c r="T30" s="28">
        <v>1200</v>
      </c>
      <c r="U30" s="36">
        <v>400</v>
      </c>
      <c r="V30" s="37" t="s">
        <v>500</v>
      </c>
      <c r="W30" s="14">
        <v>0</v>
      </c>
      <c r="X30" s="38">
        <f t="shared" si="9"/>
        <v>0</v>
      </c>
      <c r="Y30" s="39">
        <f t="shared" si="10"/>
        <v>0</v>
      </c>
      <c r="Z30" s="14">
        <v>0</v>
      </c>
      <c r="AA30" s="28" t="s">
        <v>34</v>
      </c>
      <c r="AB30" s="40">
        <f t="shared" si="11"/>
        <v>-0.69</v>
      </c>
      <c r="AC30" s="41">
        <v>3.6160854166666666E-2</v>
      </c>
      <c r="AD30" s="39">
        <f t="shared" si="12"/>
        <v>-4.9901978749999992E-2</v>
      </c>
      <c r="AE30" s="25">
        <v>-4.95</v>
      </c>
      <c r="AF30" s="25">
        <v>-4.1638377097800001</v>
      </c>
      <c r="AG30" s="25">
        <v>0</v>
      </c>
    </row>
    <row r="31" spans="1:33" ht="15.75" customHeight="1" x14ac:dyDescent="0.2">
      <c r="A31" s="14" t="s">
        <v>75</v>
      </c>
      <c r="B31" s="14"/>
      <c r="C31" s="15">
        <f t="shared" si="4"/>
        <v>19.989999999999998</v>
      </c>
      <c r="D31" s="16">
        <v>2</v>
      </c>
      <c r="E31" s="16">
        <v>0</v>
      </c>
      <c r="F31" s="17">
        <v>39.979999999999997</v>
      </c>
      <c r="G31" s="42">
        <v>0</v>
      </c>
      <c r="H31" s="31">
        <f t="shared" si="1"/>
        <v>0</v>
      </c>
      <c r="I31" s="31">
        <f t="shared" si="2"/>
        <v>0.39158380747723859</v>
      </c>
      <c r="J31" s="32">
        <f t="shared" si="5"/>
        <v>15.655520622939997</v>
      </c>
      <c r="K31" s="32">
        <f t="shared" si="3"/>
        <v>7.8277603114699987</v>
      </c>
      <c r="L31" s="16">
        <v>16</v>
      </c>
      <c r="M31" s="33">
        <f t="shared" si="6"/>
        <v>0.125</v>
      </c>
      <c r="N31" s="16">
        <v>1</v>
      </c>
      <c r="O31" s="34">
        <f t="shared" ref="O31:P32" si="39">D31/7</f>
        <v>0.2857142857142857</v>
      </c>
      <c r="P31" s="34">
        <f t="shared" si="39"/>
        <v>0</v>
      </c>
      <c r="Q31" s="29">
        <f t="shared" si="8"/>
        <v>3</v>
      </c>
      <c r="R31" s="29"/>
      <c r="S31" s="21">
        <v>2.1008130081300802</v>
      </c>
      <c r="T31" s="14">
        <v>600</v>
      </c>
      <c r="U31" s="22">
        <v>400</v>
      </c>
      <c r="V31" s="1" t="s">
        <v>952</v>
      </c>
      <c r="W31" s="14">
        <v>0</v>
      </c>
      <c r="X31" s="38">
        <f t="shared" si="9"/>
        <v>0</v>
      </c>
      <c r="Y31" s="39">
        <f t="shared" si="10"/>
        <v>0</v>
      </c>
      <c r="Z31" s="14">
        <v>0</v>
      </c>
      <c r="AA31" s="14" t="s">
        <v>34</v>
      </c>
      <c r="AB31" s="40">
        <f t="shared" si="11"/>
        <v>-0.69</v>
      </c>
      <c r="AC31" s="27">
        <v>3.6160854166666666E-2</v>
      </c>
      <c r="AD31" s="39">
        <f t="shared" si="12"/>
        <v>-9.9803957499999985E-2</v>
      </c>
      <c r="AE31" s="43">
        <v>-4.95</v>
      </c>
      <c r="AF31" s="43">
        <v>-4.1638377097799992</v>
      </c>
      <c r="AG31" s="25">
        <v>0</v>
      </c>
    </row>
    <row r="32" spans="1:33" s="51" customFormat="1" ht="15.75" customHeight="1" x14ac:dyDescent="0.2">
      <c r="A32" s="51" t="s">
        <v>934</v>
      </c>
      <c r="C32" s="15">
        <f t="shared" si="4"/>
        <v>19.989999999999998</v>
      </c>
      <c r="D32" s="52">
        <v>1</v>
      </c>
      <c r="E32" s="52">
        <v>0</v>
      </c>
      <c r="F32" s="53">
        <v>19.989999999999998</v>
      </c>
      <c r="G32" s="53">
        <v>0</v>
      </c>
      <c r="H32" s="31">
        <f t="shared" si="1"/>
        <v>0</v>
      </c>
      <c r="I32" s="31">
        <f t="shared" si="2"/>
        <v>0.39158380747723848</v>
      </c>
      <c r="J32" s="32">
        <f t="shared" si="5"/>
        <v>7.827760311469997</v>
      </c>
      <c r="K32" s="32">
        <f t="shared" si="3"/>
        <v>7.827760311469997</v>
      </c>
      <c r="L32" s="52">
        <v>0</v>
      </c>
      <c r="M32" s="33" t="str">
        <f t="shared" si="6"/>
        <v>-</v>
      </c>
      <c r="N32" s="52">
        <v>0</v>
      </c>
      <c r="O32" s="34">
        <f t="shared" si="39"/>
        <v>0.14285714285714285</v>
      </c>
      <c r="P32" s="34">
        <f t="shared" si="39"/>
        <v>0</v>
      </c>
      <c r="Q32" s="29">
        <f t="shared" si="8"/>
        <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3.6160854166666666E-2</v>
      </c>
      <c r="AD32" s="39">
        <f t="shared" si="12"/>
        <v>-4.9901978749999992E-2</v>
      </c>
      <c r="AE32" s="58">
        <v>-4.95</v>
      </c>
      <c r="AF32" s="58">
        <v>-4.1638377097800001</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67.66406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80" t="str">
        <f ca="1">IFERROR(__xludf.DUMMYFUNCTION("IFERROR(VLOOKUP(B2,IMPORTRANGE(""https://docs.google.com/spreadsheets/d/1x0DhHglkXKoEBOD2MBsuK_EyIr1ouxD2ftIpqOYFa-k/edit?usp=sharing"",""Ubiquitty-SKU-Specific Info!B1:BJ5000""),3,FALSE),"""")"),"12 Gauge Primary Wire - 2 Roll Red &amp; Black Pack - 100 Ft of Copper Clad Aluminum Wire per Roll")</f>
        <v>12 Gauge Primary Wire - 2 Roll Red &amp; Black Pack - 100 Ft of Copper Clad Aluminum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Info!B1:BJ5000""),2,FALSE),"""")"),"B0851ML92H")</f>
        <v>B0851ML92H</v>
      </c>
      <c r="B2" s="49" t="s">
        <v>570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51.75" customHeight="1" x14ac:dyDescent="0.2">
      <c r="A3" s="76" t="s">
        <v>30</v>
      </c>
      <c r="B3" s="77"/>
      <c r="C3" s="47">
        <f>((AE32+AF32)/0.85)*-1</f>
        <v>12.803542893933825</v>
      </c>
      <c r="D3" s="5">
        <f>SUM(D4:D99634)</f>
        <v>49</v>
      </c>
      <c r="E3" s="5"/>
      <c r="F3" s="6">
        <f t="shared" ref="F3:G3" si="0">SUM(F4:F99634)</f>
        <v>1077.8699999999999</v>
      </c>
      <c r="G3" s="6">
        <f t="shared" si="0"/>
        <v>-0.05</v>
      </c>
      <c r="H3" s="7">
        <f t="shared" ref="H3:H32" si="1">G3/F3*-1</f>
        <v>4.6387783313386595E-5</v>
      </c>
      <c r="I3" s="8">
        <f t="shared" ref="I3:I32" si="2">J3/F3</f>
        <v>0.33073018660636533</v>
      </c>
      <c r="J3" s="6">
        <f>SUM(J4:J99634)</f>
        <v>356.48414623740297</v>
      </c>
      <c r="K3" s="6">
        <f t="shared" ref="K3:K32" si="3">J3/D3</f>
        <v>7.2751866579061826</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1 - Nov
1 - Dec
1 - Jan
1 - Feb")</f>
        <v>1 - March
1 - April
1 - May
1 - June
1 - July
1 - Aug
1 - Sept
1 - Oct
1 - Nov
1 -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-4.9138429933661634</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Info!B2:BZ7000""),37,FALSE)),"""")*-1"),-5.20301145984375)</f>
        <v>-5.2030114598437498</v>
      </c>
      <c r="AG3" s="6">
        <f>SUM(AG4:AG99634)</f>
        <v>0</v>
      </c>
    </row>
    <row r="4" spans="1:33" ht="15.75" customHeight="1" x14ac:dyDescent="0.2">
      <c r="A4" s="14" t="s">
        <v>31</v>
      </c>
      <c r="B4" s="14" t="s">
        <v>571</v>
      </c>
      <c r="C4" s="15">
        <f t="shared" ref="C4:C32" si="4">IFERROR(F4/D4," - ")</f>
        <v>19.898571428571422</v>
      </c>
      <c r="D4" s="16">
        <v>7</v>
      </c>
      <c r="E4" s="16">
        <v>0</v>
      </c>
      <c r="F4" s="17">
        <v>139.28999999999996</v>
      </c>
      <c r="G4" s="17">
        <v>0</v>
      </c>
      <c r="H4" s="18">
        <f t="shared" si="1"/>
        <v>0</v>
      </c>
      <c r="I4" s="18">
        <f t="shared" si="2"/>
        <v>0.27814896165489422</v>
      </c>
      <c r="J4" s="17">
        <f t="shared" ref="J4:J32" si="5">F4*0.85+G4+AF4*D4+D4*AE4+AG4+AD4</f>
        <v>38.743368868910203</v>
      </c>
      <c r="K4" s="17">
        <f t="shared" si="3"/>
        <v>5.5347669812728864</v>
      </c>
      <c r="L4" s="16">
        <v>23</v>
      </c>
      <c r="M4" s="19">
        <f t="shared" ref="M4:M32" si="6">IFERROR(D4/L4,"-")</f>
        <v>0.30434782608695654</v>
      </c>
      <c r="N4" s="16">
        <v>36</v>
      </c>
      <c r="O4" s="20">
        <f t="shared" ref="O4:P4" si="7">D4/7</f>
        <v>1</v>
      </c>
      <c r="P4" s="20">
        <f t="shared" si="7"/>
        <v>0</v>
      </c>
      <c r="Q4" s="16">
        <f t="shared" ref="Q4:Q32" si="8">ROUNDDOWN(N4/(O4+P4),0)</f>
        <v>36</v>
      </c>
      <c r="R4" s="16"/>
      <c r="S4" s="21">
        <v>1.3090909090909</v>
      </c>
      <c r="T4" s="14">
        <v>0</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7.2656458333333326E-2</v>
      </c>
      <c r="AD4" s="25">
        <f t="shared" ref="AD4:AD32" si="12">IFERROR(AB4*AC4*D4*2,0)</f>
        <v>-0.70186138749999993</v>
      </c>
      <c r="AE4" s="25">
        <v>-5.8</v>
      </c>
      <c r="AF4" s="25">
        <v>-5.4787528205128213</v>
      </c>
      <c r="AG4" s="25">
        <v>0</v>
      </c>
    </row>
    <row r="5" spans="1:33" ht="15.75" customHeight="1" x14ac:dyDescent="0.2">
      <c r="A5" s="28" t="s">
        <v>35</v>
      </c>
      <c r="B5" s="28" t="s">
        <v>47</v>
      </c>
      <c r="C5" s="15">
        <f t="shared" si="4"/>
        <v>20.882857142857144</v>
      </c>
      <c r="D5" s="29">
        <v>7</v>
      </c>
      <c r="E5" s="29">
        <v>0</v>
      </c>
      <c r="F5" s="30">
        <v>146.18</v>
      </c>
      <c r="G5" s="30">
        <v>0</v>
      </c>
      <c r="H5" s="31">
        <f t="shared" si="1"/>
        <v>0</v>
      </c>
      <c r="I5" s="31">
        <f t="shared" si="2"/>
        <v>0.30509683669478777</v>
      </c>
      <c r="J5" s="32">
        <f t="shared" si="5"/>
        <v>44.599055588044081</v>
      </c>
      <c r="K5" s="32">
        <f t="shared" si="3"/>
        <v>6.3712936554348687</v>
      </c>
      <c r="L5" s="29">
        <v>33</v>
      </c>
      <c r="M5" s="33">
        <f t="shared" si="6"/>
        <v>0.21212121212121213</v>
      </c>
      <c r="N5" s="29">
        <v>28</v>
      </c>
      <c r="O5" s="34">
        <f t="shared" ref="O5:P5" si="13">D5/7</f>
        <v>1</v>
      </c>
      <c r="P5" s="34">
        <f t="shared" si="13"/>
        <v>0</v>
      </c>
      <c r="Q5" s="29">
        <f t="shared" si="8"/>
        <v>28</v>
      </c>
      <c r="R5" s="29"/>
      <c r="S5" s="35">
        <v>1.7172774869109899</v>
      </c>
      <c r="T5" s="28">
        <v>0</v>
      </c>
      <c r="U5" s="36" t="s">
        <v>33</v>
      </c>
      <c r="V5" s="37" t="s">
        <v>33</v>
      </c>
      <c r="W5" s="28">
        <v>0</v>
      </c>
      <c r="X5" s="38">
        <f t="shared" si="9"/>
        <v>0</v>
      </c>
      <c r="Y5" s="39">
        <f t="shared" si="10"/>
        <v>0</v>
      </c>
      <c r="Z5" s="28">
        <v>0</v>
      </c>
      <c r="AA5" s="28" t="s">
        <v>34</v>
      </c>
      <c r="AB5" s="40">
        <f t="shared" si="11"/>
        <v>-0.69</v>
      </c>
      <c r="AC5" s="41">
        <v>7.2740648899188881E-2</v>
      </c>
      <c r="AD5" s="39">
        <f t="shared" si="12"/>
        <v>-0.70267466836616455</v>
      </c>
      <c r="AE5" s="39">
        <v>-5.8</v>
      </c>
      <c r="AF5" s="39">
        <v>-5.4787528205128213</v>
      </c>
      <c r="AG5" s="39">
        <v>0</v>
      </c>
    </row>
    <row r="6" spans="1:33" ht="15.75" customHeight="1" x14ac:dyDescent="0.2">
      <c r="A6" s="28" t="s">
        <v>37</v>
      </c>
      <c r="B6" s="28" t="s">
        <v>572</v>
      </c>
      <c r="C6" s="15">
        <f t="shared" si="4"/>
        <v>20.644666666666662</v>
      </c>
      <c r="D6" s="29">
        <v>15</v>
      </c>
      <c r="E6" s="29">
        <v>0</v>
      </c>
      <c r="F6" s="30">
        <v>309.66999999999996</v>
      </c>
      <c r="G6" s="30">
        <v>0</v>
      </c>
      <c r="H6" s="31">
        <f t="shared" si="1"/>
        <v>0</v>
      </c>
      <c r="I6" s="31">
        <f t="shared" si="2"/>
        <v>0.29881557465950098</v>
      </c>
      <c r="J6" s="32">
        <f t="shared" si="5"/>
        <v>92.534219004807653</v>
      </c>
      <c r="K6" s="32">
        <f t="shared" si="3"/>
        <v>6.1689479336538433</v>
      </c>
      <c r="L6" s="29">
        <v>29</v>
      </c>
      <c r="M6" s="33">
        <f t="shared" si="6"/>
        <v>0.51724137931034486</v>
      </c>
      <c r="N6" s="29">
        <v>14</v>
      </c>
      <c r="O6" s="34">
        <f t="shared" ref="O6:P6" si="14">D6/7</f>
        <v>2.1428571428571428</v>
      </c>
      <c r="P6" s="34">
        <f t="shared" si="14"/>
        <v>0</v>
      </c>
      <c r="Q6" s="29">
        <f t="shared" si="8"/>
        <v>6</v>
      </c>
      <c r="R6" s="29"/>
      <c r="S6" s="35">
        <v>2.2331288343558202</v>
      </c>
      <c r="T6" s="28">
        <v>0</v>
      </c>
      <c r="U6" s="36" t="s">
        <v>33</v>
      </c>
      <c r="V6" s="37" t="s">
        <v>39</v>
      </c>
      <c r="W6" s="28">
        <v>0</v>
      </c>
      <c r="X6" s="38">
        <f t="shared" si="9"/>
        <v>0</v>
      </c>
      <c r="Y6" s="39">
        <f t="shared" si="10"/>
        <v>0</v>
      </c>
      <c r="Z6" s="28">
        <v>0</v>
      </c>
      <c r="AA6" s="28" t="s">
        <v>34</v>
      </c>
      <c r="AB6" s="40">
        <f t="shared" si="11"/>
        <v>-0.69</v>
      </c>
      <c r="AC6" s="41">
        <v>7.2656458333333326E-2</v>
      </c>
      <c r="AD6" s="39">
        <f t="shared" si="12"/>
        <v>-1.5039886874999997</v>
      </c>
      <c r="AE6" s="39">
        <v>-5.8</v>
      </c>
      <c r="AF6" s="39">
        <v>-5.4787528205128213</v>
      </c>
      <c r="AG6" s="39">
        <v>0</v>
      </c>
    </row>
    <row r="7" spans="1:33" ht="15.75" customHeight="1" x14ac:dyDescent="0.2">
      <c r="A7" s="28" t="s">
        <v>40</v>
      </c>
      <c r="B7" s="28" t="s">
        <v>47</v>
      </c>
      <c r="C7" s="15">
        <f t="shared" si="4"/>
        <v>23.653333333333332</v>
      </c>
      <c r="D7" s="29">
        <v>3</v>
      </c>
      <c r="E7" s="29">
        <v>0</v>
      </c>
      <c r="F7" s="30">
        <v>70.959999999999994</v>
      </c>
      <c r="G7" s="30">
        <v>0</v>
      </c>
      <c r="H7" s="31">
        <f t="shared" si="1"/>
        <v>0</v>
      </c>
      <c r="I7" s="31">
        <f t="shared" si="2"/>
        <v>0.36892536359866879</v>
      </c>
      <c r="J7" s="32">
        <f t="shared" si="5"/>
        <v>26.178943800961534</v>
      </c>
      <c r="K7" s="32">
        <f t="shared" si="3"/>
        <v>8.7263146003205119</v>
      </c>
      <c r="L7" s="29">
        <v>27</v>
      </c>
      <c r="M7" s="33">
        <f t="shared" si="6"/>
        <v>0.1111111111111111</v>
      </c>
      <c r="N7" s="29">
        <v>17</v>
      </c>
      <c r="O7" s="34">
        <f t="shared" ref="O7:P7" si="15">D7/7</f>
        <v>0.42857142857142855</v>
      </c>
      <c r="P7" s="34">
        <f t="shared" si="15"/>
        <v>0</v>
      </c>
      <c r="Q7" s="29">
        <f t="shared" si="8"/>
        <v>39</v>
      </c>
      <c r="R7" s="29"/>
      <c r="S7" s="35">
        <v>2.6478873239436602</v>
      </c>
      <c r="T7" s="28">
        <v>0</v>
      </c>
      <c r="U7" s="36" t="s">
        <v>33</v>
      </c>
      <c r="V7" s="37" t="s">
        <v>39</v>
      </c>
      <c r="W7" s="28">
        <v>0</v>
      </c>
      <c r="X7" s="38">
        <f t="shared" si="9"/>
        <v>0</v>
      </c>
      <c r="Y7" s="39">
        <f t="shared" si="10"/>
        <v>0</v>
      </c>
      <c r="Z7" s="28">
        <v>0</v>
      </c>
      <c r="AA7" s="28" t="s">
        <v>34</v>
      </c>
      <c r="AB7" s="40">
        <f t="shared" si="11"/>
        <v>-0.69</v>
      </c>
      <c r="AC7" s="41">
        <v>7.2656458333333326E-2</v>
      </c>
      <c r="AD7" s="39">
        <f t="shared" si="12"/>
        <v>-0.30079773749999994</v>
      </c>
      <c r="AE7" s="39">
        <v>-5.8</v>
      </c>
      <c r="AF7" s="39">
        <v>-5.4787528205128213</v>
      </c>
      <c r="AG7" s="39">
        <v>0</v>
      </c>
    </row>
    <row r="8" spans="1:33" ht="15.75" customHeight="1" x14ac:dyDescent="0.2">
      <c r="A8" s="28" t="s">
        <v>42</v>
      </c>
      <c r="B8" s="28" t="s">
        <v>47</v>
      </c>
      <c r="C8" s="15">
        <f t="shared" si="4"/>
        <v>22.99</v>
      </c>
      <c r="D8" s="29">
        <v>2</v>
      </c>
      <c r="E8" s="29">
        <v>1</v>
      </c>
      <c r="F8" s="30">
        <v>45.98</v>
      </c>
      <c r="G8" s="30">
        <v>0</v>
      </c>
      <c r="H8" s="31">
        <f t="shared" si="1"/>
        <v>0</v>
      </c>
      <c r="I8" s="31">
        <f t="shared" si="2"/>
        <v>0.35499060841670288</v>
      </c>
      <c r="J8" s="32">
        <f t="shared" si="5"/>
        <v>16.322468174999997</v>
      </c>
      <c r="K8" s="32">
        <f t="shared" si="3"/>
        <v>8.1612340874999987</v>
      </c>
      <c r="L8" s="29">
        <v>0</v>
      </c>
      <c r="M8" s="33" t="str">
        <f t="shared" si="6"/>
        <v>-</v>
      </c>
      <c r="N8" s="29">
        <v>15</v>
      </c>
      <c r="O8" s="34">
        <f t="shared" ref="O8:P8" si="16">D8/7</f>
        <v>0.2857142857142857</v>
      </c>
      <c r="P8" s="34">
        <f t="shared" si="16"/>
        <v>0.14285714285714285</v>
      </c>
      <c r="Q8" s="29">
        <f t="shared" si="8"/>
        <v>35</v>
      </c>
      <c r="R8" s="29"/>
      <c r="S8" s="35">
        <v>1.5829787234042501</v>
      </c>
      <c r="T8" s="28">
        <v>0</v>
      </c>
      <c r="U8" s="36" t="s">
        <v>33</v>
      </c>
      <c r="V8" s="37" t="s">
        <v>33</v>
      </c>
      <c r="W8" s="28">
        <v>0</v>
      </c>
      <c r="X8" s="38">
        <f t="shared" si="9"/>
        <v>0</v>
      </c>
      <c r="Y8" s="39">
        <f t="shared" si="10"/>
        <v>0</v>
      </c>
      <c r="Z8" s="28">
        <v>0</v>
      </c>
      <c r="AA8" s="28" t="s">
        <v>34</v>
      </c>
      <c r="AB8" s="40">
        <f t="shared" si="11"/>
        <v>-0.69</v>
      </c>
      <c r="AC8" s="41">
        <v>7.2656458333333326E-2</v>
      </c>
      <c r="AD8" s="39">
        <f t="shared" si="12"/>
        <v>-0.20053182499999997</v>
      </c>
      <c r="AE8" s="39">
        <v>-5.8</v>
      </c>
      <c r="AF8" s="39">
        <v>-5.48</v>
      </c>
      <c r="AG8" s="39">
        <v>0</v>
      </c>
    </row>
    <row r="9" spans="1:33" ht="15.75" customHeight="1" x14ac:dyDescent="0.2">
      <c r="A9" s="28" t="s">
        <v>44</v>
      </c>
      <c r="B9" s="28" t="s">
        <v>573</v>
      </c>
      <c r="C9" s="15">
        <f t="shared" si="4"/>
        <v>23.605000000000004</v>
      </c>
      <c r="D9" s="29">
        <v>10</v>
      </c>
      <c r="E9" s="29">
        <v>0</v>
      </c>
      <c r="F9" s="30">
        <v>236.05000000000004</v>
      </c>
      <c r="G9" s="30">
        <v>0</v>
      </c>
      <c r="H9" s="31">
        <f t="shared" si="1"/>
        <v>0</v>
      </c>
      <c r="I9" s="31">
        <f t="shared" si="2"/>
        <v>0.36226464342354686</v>
      </c>
      <c r="J9" s="32">
        <f t="shared" si="5"/>
        <v>85.512569080128245</v>
      </c>
      <c r="K9" s="32">
        <f t="shared" si="3"/>
        <v>8.5512569080128245</v>
      </c>
      <c r="L9" s="29">
        <v>32</v>
      </c>
      <c r="M9" s="33">
        <f t="shared" si="6"/>
        <v>0.3125</v>
      </c>
      <c r="N9" s="29">
        <v>4</v>
      </c>
      <c r="O9" s="34">
        <f t="shared" ref="O9:P9" si="17">D9/7</f>
        <v>1.4285714285714286</v>
      </c>
      <c r="P9" s="34">
        <f t="shared" si="17"/>
        <v>0</v>
      </c>
      <c r="Q9" s="29">
        <f t="shared" si="8"/>
        <v>2</v>
      </c>
      <c r="R9" s="29"/>
      <c r="S9" s="35">
        <v>1.87878787878787</v>
      </c>
      <c r="T9" s="28">
        <v>0</v>
      </c>
      <c r="U9" s="36" t="s">
        <v>33</v>
      </c>
      <c r="V9" s="37" t="s">
        <v>33</v>
      </c>
      <c r="W9" s="28">
        <v>0</v>
      </c>
      <c r="X9" s="38">
        <f t="shared" si="9"/>
        <v>0</v>
      </c>
      <c r="Y9" s="39">
        <f t="shared" si="10"/>
        <v>0</v>
      </c>
      <c r="Z9" s="28">
        <v>0</v>
      </c>
      <c r="AA9" s="28" t="s">
        <v>34</v>
      </c>
      <c r="AB9" s="40">
        <f t="shared" si="11"/>
        <v>-0.69</v>
      </c>
      <c r="AC9" s="41">
        <v>7.2656458333333326E-2</v>
      </c>
      <c r="AD9" s="39">
        <f t="shared" si="12"/>
        <v>-1.0026591249999999</v>
      </c>
      <c r="AE9" s="39">
        <v>-5.8</v>
      </c>
      <c r="AF9" s="39">
        <v>-5.6127271794871803</v>
      </c>
      <c r="AG9" s="39">
        <v>0</v>
      </c>
    </row>
    <row r="10" spans="1:33" ht="15.75" customHeight="1" x14ac:dyDescent="0.2">
      <c r="A10" s="28" t="s">
        <v>46</v>
      </c>
      <c r="B10" s="28" t="s">
        <v>47</v>
      </c>
      <c r="C10" s="15">
        <f t="shared" si="4"/>
        <v>24.71</v>
      </c>
      <c r="D10" s="29">
        <v>2</v>
      </c>
      <c r="E10" s="29">
        <v>0</v>
      </c>
      <c r="F10" s="30">
        <v>49.42</v>
      </c>
      <c r="G10" s="30">
        <v>0</v>
      </c>
      <c r="H10" s="31">
        <f t="shared" si="1"/>
        <v>0</v>
      </c>
      <c r="I10" s="31">
        <f t="shared" si="2"/>
        <v>0.38407555273220634</v>
      </c>
      <c r="J10" s="32">
        <f t="shared" si="5"/>
        <v>18.981013816025637</v>
      </c>
      <c r="K10" s="32">
        <f t="shared" si="3"/>
        <v>9.4905069080128186</v>
      </c>
      <c r="L10" s="29">
        <v>25</v>
      </c>
      <c r="M10" s="33">
        <f t="shared" si="6"/>
        <v>0.08</v>
      </c>
      <c r="N10" s="29">
        <v>2</v>
      </c>
      <c r="O10" s="34">
        <f t="shared" ref="O10:P10" si="18">D10/7</f>
        <v>0.2857142857142857</v>
      </c>
      <c r="P10" s="34">
        <f t="shared" si="18"/>
        <v>0</v>
      </c>
      <c r="Q10" s="29">
        <f t="shared" si="8"/>
        <v>7</v>
      </c>
      <c r="R10" s="29"/>
      <c r="S10" s="35">
        <v>2.0598802395209499</v>
      </c>
      <c r="T10" s="28">
        <v>0</v>
      </c>
      <c r="U10" s="36" t="s">
        <v>33</v>
      </c>
      <c r="V10" s="37" t="s">
        <v>33</v>
      </c>
      <c r="W10" s="28">
        <v>0</v>
      </c>
      <c r="X10" s="38">
        <f t="shared" si="9"/>
        <v>0</v>
      </c>
      <c r="Y10" s="39">
        <f t="shared" si="10"/>
        <v>0</v>
      </c>
      <c r="Z10" s="28">
        <v>0</v>
      </c>
      <c r="AA10" s="28" t="s">
        <v>34</v>
      </c>
      <c r="AB10" s="40">
        <f t="shared" si="11"/>
        <v>-0.69</v>
      </c>
      <c r="AC10" s="41">
        <v>7.2656458333333326E-2</v>
      </c>
      <c r="AD10" s="39">
        <f t="shared" si="12"/>
        <v>-0.20053182499999997</v>
      </c>
      <c r="AE10" s="39">
        <v>-5.8</v>
      </c>
      <c r="AF10" s="39">
        <v>-5.6127271794871803</v>
      </c>
      <c r="AG10" s="39">
        <v>0</v>
      </c>
    </row>
    <row r="11" spans="1:33" ht="15.75" customHeight="1" x14ac:dyDescent="0.2">
      <c r="A11" s="28" t="s">
        <v>48</v>
      </c>
      <c r="B11" s="28" t="s">
        <v>52</v>
      </c>
      <c r="C11" s="15">
        <f t="shared" si="4"/>
        <v>27.664999999999999</v>
      </c>
      <c r="D11" s="29">
        <v>2</v>
      </c>
      <c r="E11" s="29">
        <v>0</v>
      </c>
      <c r="F11" s="30">
        <v>55.33</v>
      </c>
      <c r="G11" s="30">
        <v>0</v>
      </c>
      <c r="H11" s="31">
        <f t="shared" si="1"/>
        <v>0</v>
      </c>
      <c r="I11" s="31">
        <f t="shared" si="2"/>
        <v>0.43384264984683962</v>
      </c>
      <c r="J11" s="32">
        <f t="shared" si="5"/>
        <v>24.004513816025636</v>
      </c>
      <c r="K11" s="32">
        <f t="shared" si="3"/>
        <v>12.002256908012818</v>
      </c>
      <c r="L11" s="29">
        <v>14</v>
      </c>
      <c r="M11" s="33">
        <f t="shared" si="6"/>
        <v>0.14285714285714285</v>
      </c>
      <c r="N11" s="29">
        <v>1</v>
      </c>
      <c r="O11" s="34">
        <f t="shared" ref="O11:P11" si="19">D11/7</f>
        <v>0.2857142857142857</v>
      </c>
      <c r="P11" s="34">
        <f t="shared" si="19"/>
        <v>0</v>
      </c>
      <c r="Q11" s="29">
        <f t="shared" si="8"/>
        <v>3</v>
      </c>
      <c r="R11" s="29"/>
      <c r="S11" s="35" t="e">
        <v>#N/A</v>
      </c>
      <c r="T11" s="28">
        <v>0</v>
      </c>
      <c r="U11" s="36" t="s">
        <v>33</v>
      </c>
      <c r="V11" s="37" t="s">
        <v>33</v>
      </c>
      <c r="W11" s="28">
        <v>0</v>
      </c>
      <c r="X11" s="38">
        <f t="shared" si="9"/>
        <v>0</v>
      </c>
      <c r="Y11" s="39">
        <f t="shared" si="10"/>
        <v>0</v>
      </c>
      <c r="Z11" s="28">
        <v>0</v>
      </c>
      <c r="AA11" s="28" t="s">
        <v>34</v>
      </c>
      <c r="AB11" s="40">
        <f t="shared" si="11"/>
        <v>-0.69</v>
      </c>
      <c r="AC11" s="41">
        <v>7.2656458333333326E-2</v>
      </c>
      <c r="AD11" s="39">
        <f t="shared" si="12"/>
        <v>-0.20053182499999997</v>
      </c>
      <c r="AE11" s="39">
        <v>-5.8</v>
      </c>
      <c r="AF11" s="39">
        <v>-5.6127271794871803</v>
      </c>
      <c r="AG11" s="39">
        <v>0</v>
      </c>
    </row>
    <row r="12" spans="1:33" ht="15.75" customHeight="1" x14ac:dyDescent="0.2">
      <c r="A12" s="28" t="s">
        <v>49</v>
      </c>
      <c r="B12" s="28"/>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0</v>
      </c>
      <c r="O12" s="34">
        <f t="shared" ref="O12:P12" si="20">D12/7</f>
        <v>0</v>
      </c>
      <c r="P12" s="34">
        <f t="shared" si="20"/>
        <v>0</v>
      </c>
      <c r="Q12" s="29" t="e">
        <f t="shared" si="8"/>
        <v>#DIV/0!</v>
      </c>
      <c r="R12" s="29"/>
      <c r="S12" s="35" t="e">
        <v>#N/A</v>
      </c>
      <c r="T12" s="28">
        <v>0</v>
      </c>
      <c r="U12" s="36" t="s">
        <v>33</v>
      </c>
      <c r="V12" s="37" t="s">
        <v>33</v>
      </c>
      <c r="W12" s="28">
        <v>0</v>
      </c>
      <c r="X12" s="38">
        <f t="shared" si="9"/>
        <v>0</v>
      </c>
      <c r="Y12" s="39">
        <f t="shared" si="10"/>
        <v>0</v>
      </c>
      <c r="Z12" s="28">
        <v>0</v>
      </c>
      <c r="AA12" s="28" t="e">
        <v>#N/A</v>
      </c>
      <c r="AB12" s="40" t="e">
        <f t="shared" si="11"/>
        <v>#N/A</v>
      </c>
      <c r="AC12" s="41" t="e">
        <v>#N/A</v>
      </c>
      <c r="AD12" s="39">
        <f t="shared" si="12"/>
        <v>0</v>
      </c>
      <c r="AE12" s="39">
        <v>0</v>
      </c>
      <c r="AF12" s="39">
        <v>-5.6127271794871803</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0</v>
      </c>
      <c r="O13" s="34">
        <f t="shared" ref="O13:P13" si="21">D13/7</f>
        <v>0</v>
      </c>
      <c r="P13" s="34">
        <f t="shared" si="21"/>
        <v>0</v>
      </c>
      <c r="Q13" s="29" t="e">
        <f t="shared" si="8"/>
        <v>#DIV/0!</v>
      </c>
      <c r="R13" s="29"/>
      <c r="S13" s="35" t="e">
        <v>#N/A</v>
      </c>
      <c r="T13" s="28">
        <v>0</v>
      </c>
      <c r="U13" s="36" t="s">
        <v>33</v>
      </c>
      <c r="V13" s="37" t="s">
        <v>33</v>
      </c>
      <c r="W13" s="28">
        <v>0</v>
      </c>
      <c r="X13" s="38">
        <f t="shared" si="9"/>
        <v>0</v>
      </c>
      <c r="Y13" s="39">
        <f t="shared" si="10"/>
        <v>0</v>
      </c>
      <c r="Z13" s="28">
        <v>0</v>
      </c>
      <c r="AA13" s="28" t="e">
        <v>#N/A</v>
      </c>
      <c r="AB13" s="40" t="e">
        <f t="shared" si="11"/>
        <v>#N/A</v>
      </c>
      <c r="AC13" s="41" t="e">
        <v>#N/A</v>
      </c>
      <c r="AD13" s="39">
        <f t="shared" si="12"/>
        <v>0</v>
      </c>
      <c r="AE13" s="39">
        <v>0</v>
      </c>
      <c r="AF13" s="39">
        <v>-5.6832399999999996</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1</v>
      </c>
      <c r="O14" s="34">
        <f t="shared" ref="O14:P14" si="22">D14/7</f>
        <v>0</v>
      </c>
      <c r="P14" s="34">
        <f t="shared" si="22"/>
        <v>0</v>
      </c>
      <c r="Q14" s="29" t="e">
        <f t="shared" si="8"/>
        <v>#DIV/0!</v>
      </c>
      <c r="R14" s="29"/>
      <c r="S14" s="35">
        <v>2.7692307692307598</v>
      </c>
      <c r="T14" s="28">
        <v>0</v>
      </c>
      <c r="U14" s="36" t="s">
        <v>33</v>
      </c>
      <c r="V14" s="37" t="s">
        <v>33</v>
      </c>
      <c r="W14" s="28">
        <v>0</v>
      </c>
      <c r="X14" s="38">
        <f t="shared" si="9"/>
        <v>0</v>
      </c>
      <c r="Y14" s="39">
        <f t="shared" si="10"/>
        <v>0</v>
      </c>
      <c r="Z14" s="28">
        <v>0</v>
      </c>
      <c r="AA14" s="28" t="e">
        <v>#N/A</v>
      </c>
      <c r="AB14" s="40" t="e">
        <f t="shared" si="11"/>
        <v>#N/A</v>
      </c>
      <c r="AC14" s="41" t="e">
        <v>#N/A</v>
      </c>
      <c r="AD14" s="39">
        <f t="shared" si="12"/>
        <v>0</v>
      </c>
      <c r="AE14" s="39">
        <v>0</v>
      </c>
      <c r="AF14" s="39">
        <v>-5.6832399999999996</v>
      </c>
      <c r="AG14" s="39">
        <v>0</v>
      </c>
    </row>
    <row r="15" spans="1:33" ht="15.75" customHeight="1" x14ac:dyDescent="0.2">
      <c r="A15" s="28" t="s">
        <v>53</v>
      </c>
      <c r="B15" s="28"/>
      <c r="C15" s="15">
        <f t="shared" si="4"/>
        <v>24.99</v>
      </c>
      <c r="D15" s="29">
        <v>1</v>
      </c>
      <c r="E15" s="29">
        <v>0</v>
      </c>
      <c r="F15" s="32">
        <v>24.99</v>
      </c>
      <c r="G15" s="30">
        <v>0</v>
      </c>
      <c r="H15" s="31">
        <f t="shared" si="1"/>
        <v>0</v>
      </c>
      <c r="I15" s="31">
        <f t="shared" si="2"/>
        <v>0.38647435324129659</v>
      </c>
      <c r="J15" s="32">
        <f t="shared" si="5"/>
        <v>9.6579940875000005</v>
      </c>
      <c r="K15" s="32">
        <f t="shared" si="3"/>
        <v>9.6579940875000005</v>
      </c>
      <c r="L15" s="29">
        <v>0</v>
      </c>
      <c r="M15" s="33" t="str">
        <f t="shared" si="6"/>
        <v>-</v>
      </c>
      <c r="N15" s="29">
        <v>0</v>
      </c>
      <c r="O15" s="34">
        <f t="shared" ref="O15:P15" si="23">D15/7</f>
        <v>0.14285714285714285</v>
      </c>
      <c r="P15" s="34">
        <f t="shared" si="23"/>
        <v>0</v>
      </c>
      <c r="Q15" s="29">
        <f t="shared" si="8"/>
        <v>0</v>
      </c>
      <c r="R15" s="29"/>
      <c r="S15" s="35">
        <v>2.87323943661971</v>
      </c>
      <c r="T15" s="28">
        <v>208</v>
      </c>
      <c r="U15" s="36" t="s">
        <v>33</v>
      </c>
      <c r="V15" s="37" t="s">
        <v>33</v>
      </c>
      <c r="W15" s="28">
        <v>0</v>
      </c>
      <c r="X15" s="38">
        <f t="shared" si="9"/>
        <v>0</v>
      </c>
      <c r="Y15" s="39">
        <f t="shared" si="10"/>
        <v>0</v>
      </c>
      <c r="Z15" s="28">
        <v>0</v>
      </c>
      <c r="AA15" s="28" t="s">
        <v>34</v>
      </c>
      <c r="AB15" s="40">
        <f t="shared" si="11"/>
        <v>-0.69</v>
      </c>
      <c r="AC15" s="41">
        <v>7.2656458333333326E-2</v>
      </c>
      <c r="AD15" s="39">
        <f t="shared" si="12"/>
        <v>-0.10026591249999998</v>
      </c>
      <c r="AE15" s="39">
        <v>-5.8</v>
      </c>
      <c r="AF15" s="39">
        <v>-5.6832399999999996</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0</v>
      </c>
      <c r="O16" s="34">
        <f t="shared" ref="O16:P16" si="24">D16/7</f>
        <v>0</v>
      </c>
      <c r="P16" s="34">
        <f t="shared" si="24"/>
        <v>0</v>
      </c>
      <c r="Q16" s="29" t="e">
        <f t="shared" si="8"/>
        <v>#DIV/0!</v>
      </c>
      <c r="R16" s="29"/>
      <c r="S16" s="35" t="e">
        <v>#N/A</v>
      </c>
      <c r="T16" s="28">
        <v>208</v>
      </c>
      <c r="U16" s="36" t="s">
        <v>33</v>
      </c>
      <c r="V16" s="37" t="s">
        <v>33</v>
      </c>
      <c r="W16" s="28">
        <v>0</v>
      </c>
      <c r="X16" s="38">
        <f t="shared" si="9"/>
        <v>0</v>
      </c>
      <c r="Y16" s="39">
        <f t="shared" si="10"/>
        <v>0</v>
      </c>
      <c r="Z16" s="28">
        <v>0</v>
      </c>
      <c r="AA16" s="28" t="s">
        <v>34</v>
      </c>
      <c r="AB16" s="40">
        <f t="shared" si="11"/>
        <v>-0.69</v>
      </c>
      <c r="AC16" s="41">
        <v>7.2656458333333326E-2</v>
      </c>
      <c r="AD16" s="39">
        <f t="shared" si="12"/>
        <v>0</v>
      </c>
      <c r="AE16" s="39">
        <v>-5.8</v>
      </c>
      <c r="AF16" s="39">
        <v>-5.6832399999999996</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0</v>
      </c>
      <c r="O17" s="34">
        <f t="shared" ref="O17:P17" si="25">D17/7</f>
        <v>0</v>
      </c>
      <c r="P17" s="34">
        <f t="shared" si="25"/>
        <v>0</v>
      </c>
      <c r="Q17" s="29" t="e">
        <f t="shared" si="8"/>
        <v>#DIV/0!</v>
      </c>
      <c r="R17" s="29"/>
      <c r="S17" s="35" t="e">
        <v>#N/A</v>
      </c>
      <c r="T17" s="28">
        <v>208</v>
      </c>
      <c r="U17" s="36" t="s">
        <v>33</v>
      </c>
      <c r="V17" s="37" t="s">
        <v>33</v>
      </c>
      <c r="W17" s="28">
        <v>0</v>
      </c>
      <c r="X17" s="38">
        <f t="shared" si="9"/>
        <v>0</v>
      </c>
      <c r="Y17" s="39">
        <f t="shared" si="10"/>
        <v>0</v>
      </c>
      <c r="Z17" s="28">
        <v>0</v>
      </c>
      <c r="AA17" s="28" t="s">
        <v>34</v>
      </c>
      <c r="AB17" s="40">
        <f t="shared" si="11"/>
        <v>-0.69</v>
      </c>
      <c r="AC17" s="41">
        <v>7.2656458333333326E-2</v>
      </c>
      <c r="AD17" s="39">
        <f t="shared" si="12"/>
        <v>0</v>
      </c>
      <c r="AE17" s="39">
        <v>-5.8</v>
      </c>
      <c r="AF17" s="39">
        <v>-5.5656400000000001</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0</v>
      </c>
      <c r="O18" s="34">
        <f t="shared" ref="O18:P18" si="26">D18/7</f>
        <v>0</v>
      </c>
      <c r="P18" s="34">
        <f t="shared" si="26"/>
        <v>0</v>
      </c>
      <c r="Q18" s="29" t="e">
        <f t="shared" si="8"/>
        <v>#DIV/0!</v>
      </c>
      <c r="R18" s="29"/>
      <c r="S18" s="35" t="e">
        <v>#N/A</v>
      </c>
      <c r="T18" s="28">
        <v>208</v>
      </c>
      <c r="U18" s="36" t="s">
        <v>33</v>
      </c>
      <c r="V18" s="37" t="s">
        <v>33</v>
      </c>
      <c r="W18" s="28">
        <v>0</v>
      </c>
      <c r="X18" s="38">
        <f t="shared" si="9"/>
        <v>0</v>
      </c>
      <c r="Y18" s="39">
        <f t="shared" si="10"/>
        <v>0</v>
      </c>
      <c r="Z18" s="28">
        <v>0</v>
      </c>
      <c r="AA18" s="28" t="s">
        <v>34</v>
      </c>
      <c r="AB18" s="40">
        <f t="shared" si="11"/>
        <v>-0.69</v>
      </c>
      <c r="AC18" s="41">
        <v>7.2656458333333326E-2</v>
      </c>
      <c r="AD18" s="39">
        <f t="shared" si="12"/>
        <v>0</v>
      </c>
      <c r="AE18" s="39">
        <v>-5.8</v>
      </c>
      <c r="AF18" s="39">
        <v>-5.5656400000000001</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t="e">
        <v>#N/A</v>
      </c>
      <c r="T19" s="28">
        <v>208</v>
      </c>
      <c r="U19" s="36" t="s">
        <v>33</v>
      </c>
      <c r="V19" s="37" t="s">
        <v>33</v>
      </c>
      <c r="W19" s="28">
        <v>0</v>
      </c>
      <c r="X19" s="38">
        <f t="shared" si="9"/>
        <v>0</v>
      </c>
      <c r="Y19" s="39">
        <f t="shared" si="10"/>
        <v>0</v>
      </c>
      <c r="Z19" s="28">
        <v>0</v>
      </c>
      <c r="AA19" s="28" t="s">
        <v>34</v>
      </c>
      <c r="AB19" s="40">
        <f t="shared" si="11"/>
        <v>-0.69</v>
      </c>
      <c r="AC19" s="41">
        <v>7.2656458333333326E-2</v>
      </c>
      <c r="AD19" s="39">
        <f t="shared" si="12"/>
        <v>0</v>
      </c>
      <c r="AE19" s="39">
        <v>-5.8</v>
      </c>
      <c r="AF19" s="39">
        <v>-5.8164220000000002</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208</v>
      </c>
      <c r="U20" s="36" t="s">
        <v>33</v>
      </c>
      <c r="V20" s="37" t="s">
        <v>33</v>
      </c>
      <c r="W20" s="28">
        <v>0</v>
      </c>
      <c r="X20" s="38">
        <f t="shared" si="9"/>
        <v>0</v>
      </c>
      <c r="Y20" s="39">
        <f t="shared" si="10"/>
        <v>0</v>
      </c>
      <c r="Z20" s="28">
        <v>0</v>
      </c>
      <c r="AA20" s="28" t="s">
        <v>34</v>
      </c>
      <c r="AB20" s="40">
        <f t="shared" si="11"/>
        <v>-0.69</v>
      </c>
      <c r="AC20" s="41">
        <v>7.2656458333333326E-2</v>
      </c>
      <c r="AD20" s="39">
        <f t="shared" si="12"/>
        <v>0</v>
      </c>
      <c r="AE20" s="39">
        <v>-5.8</v>
      </c>
      <c r="AF20" s="39">
        <v>-5.8164220000000002</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208</v>
      </c>
      <c r="U21" s="36">
        <v>80</v>
      </c>
      <c r="V21" s="37" t="s">
        <v>574</v>
      </c>
      <c r="W21" s="28">
        <v>0</v>
      </c>
      <c r="X21" s="38">
        <f t="shared" si="9"/>
        <v>0</v>
      </c>
      <c r="Y21" s="39">
        <f t="shared" si="10"/>
        <v>0</v>
      </c>
      <c r="Z21" s="28">
        <v>0</v>
      </c>
      <c r="AA21" s="28" t="s">
        <v>34</v>
      </c>
      <c r="AB21" s="40">
        <f t="shared" si="11"/>
        <v>-0.69</v>
      </c>
      <c r="AC21" s="41">
        <v>7.2656458333333326E-2</v>
      </c>
      <c r="AD21" s="39">
        <f t="shared" si="12"/>
        <v>0</v>
      </c>
      <c r="AE21" s="39">
        <v>-5.8</v>
      </c>
      <c r="AF21" s="39">
        <v>-5.8164220000000002</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208</v>
      </c>
      <c r="U22" s="36">
        <v>80</v>
      </c>
      <c r="V22" s="37" t="s">
        <v>574</v>
      </c>
      <c r="W22" s="28">
        <v>0</v>
      </c>
      <c r="X22" s="38">
        <f t="shared" si="9"/>
        <v>0</v>
      </c>
      <c r="Y22" s="39">
        <f t="shared" si="10"/>
        <v>0</v>
      </c>
      <c r="Z22" s="28">
        <v>0</v>
      </c>
      <c r="AA22" s="28" t="s">
        <v>34</v>
      </c>
      <c r="AB22" s="40">
        <f t="shared" si="11"/>
        <v>-0.69</v>
      </c>
      <c r="AC22" s="41">
        <v>7.2656458333333326E-2</v>
      </c>
      <c r="AD22" s="39">
        <f t="shared" si="12"/>
        <v>0</v>
      </c>
      <c r="AE22" s="39">
        <v>-5.8</v>
      </c>
      <c r="AF22" s="39">
        <v>-5.8164220000000002</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208</v>
      </c>
      <c r="U23" s="36" t="s">
        <v>33</v>
      </c>
      <c r="V23" s="37" t="s">
        <v>575</v>
      </c>
      <c r="W23" s="28">
        <v>0</v>
      </c>
      <c r="X23" s="38">
        <f t="shared" si="9"/>
        <v>0</v>
      </c>
      <c r="Y23" s="39">
        <f t="shared" si="10"/>
        <v>0</v>
      </c>
      <c r="Z23" s="28">
        <v>0</v>
      </c>
      <c r="AA23" s="28" t="s">
        <v>34</v>
      </c>
      <c r="AB23" s="40">
        <f t="shared" si="11"/>
        <v>-0.69</v>
      </c>
      <c r="AC23" s="41">
        <v>7.2656458333333326E-2</v>
      </c>
      <c r="AD23" s="39">
        <f t="shared" si="12"/>
        <v>0</v>
      </c>
      <c r="AE23" s="39">
        <v>-5.8</v>
      </c>
      <c r="AF23" s="39">
        <v>-5.8164220000000002</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208</v>
      </c>
      <c r="U24" s="36" t="s">
        <v>33</v>
      </c>
      <c r="V24" s="37" t="s">
        <v>575</v>
      </c>
      <c r="W24" s="28">
        <v>0</v>
      </c>
      <c r="X24" s="38">
        <f t="shared" si="9"/>
        <v>0</v>
      </c>
      <c r="Y24" s="39">
        <f t="shared" si="10"/>
        <v>0</v>
      </c>
      <c r="Z24" s="28">
        <v>0</v>
      </c>
      <c r="AA24" s="28" t="s">
        <v>34</v>
      </c>
      <c r="AB24" s="40">
        <f t="shared" si="11"/>
        <v>-0.69</v>
      </c>
      <c r="AC24" s="41">
        <v>7.2656458333333326E-2</v>
      </c>
      <c r="AD24" s="39">
        <f t="shared" si="12"/>
        <v>0</v>
      </c>
      <c r="AE24" s="39">
        <v>-5.8</v>
      </c>
      <c r="AF24" s="39">
        <v>-5.8164220000000002</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208</v>
      </c>
      <c r="U25" s="36">
        <v>80</v>
      </c>
      <c r="V25" s="37" t="s">
        <v>576</v>
      </c>
      <c r="W25" s="14">
        <v>0</v>
      </c>
      <c r="X25" s="38">
        <f t="shared" si="9"/>
        <v>0</v>
      </c>
      <c r="Y25" s="39">
        <f t="shared" si="10"/>
        <v>0</v>
      </c>
      <c r="Z25" s="14">
        <v>0</v>
      </c>
      <c r="AA25" s="28" t="s">
        <v>34</v>
      </c>
      <c r="AB25" s="40">
        <f t="shared" si="11"/>
        <v>-0.69</v>
      </c>
      <c r="AC25" s="41">
        <v>7.2656458333333326E-2</v>
      </c>
      <c r="AD25" s="39">
        <f t="shared" si="12"/>
        <v>0</v>
      </c>
      <c r="AE25" s="39">
        <v>-5.8</v>
      </c>
      <c r="AF25" s="39">
        <v>-5.82</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432</v>
      </c>
      <c r="U26" s="36">
        <v>80</v>
      </c>
      <c r="V26" s="37" t="s">
        <v>576</v>
      </c>
      <c r="W26" s="14">
        <v>0</v>
      </c>
      <c r="X26" s="38">
        <f t="shared" si="9"/>
        <v>0</v>
      </c>
      <c r="Y26" s="39">
        <f t="shared" si="10"/>
        <v>0</v>
      </c>
      <c r="Z26" s="14">
        <v>0</v>
      </c>
      <c r="AA26" s="28" t="s">
        <v>34</v>
      </c>
      <c r="AB26" s="40">
        <f t="shared" si="11"/>
        <v>-0.69</v>
      </c>
      <c r="AC26" s="41">
        <v>7.2656458333333326E-2</v>
      </c>
      <c r="AD26" s="39">
        <f t="shared" si="12"/>
        <v>0</v>
      </c>
      <c r="AE26" s="25">
        <v>-5.8</v>
      </c>
      <c r="AF26" s="25">
        <v>-5.8439220000000001</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432</v>
      </c>
      <c r="U27" s="36">
        <v>80</v>
      </c>
      <c r="V27" s="37" t="s">
        <v>576</v>
      </c>
      <c r="W27" s="14">
        <v>0</v>
      </c>
      <c r="X27" s="38">
        <f t="shared" si="9"/>
        <v>0</v>
      </c>
      <c r="Y27" s="39">
        <f t="shared" si="10"/>
        <v>0</v>
      </c>
      <c r="Z27" s="14">
        <v>0</v>
      </c>
      <c r="AA27" s="28" t="s">
        <v>34</v>
      </c>
      <c r="AB27" s="40">
        <f t="shared" si="11"/>
        <v>-0.69</v>
      </c>
      <c r="AC27" s="41">
        <v>7.2656458333333326E-2</v>
      </c>
      <c r="AD27" s="39">
        <f t="shared" si="12"/>
        <v>0</v>
      </c>
      <c r="AE27" s="25">
        <v>-5.8</v>
      </c>
      <c r="AF27" s="25">
        <v>-5.5656400000000001</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432</v>
      </c>
      <c r="U28" s="36">
        <v>80</v>
      </c>
      <c r="V28" s="37" t="s">
        <v>577</v>
      </c>
      <c r="W28" s="14">
        <v>0</v>
      </c>
      <c r="X28" s="38">
        <f t="shared" si="9"/>
        <v>0</v>
      </c>
      <c r="Y28" s="39">
        <f t="shared" si="10"/>
        <v>0</v>
      </c>
      <c r="Z28" s="14">
        <v>0</v>
      </c>
      <c r="AA28" s="28" t="s">
        <v>34</v>
      </c>
      <c r="AB28" s="40">
        <f t="shared" si="11"/>
        <v>-0.69</v>
      </c>
      <c r="AC28" s="41">
        <v>7.2656458333333326E-2</v>
      </c>
      <c r="AD28" s="39">
        <f t="shared" si="12"/>
        <v>0</v>
      </c>
      <c r="AE28" s="25">
        <v>-5.8</v>
      </c>
      <c r="AF28" s="25">
        <v>-5.5656400000000001</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496</v>
      </c>
      <c r="U29" s="36">
        <v>80</v>
      </c>
      <c r="V29" s="37" t="s">
        <v>578</v>
      </c>
      <c r="W29" s="14">
        <v>0</v>
      </c>
      <c r="X29" s="38">
        <f t="shared" si="9"/>
        <v>0</v>
      </c>
      <c r="Y29" s="39">
        <f t="shared" si="10"/>
        <v>0</v>
      </c>
      <c r="Z29" s="14">
        <v>0</v>
      </c>
      <c r="AA29" s="28" t="s">
        <v>34</v>
      </c>
      <c r="AB29" s="40">
        <f t="shared" si="11"/>
        <v>-0.69</v>
      </c>
      <c r="AC29" s="41">
        <v>7.2656458333333326E-2</v>
      </c>
      <c r="AD29" s="39">
        <f t="shared" si="12"/>
        <v>0</v>
      </c>
      <c r="AE29" s="39">
        <v>-5.8</v>
      </c>
      <c r="AF29" s="25">
        <v>-5.5656400000000001</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416</v>
      </c>
      <c r="U30" s="36">
        <v>64</v>
      </c>
      <c r="V30" s="37" t="s">
        <v>579</v>
      </c>
      <c r="W30" s="14">
        <v>0</v>
      </c>
      <c r="X30" s="38">
        <f t="shared" si="9"/>
        <v>0</v>
      </c>
      <c r="Y30" s="39">
        <f t="shared" si="10"/>
        <v>0</v>
      </c>
      <c r="Z30" s="14">
        <v>0</v>
      </c>
      <c r="AA30" s="28" t="s">
        <v>34</v>
      </c>
      <c r="AB30" s="40">
        <f t="shared" si="11"/>
        <v>-0.69</v>
      </c>
      <c r="AC30" s="41">
        <v>7.2656458333333326E-2</v>
      </c>
      <c r="AD30" s="39">
        <f t="shared" si="12"/>
        <v>0</v>
      </c>
      <c r="AE30" s="25">
        <v>-5.8</v>
      </c>
      <c r="AF30" s="25">
        <v>-5.2030114598437498</v>
      </c>
      <c r="AG30" s="25">
        <v>0</v>
      </c>
    </row>
    <row r="31" spans="1:33" ht="15.75" customHeight="1" x14ac:dyDescent="0.2">
      <c r="A31" s="14" t="s">
        <v>75</v>
      </c>
      <c r="B31" s="14"/>
      <c r="C31" s="15" t="str">
        <f t="shared" si="4"/>
        <v xml:space="preserve"> - </v>
      </c>
      <c r="D31" s="16">
        <v>0</v>
      </c>
      <c r="E31" s="16">
        <v>0</v>
      </c>
      <c r="F31" s="17">
        <v>0</v>
      </c>
      <c r="G31" s="42">
        <v>-0.03</v>
      </c>
      <c r="H31" s="31" t="e">
        <f t="shared" si="1"/>
        <v>#DIV/0!</v>
      </c>
      <c r="I31" s="31" t="e">
        <f t="shared" si="2"/>
        <v>#DIV/0!</v>
      </c>
      <c r="J31" s="32">
        <f t="shared" si="5"/>
        <v>-0.03</v>
      </c>
      <c r="K31" s="32" t="e">
        <f t="shared" si="3"/>
        <v>#DIV/0!</v>
      </c>
      <c r="L31" s="16">
        <v>0</v>
      </c>
      <c r="M31" s="33" t="str">
        <f t="shared" si="6"/>
        <v>-</v>
      </c>
      <c r="N31" s="16">
        <v>80</v>
      </c>
      <c r="O31" s="34">
        <f t="shared" ref="O31:P32" si="39">D31/7</f>
        <v>0</v>
      </c>
      <c r="P31" s="34">
        <f t="shared" si="39"/>
        <v>0</v>
      </c>
      <c r="Q31" s="29" t="e">
        <f t="shared" si="8"/>
        <v>#DIV/0!</v>
      </c>
      <c r="R31" s="29"/>
      <c r="S31" s="21">
        <v>0</v>
      </c>
      <c r="T31" s="14">
        <v>64</v>
      </c>
      <c r="U31" s="22">
        <v>64</v>
      </c>
      <c r="V31" s="1" t="s">
        <v>951</v>
      </c>
      <c r="W31" s="14">
        <v>0</v>
      </c>
      <c r="X31" s="38">
        <f t="shared" si="9"/>
        <v>0</v>
      </c>
      <c r="Y31" s="39">
        <f t="shared" si="10"/>
        <v>0</v>
      </c>
      <c r="Z31" s="14">
        <v>0</v>
      </c>
      <c r="AA31" s="14" t="s">
        <v>34</v>
      </c>
      <c r="AB31" s="40">
        <f t="shared" si="11"/>
        <v>-0.69</v>
      </c>
      <c r="AC31" s="27">
        <v>7.2656458333333326E-2</v>
      </c>
      <c r="AD31" s="39">
        <f t="shared" si="12"/>
        <v>0</v>
      </c>
      <c r="AE31" s="43">
        <v>-5.8</v>
      </c>
      <c r="AF31" s="43">
        <v>-5.2030114598437507</v>
      </c>
      <c r="AG31" s="25">
        <v>0</v>
      </c>
    </row>
    <row r="32" spans="1:33" s="51" customFormat="1" ht="15.75" customHeight="1" x14ac:dyDescent="0.2">
      <c r="A32" s="51" t="s">
        <v>934</v>
      </c>
      <c r="C32" s="15" t="str">
        <f t="shared" si="4"/>
        <v xml:space="preserve"> - </v>
      </c>
      <c r="D32" s="52">
        <v>0</v>
      </c>
      <c r="E32" s="52">
        <v>0</v>
      </c>
      <c r="F32" s="53">
        <v>0</v>
      </c>
      <c r="G32" s="53">
        <v>-0.02</v>
      </c>
      <c r="H32" s="31" t="e">
        <f t="shared" si="1"/>
        <v>#DIV/0!</v>
      </c>
      <c r="I32" s="31" t="e">
        <f t="shared" si="2"/>
        <v>#DIV/0!</v>
      </c>
      <c r="J32" s="32">
        <f t="shared" si="5"/>
        <v>-0.02</v>
      </c>
      <c r="K32" s="32" t="e">
        <f t="shared" si="3"/>
        <v>#DIV/0!</v>
      </c>
      <c r="L32" s="52">
        <v>0</v>
      </c>
      <c r="M32" s="33" t="str">
        <f t="shared" si="6"/>
        <v>-</v>
      </c>
      <c r="N32" s="52">
        <v>80</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7.2656458333333326E-2</v>
      </c>
      <c r="AD32" s="39">
        <f t="shared" si="12"/>
        <v>0</v>
      </c>
      <c r="AE32" s="58">
        <v>-5.68</v>
      </c>
      <c r="AF32" s="58">
        <v>-5.2030114598437498</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C197" s="45"/>
      <c r="D197" s="45"/>
      <c r="E197" s="45"/>
      <c r="F197" s="45"/>
      <c r="G197" s="45"/>
      <c r="H197" s="45"/>
      <c r="I197" s="45"/>
      <c r="J197" s="45"/>
      <c r="K197" s="45"/>
      <c r="L197" s="45"/>
      <c r="M197" s="45"/>
      <c r="N197" s="45"/>
      <c r="O197" s="45"/>
      <c r="P197" s="45"/>
      <c r="Q197" s="45"/>
      <c r="R197" s="45"/>
      <c r="S197" s="21"/>
    </row>
    <row r="198" spans="1:33" ht="15.75" customHeight="1" x14ac:dyDescent="0.2">
      <c r="C198" s="45"/>
      <c r="D198" s="45"/>
      <c r="E198" s="45"/>
      <c r="F198" s="45"/>
      <c r="G198" s="45"/>
      <c r="H198" s="45"/>
      <c r="I198" s="45"/>
      <c r="J198" s="45"/>
      <c r="K198" s="45"/>
      <c r="L198" s="45"/>
      <c r="M198" s="45"/>
      <c r="N198" s="45"/>
      <c r="O198" s="45"/>
      <c r="P198" s="45"/>
      <c r="Q198" s="45"/>
      <c r="R198" s="45"/>
      <c r="S198" s="21"/>
    </row>
    <row r="199" spans="1:33" ht="15.75" customHeight="1" x14ac:dyDescent="0.2">
      <c r="C199" s="45"/>
      <c r="D199" s="45"/>
      <c r="E199" s="45"/>
      <c r="F199" s="45"/>
      <c r="G199" s="45"/>
      <c r="H199" s="45"/>
      <c r="I199" s="45"/>
      <c r="J199" s="45"/>
      <c r="K199" s="45"/>
      <c r="L199" s="45"/>
      <c r="M199" s="45"/>
      <c r="N199" s="45"/>
      <c r="O199" s="45"/>
      <c r="P199" s="45"/>
      <c r="Q199" s="45"/>
      <c r="R199" s="45"/>
      <c r="S199" s="21"/>
    </row>
    <row r="200" spans="1:33" ht="15.75" customHeight="1" x14ac:dyDescent="0.2">
      <c r="C200" s="45"/>
      <c r="D200" s="45"/>
      <c r="E200" s="45"/>
      <c r="F200" s="45"/>
      <c r="G200" s="45"/>
      <c r="H200" s="45"/>
      <c r="I200" s="45"/>
      <c r="J200" s="45"/>
      <c r="K200" s="45"/>
      <c r="L200" s="45"/>
      <c r="M200" s="45"/>
      <c r="N200" s="45"/>
      <c r="O200" s="45"/>
      <c r="P200" s="45"/>
      <c r="Q200" s="45"/>
      <c r="R200" s="45"/>
      <c r="S200" s="21"/>
    </row>
    <row r="201" spans="1:33" ht="15.75" customHeight="1" x14ac:dyDescent="0.2">
      <c r="C201" s="45"/>
      <c r="D201" s="45"/>
      <c r="E201" s="45"/>
      <c r="F201" s="45"/>
      <c r="G201" s="45"/>
      <c r="H201" s="45"/>
      <c r="I201" s="45"/>
      <c r="J201" s="45"/>
      <c r="K201" s="45"/>
      <c r="L201" s="45"/>
      <c r="M201" s="45"/>
      <c r="N201" s="45"/>
      <c r="O201" s="45"/>
      <c r="P201" s="45"/>
      <c r="Q201" s="45"/>
      <c r="R201" s="45"/>
      <c r="S201" s="21"/>
    </row>
    <row r="202" spans="1:33" ht="15.75" customHeight="1" x14ac:dyDescent="0.2">
      <c r="C202" s="45"/>
      <c r="D202" s="45"/>
      <c r="E202" s="45"/>
      <c r="F202" s="45"/>
      <c r="G202" s="45"/>
      <c r="H202" s="45"/>
      <c r="I202" s="45"/>
      <c r="J202" s="45"/>
      <c r="K202" s="45"/>
      <c r="L202" s="45"/>
      <c r="M202" s="45"/>
      <c r="N202" s="45"/>
      <c r="O202" s="45"/>
      <c r="P202" s="45"/>
      <c r="Q202" s="45"/>
      <c r="R202" s="45"/>
      <c r="S202" s="21"/>
    </row>
    <row r="203" spans="1:33" ht="15.75" customHeight="1" x14ac:dyDescent="0.2">
      <c r="C203" s="45"/>
      <c r="D203" s="45"/>
      <c r="E203" s="45"/>
      <c r="F203" s="45"/>
      <c r="G203" s="45"/>
      <c r="H203" s="45"/>
      <c r="I203" s="45"/>
      <c r="J203" s="45"/>
      <c r="K203" s="45"/>
      <c r="L203" s="45"/>
      <c r="M203" s="45"/>
      <c r="N203" s="45"/>
      <c r="O203" s="45"/>
      <c r="P203" s="45"/>
      <c r="Q203" s="45"/>
      <c r="R203" s="45"/>
      <c r="S203" s="21"/>
    </row>
    <row r="204" spans="1:33" ht="15.75" customHeight="1" x14ac:dyDescent="0.2">
      <c r="C204" s="45"/>
      <c r="D204" s="45"/>
      <c r="E204" s="45"/>
      <c r="F204" s="45"/>
      <c r="G204" s="45"/>
      <c r="H204" s="45"/>
      <c r="I204" s="45"/>
      <c r="J204" s="45"/>
      <c r="K204" s="45"/>
      <c r="L204" s="45"/>
      <c r="M204" s="45"/>
      <c r="N204" s="45"/>
      <c r="O204" s="45"/>
      <c r="P204" s="45"/>
      <c r="Q204" s="45"/>
      <c r="R204" s="45"/>
      <c r="S204" s="21"/>
    </row>
    <row r="205" spans="1:33" ht="15.75" customHeight="1" x14ac:dyDescent="0.2">
      <c r="C205" s="45"/>
      <c r="D205" s="45"/>
      <c r="E205" s="45"/>
      <c r="F205" s="45"/>
      <c r="G205" s="45"/>
      <c r="H205" s="45"/>
      <c r="I205" s="45"/>
      <c r="J205" s="45"/>
      <c r="K205" s="45"/>
      <c r="L205" s="45"/>
      <c r="M205" s="45"/>
      <c r="N205" s="45"/>
      <c r="O205" s="45"/>
      <c r="P205" s="45"/>
      <c r="Q205" s="45"/>
      <c r="R205" s="45"/>
      <c r="S205" s="21"/>
    </row>
    <row r="206" spans="1:33" ht="15.75" customHeight="1" x14ac:dyDescent="0.2">
      <c r="C206" s="45"/>
      <c r="D206" s="45"/>
      <c r="E206" s="45"/>
      <c r="F206" s="45"/>
      <c r="G206" s="45"/>
      <c r="H206" s="45"/>
      <c r="I206" s="45"/>
      <c r="J206" s="45"/>
      <c r="K206" s="45"/>
      <c r="L206" s="45"/>
      <c r="M206" s="45"/>
      <c r="N206" s="45"/>
      <c r="O206" s="45"/>
      <c r="P206" s="45"/>
      <c r="Q206" s="45"/>
      <c r="R206" s="45"/>
      <c r="S206" s="21"/>
    </row>
    <row r="207" spans="1:33" ht="15.75" customHeight="1" x14ac:dyDescent="0.2">
      <c r="C207" s="45"/>
      <c r="D207" s="45"/>
      <c r="E207" s="45"/>
      <c r="F207" s="45"/>
      <c r="G207" s="45"/>
      <c r="H207" s="45"/>
      <c r="I207" s="45"/>
      <c r="J207" s="45"/>
      <c r="K207" s="45"/>
      <c r="L207" s="45"/>
      <c r="M207" s="45"/>
      <c r="N207" s="45"/>
      <c r="O207" s="45"/>
      <c r="P207" s="45"/>
      <c r="Q207" s="45"/>
      <c r="R207" s="45"/>
      <c r="S207" s="21"/>
    </row>
    <row r="208" spans="1:33"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8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80" t="str">
        <f ca="1">IFERROR(__xludf.DUMMYFUNCTION("IFERROR(VLOOKUP(B2,IMPORTRANGE(""https://docs.google.com/spreadsheets/d/1x0DhHglkXKoEBOD2MBsuK_EyIr1ouxD2ftIpqOYFa-k/edit?usp=sharing"",""Ubiquitty-SKU-Specific Info!B1:BJ5000""),3,FALSE),"""")"),"12 Gauge Automotive Wire - 4 Roll Assortment Pack -100 Ft of Copper Clad Aluminum Primary Wire per Roll")</f>
        <v>12 Gauge Automotive Wire - 4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Info!B1:BJ5000""),2,FALSE),"""")"),"B07QJZSVCD")</f>
        <v>B07QJZSVCD</v>
      </c>
      <c r="B2" s="49" t="s">
        <v>580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123.75" customHeight="1" x14ac:dyDescent="0.2">
      <c r="A3" s="76" t="s">
        <v>30</v>
      </c>
      <c r="B3" s="77"/>
      <c r="C3" s="47">
        <f>((AE32+AF32)/0.85)*-1</f>
        <v>19.171391272941175</v>
      </c>
      <c r="D3" s="5">
        <f>SUM(D4:D99634)</f>
        <v>362</v>
      </c>
      <c r="E3" s="5"/>
      <c r="F3" s="6">
        <f t="shared" ref="F3:G3" si="0">SUM(F4:F99634)</f>
        <v>12478.340000000002</v>
      </c>
      <c r="G3" s="6">
        <f t="shared" si="0"/>
        <v>-72.839999999999989</v>
      </c>
      <c r="H3" s="7">
        <f t="shared" ref="H3:H32" si="1">G3/F3*-1</f>
        <v>5.8373148992574312E-3</v>
      </c>
      <c r="I3" s="8">
        <f t="shared" ref="I3:I32" si="2">J3/F3</f>
        <v>0.35233988835444657</v>
      </c>
      <c r="J3" s="6">
        <f>SUM(J4:J99634)</f>
        <v>4396.6169224488258</v>
      </c>
      <c r="K3" s="6">
        <f t="shared" ref="K3:K32" si="3">J3/D3</f>
        <v>12.145350614499518</v>
      </c>
      <c r="L3" s="5"/>
      <c r="M3" s="9"/>
      <c r="N3" s="10"/>
      <c r="O3" s="5" t="str">
        <f ca="1">IFERROR(__xludf.DUMMYFUNCTION("IFERROR(VLOOKUP(B2,IMPORTRANGE(""https://docs.google.com/spreadsheets/d/1N8jvpEHDVkurDv7NrPxwI3eH6hQsvtb1QltGNCalRjU/edit#gid=865736387"",""Compiled Sheet!a1:g5000""),2,FALSE),"""")"),"4 - March
4 - April
4.5 - May
4.5 - June
3.5 - July
3.5 - Aug
3.5 - Sept
2.5 - Oct
2.5 - Nov
2.5 - Dec
5 - Jan
5 - Feb")</f>
        <v>4 - March
4 - April
4.5 - May
4.5 - June
3.5 - July
3.5 - Aug
3.5 - Sept
2.5 - Oct
2.5 - Nov
2.5 - Dec
5 - Jan
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8</v>
      </c>
      <c r="X3" s="7">
        <f>W3/D3</f>
        <v>2.2099447513812154E-2</v>
      </c>
      <c r="Y3" s="6"/>
      <c r="Z3" s="5"/>
      <c r="AA3" s="5"/>
      <c r="AB3" s="5"/>
      <c r="AC3" s="5"/>
      <c r="AD3" s="6">
        <f>SUM(AD4:AD99634)</f>
        <v>-43.420932237079953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Info!B2:BZ7000""),37,FALSE)),"""")*-1"),-10.115682582)</f>
        <v>-10.115682582</v>
      </c>
      <c r="AG3" s="6">
        <f>SUM(AG4:AG99634)</f>
        <v>0</v>
      </c>
    </row>
    <row r="4" spans="1:33" ht="15.75" customHeight="1" x14ac:dyDescent="0.2">
      <c r="A4" s="14" t="s">
        <v>31</v>
      </c>
      <c r="B4" s="14" t="s">
        <v>581</v>
      </c>
      <c r="C4" s="15">
        <f t="shared" ref="C4:C32" si="4">IFERROR(F4/D4," - ")</f>
        <v>29.472352941176482</v>
      </c>
      <c r="D4" s="16">
        <v>34</v>
      </c>
      <c r="E4" s="16">
        <v>1</v>
      </c>
      <c r="F4" s="17">
        <v>1002.0600000000004</v>
      </c>
      <c r="G4" s="17">
        <v>-36.799999999999997</v>
      </c>
      <c r="H4" s="18">
        <f t="shared" si="1"/>
        <v>3.6724347843442494E-2</v>
      </c>
      <c r="I4" s="18">
        <f t="shared" si="2"/>
        <v>0.24391656031139977</v>
      </c>
      <c r="J4" s="17">
        <f t="shared" ref="J4:J32" si="5">F4*0.85+G4+AF4*D4+D4*AE4+AG4+AD4</f>
        <v>244.41902842564136</v>
      </c>
      <c r="K4" s="17">
        <f t="shared" si="3"/>
        <v>7.1887949536953339</v>
      </c>
      <c r="L4" s="16">
        <v>96</v>
      </c>
      <c r="M4" s="19">
        <f t="shared" ref="M4:M32" si="6">IFERROR(D4/L4,"-")</f>
        <v>0.35416666666666669</v>
      </c>
      <c r="N4" s="16">
        <v>242</v>
      </c>
      <c r="O4" s="20">
        <f t="shared" ref="O4:P4" si="7">D4/7</f>
        <v>4.8571428571428568</v>
      </c>
      <c r="P4" s="20">
        <f t="shared" si="7"/>
        <v>0.14285714285714285</v>
      </c>
      <c r="Q4" s="16">
        <f t="shared" ref="Q4:Q32" si="8">ROUNDDOWN(N4/(O4+P4),0)</f>
        <v>48</v>
      </c>
      <c r="R4" s="16"/>
      <c r="S4" s="21">
        <v>0.71312217194570104</v>
      </c>
      <c r="T4" s="14">
        <v>110</v>
      </c>
      <c r="U4" s="22" t="s">
        <v>33</v>
      </c>
      <c r="V4" s="23" t="s">
        <v>33</v>
      </c>
      <c r="W4" s="14">
        <v>4</v>
      </c>
      <c r="X4" s="24">
        <f t="shared" ref="X4:X32" si="9">IFERROR(W4/D4,0)</f>
        <v>0.11764705882352941</v>
      </c>
      <c r="Y4" s="25">
        <f t="shared" ref="Y4:Y32" si="10">IFERROR(G4/(W4+Z4)*-1,0)</f>
        <v>6.1333333333333329</v>
      </c>
      <c r="Z4" s="14">
        <v>2</v>
      </c>
      <c r="AA4" s="2" t="s">
        <v>34</v>
      </c>
      <c r="AB4" s="26">
        <f t="shared" ref="AB4:AB32" si="11">IF(OR(AA4="UsLargeStandardSize",AA4="UsSmallStandardSize"),-0.69,-0.48)</f>
        <v>-0.69</v>
      </c>
      <c r="AC4" s="27">
        <v>8.6904999999999996E-2</v>
      </c>
      <c r="AD4" s="25">
        <f t="shared" ref="AD4:AD32" si="12">IFERROR(AB4*AC4*D4*2,0)</f>
        <v>-4.0775825999999995</v>
      </c>
      <c r="AE4" s="25">
        <v>-6.18</v>
      </c>
      <c r="AF4" s="25">
        <v>-10.480423205128206</v>
      </c>
      <c r="AG4" s="25">
        <v>0</v>
      </c>
    </row>
    <row r="5" spans="1:33" ht="15.75" customHeight="1" x14ac:dyDescent="0.2">
      <c r="A5" s="28" t="s">
        <v>35</v>
      </c>
      <c r="B5" s="28" t="s">
        <v>582</v>
      </c>
      <c r="C5" s="15">
        <f t="shared" si="4"/>
        <v>30.497916666666686</v>
      </c>
      <c r="D5" s="29">
        <v>48</v>
      </c>
      <c r="E5" s="29">
        <v>0</v>
      </c>
      <c r="F5" s="30">
        <v>1463.900000000001</v>
      </c>
      <c r="G5" s="30">
        <v>-24.419999999999998</v>
      </c>
      <c r="H5" s="31">
        <f t="shared" si="1"/>
        <v>1.6681467313341063E-2</v>
      </c>
      <c r="I5" s="31">
        <f t="shared" si="2"/>
        <v>0.2831009143498644</v>
      </c>
      <c r="J5" s="32">
        <f t="shared" si="5"/>
        <v>414.4314285167668</v>
      </c>
      <c r="K5" s="32">
        <f t="shared" si="3"/>
        <v>8.6339880940993083</v>
      </c>
      <c r="L5" s="29">
        <v>132</v>
      </c>
      <c r="M5" s="33">
        <f t="shared" si="6"/>
        <v>0.36363636363636365</v>
      </c>
      <c r="N5" s="29">
        <v>192</v>
      </c>
      <c r="O5" s="34">
        <f t="shared" ref="O5:P5" si="13">D5/7</f>
        <v>6.8571428571428568</v>
      </c>
      <c r="P5" s="34">
        <f t="shared" si="13"/>
        <v>0</v>
      </c>
      <c r="Q5" s="29">
        <f t="shared" si="8"/>
        <v>28</v>
      </c>
      <c r="R5" s="29"/>
      <c r="S5" s="35">
        <v>0.97742885181550498</v>
      </c>
      <c r="T5" s="28">
        <v>110</v>
      </c>
      <c r="U5" s="36" t="s">
        <v>33</v>
      </c>
      <c r="V5" s="37" t="s">
        <v>33</v>
      </c>
      <c r="W5" s="28">
        <v>3</v>
      </c>
      <c r="X5" s="38">
        <f t="shared" si="9"/>
        <v>6.25E-2</v>
      </c>
      <c r="Y5" s="39">
        <f t="shared" si="10"/>
        <v>6.1049999999999995</v>
      </c>
      <c r="Z5" s="28">
        <v>1</v>
      </c>
      <c r="AA5" s="28" t="s">
        <v>34</v>
      </c>
      <c r="AB5" s="40">
        <f t="shared" si="11"/>
        <v>-0.69</v>
      </c>
      <c r="AC5" s="41">
        <v>8.7005701042873695E-2</v>
      </c>
      <c r="AD5" s="39">
        <f t="shared" si="12"/>
        <v>-5.7632576370799526</v>
      </c>
      <c r="AE5" s="39">
        <v>-6.18</v>
      </c>
      <c r="AF5" s="39">
        <v>-10.480423205128206</v>
      </c>
      <c r="AG5" s="39">
        <v>0</v>
      </c>
    </row>
    <row r="6" spans="1:33" ht="15.75" customHeight="1" x14ac:dyDescent="0.2">
      <c r="A6" s="28" t="s">
        <v>37</v>
      </c>
      <c r="B6" s="28" t="s">
        <v>583</v>
      </c>
      <c r="C6" s="15">
        <f t="shared" si="4"/>
        <v>32.487948717948711</v>
      </c>
      <c r="D6" s="29">
        <v>39</v>
      </c>
      <c r="E6" s="29">
        <v>0</v>
      </c>
      <c r="F6" s="30">
        <v>1267.0299999999997</v>
      </c>
      <c r="G6" s="30">
        <v>-10.83</v>
      </c>
      <c r="H6" s="31">
        <f t="shared" si="1"/>
        <v>8.5475482032785349E-3</v>
      </c>
      <c r="I6" s="31">
        <f t="shared" si="2"/>
        <v>0.32494239907500211</v>
      </c>
      <c r="J6" s="32">
        <f t="shared" si="5"/>
        <v>411.71176789999981</v>
      </c>
      <c r="K6" s="32">
        <f t="shared" si="3"/>
        <v>10.556711997435892</v>
      </c>
      <c r="L6" s="29">
        <v>129</v>
      </c>
      <c r="M6" s="33">
        <f t="shared" si="6"/>
        <v>0.30232558139534882</v>
      </c>
      <c r="N6" s="29">
        <v>155</v>
      </c>
      <c r="O6" s="34">
        <f t="shared" ref="O6:P6" si="14">D6/7</f>
        <v>5.5714285714285712</v>
      </c>
      <c r="P6" s="34">
        <f t="shared" si="14"/>
        <v>0</v>
      </c>
      <c r="Q6" s="29">
        <f t="shared" si="8"/>
        <v>27</v>
      </c>
      <c r="R6" s="29"/>
      <c r="S6" s="35">
        <v>1.2307692307692299</v>
      </c>
      <c r="T6" s="28">
        <v>110</v>
      </c>
      <c r="U6" s="36" t="s">
        <v>33</v>
      </c>
      <c r="V6" s="37" t="s">
        <v>39</v>
      </c>
      <c r="W6" s="28">
        <v>0</v>
      </c>
      <c r="X6" s="38">
        <f t="shared" si="9"/>
        <v>0</v>
      </c>
      <c r="Y6" s="39">
        <f t="shared" si="10"/>
        <v>3.61</v>
      </c>
      <c r="Z6" s="28">
        <v>3</v>
      </c>
      <c r="AA6" s="28" t="s">
        <v>34</v>
      </c>
      <c r="AB6" s="40">
        <f t="shared" si="11"/>
        <v>-0.69</v>
      </c>
      <c r="AC6" s="41">
        <v>8.6904999999999996E-2</v>
      </c>
      <c r="AD6" s="39">
        <f t="shared" si="12"/>
        <v>-4.6772270999999996</v>
      </c>
      <c r="AE6" s="39">
        <v>-6.18</v>
      </c>
      <c r="AF6" s="39">
        <v>-10.480423205128206</v>
      </c>
      <c r="AG6" s="39">
        <v>0</v>
      </c>
    </row>
    <row r="7" spans="1:33" ht="15.75" customHeight="1" x14ac:dyDescent="0.2">
      <c r="A7" s="28" t="s">
        <v>40</v>
      </c>
      <c r="B7" s="28" t="s">
        <v>47</v>
      </c>
      <c r="C7" s="15">
        <f t="shared" si="4"/>
        <v>34.848148148148148</v>
      </c>
      <c r="D7" s="29">
        <v>27</v>
      </c>
      <c r="E7" s="29">
        <v>0</v>
      </c>
      <c r="F7" s="30">
        <v>940.90000000000009</v>
      </c>
      <c r="G7" s="30">
        <v>-7.0000000000000007E-2</v>
      </c>
      <c r="H7" s="31">
        <f t="shared" si="1"/>
        <v>7.4396854075884787E-5</v>
      </c>
      <c r="I7" s="31">
        <f t="shared" si="2"/>
        <v>0.36839780333886546</v>
      </c>
      <c r="J7" s="32">
        <f t="shared" si="5"/>
        <v>346.62549316153854</v>
      </c>
      <c r="K7" s="32">
        <f t="shared" si="3"/>
        <v>12.83798122820513</v>
      </c>
      <c r="L7" s="29">
        <v>84</v>
      </c>
      <c r="M7" s="33">
        <f t="shared" si="6"/>
        <v>0.32142857142857145</v>
      </c>
      <c r="N7" s="29">
        <v>127</v>
      </c>
      <c r="O7" s="34">
        <f t="shared" ref="O7:P7" si="15">D7/7</f>
        <v>3.8571428571428572</v>
      </c>
      <c r="P7" s="34">
        <f t="shared" si="15"/>
        <v>0</v>
      </c>
      <c r="Q7" s="29">
        <f t="shared" si="8"/>
        <v>32</v>
      </c>
      <c r="R7" s="29"/>
      <c r="S7" s="35">
        <v>1.5195266272189301</v>
      </c>
      <c r="T7" s="28">
        <v>110</v>
      </c>
      <c r="U7" s="36" t="s">
        <v>33</v>
      </c>
      <c r="V7" s="37" t="s">
        <v>39</v>
      </c>
      <c r="W7" s="28">
        <v>0</v>
      </c>
      <c r="X7" s="38">
        <f t="shared" si="9"/>
        <v>0</v>
      </c>
      <c r="Y7" s="39">
        <f t="shared" si="10"/>
        <v>0</v>
      </c>
      <c r="Z7" s="28">
        <v>0</v>
      </c>
      <c r="AA7" s="28" t="s">
        <v>34</v>
      </c>
      <c r="AB7" s="40">
        <f t="shared" si="11"/>
        <v>-0.69</v>
      </c>
      <c r="AC7" s="41">
        <v>8.6904999999999996E-2</v>
      </c>
      <c r="AD7" s="39">
        <f t="shared" si="12"/>
        <v>-3.2380802999999996</v>
      </c>
      <c r="AE7" s="39">
        <v>-6.18</v>
      </c>
      <c r="AF7" s="39">
        <v>-10.480423205128206</v>
      </c>
      <c r="AG7" s="39">
        <v>0</v>
      </c>
    </row>
    <row r="8" spans="1:33" ht="15.75" customHeight="1" x14ac:dyDescent="0.2">
      <c r="A8" s="28" t="s">
        <v>42</v>
      </c>
      <c r="B8" s="28" t="s">
        <v>584</v>
      </c>
      <c r="C8" s="15">
        <f t="shared" si="4"/>
        <v>35.65</v>
      </c>
      <c r="D8" s="29">
        <v>24</v>
      </c>
      <c r="E8" s="29">
        <v>2</v>
      </c>
      <c r="F8" s="30">
        <v>855.6</v>
      </c>
      <c r="G8" s="30">
        <v>0</v>
      </c>
      <c r="H8" s="31">
        <f t="shared" si="1"/>
        <v>0</v>
      </c>
      <c r="I8" s="31">
        <f t="shared" si="2"/>
        <v>0.37931475736325387</v>
      </c>
      <c r="J8" s="32">
        <f t="shared" si="5"/>
        <v>324.54170640000001</v>
      </c>
      <c r="K8" s="32">
        <f t="shared" si="3"/>
        <v>13.5225711</v>
      </c>
      <c r="L8" s="29">
        <v>95</v>
      </c>
      <c r="M8" s="33">
        <f t="shared" si="6"/>
        <v>0.25263157894736843</v>
      </c>
      <c r="N8" s="29">
        <v>98</v>
      </c>
      <c r="O8" s="34">
        <f t="shared" ref="O8:P8" si="16">D8/7</f>
        <v>3.4285714285714284</v>
      </c>
      <c r="P8" s="34">
        <f t="shared" si="16"/>
        <v>0.2857142857142857</v>
      </c>
      <c r="Q8" s="29">
        <f t="shared" si="8"/>
        <v>26</v>
      </c>
      <c r="R8" s="29"/>
      <c r="S8" s="35">
        <v>1.15606936416184</v>
      </c>
      <c r="T8" s="28">
        <v>112</v>
      </c>
      <c r="U8" s="36">
        <v>112</v>
      </c>
      <c r="V8" s="37" t="s">
        <v>585</v>
      </c>
      <c r="W8" s="28">
        <v>0</v>
      </c>
      <c r="X8" s="38">
        <f t="shared" si="9"/>
        <v>0</v>
      </c>
      <c r="Y8" s="39">
        <f t="shared" si="10"/>
        <v>0</v>
      </c>
      <c r="Z8" s="28">
        <v>0</v>
      </c>
      <c r="AA8" s="28" t="s">
        <v>34</v>
      </c>
      <c r="AB8" s="40">
        <f t="shared" si="11"/>
        <v>-0.69</v>
      </c>
      <c r="AC8" s="41">
        <v>8.6904999999999996E-2</v>
      </c>
      <c r="AD8" s="39">
        <f t="shared" si="12"/>
        <v>-2.8782935999999997</v>
      </c>
      <c r="AE8" s="39">
        <v>-6.18</v>
      </c>
      <c r="AF8" s="39">
        <v>-10.48</v>
      </c>
      <c r="AG8" s="39">
        <v>0</v>
      </c>
    </row>
    <row r="9" spans="1:33" ht="15.75" customHeight="1" x14ac:dyDescent="0.2">
      <c r="A9" s="28" t="s">
        <v>44</v>
      </c>
      <c r="B9" s="28" t="s">
        <v>47</v>
      </c>
      <c r="C9" s="15">
        <f t="shared" si="4"/>
        <v>37.195217391304354</v>
      </c>
      <c r="D9" s="29">
        <v>23</v>
      </c>
      <c r="E9" s="29">
        <v>0</v>
      </c>
      <c r="F9" s="30">
        <v>855.49000000000012</v>
      </c>
      <c r="G9" s="30">
        <v>-0.22999999999999998</v>
      </c>
      <c r="H9" s="31">
        <f t="shared" si="1"/>
        <v>2.6885176916153309E-4</v>
      </c>
      <c r="I9" s="31">
        <f t="shared" si="2"/>
        <v>0.39321827142099952</v>
      </c>
      <c r="J9" s="32">
        <f t="shared" si="5"/>
        <v>336.39429901795091</v>
      </c>
      <c r="K9" s="32">
        <f t="shared" si="3"/>
        <v>14.625839087736995</v>
      </c>
      <c r="L9" s="29">
        <v>88</v>
      </c>
      <c r="M9" s="33">
        <f t="shared" si="6"/>
        <v>0.26136363636363635</v>
      </c>
      <c r="N9" s="29">
        <v>77</v>
      </c>
      <c r="O9" s="34">
        <f t="shared" ref="O9:P9" si="17">D9/7</f>
        <v>3.2857142857142856</v>
      </c>
      <c r="P9" s="34">
        <f t="shared" si="17"/>
        <v>0</v>
      </c>
      <c r="Q9" s="29">
        <f t="shared" si="8"/>
        <v>23</v>
      </c>
      <c r="R9" s="29"/>
      <c r="S9" s="35">
        <v>1.3273381294964</v>
      </c>
      <c r="T9" s="28">
        <v>112</v>
      </c>
      <c r="U9" s="36">
        <v>112</v>
      </c>
      <c r="V9" s="37" t="s">
        <v>586</v>
      </c>
      <c r="W9" s="28">
        <v>1</v>
      </c>
      <c r="X9" s="38">
        <f t="shared" si="9"/>
        <v>4.3478260869565216E-2</v>
      </c>
      <c r="Y9" s="39">
        <f t="shared" si="10"/>
        <v>0.22999999999999998</v>
      </c>
      <c r="Z9" s="28">
        <v>0</v>
      </c>
      <c r="AA9" s="28" t="s">
        <v>34</v>
      </c>
      <c r="AB9" s="40">
        <f t="shared" si="11"/>
        <v>-0.69</v>
      </c>
      <c r="AC9" s="41">
        <v>8.6904999999999996E-2</v>
      </c>
      <c r="AD9" s="39">
        <f t="shared" si="12"/>
        <v>-2.7583647</v>
      </c>
      <c r="AE9" s="39">
        <v>-6.18</v>
      </c>
      <c r="AF9" s="39">
        <v>-10.680166794871701</v>
      </c>
      <c r="AG9" s="39">
        <v>0</v>
      </c>
    </row>
    <row r="10" spans="1:33" ht="15.75" customHeight="1" x14ac:dyDescent="0.2">
      <c r="A10" s="28" t="s">
        <v>46</v>
      </c>
      <c r="B10" s="28" t="s">
        <v>47</v>
      </c>
      <c r="C10" s="15">
        <f t="shared" si="4"/>
        <v>36.39</v>
      </c>
      <c r="D10" s="29">
        <v>20</v>
      </c>
      <c r="E10" s="29">
        <v>0</v>
      </c>
      <c r="F10" s="30">
        <v>727.80000000000007</v>
      </c>
      <c r="G10" s="30">
        <v>-0.09</v>
      </c>
      <c r="H10" s="31">
        <f t="shared" si="1"/>
        <v>1.2366034624896948E-4</v>
      </c>
      <c r="I10" s="31">
        <f t="shared" si="2"/>
        <v>0.38326200343853517</v>
      </c>
      <c r="J10" s="32">
        <f t="shared" si="5"/>
        <v>278.93808610256593</v>
      </c>
      <c r="K10" s="32">
        <f t="shared" si="3"/>
        <v>13.946904305128296</v>
      </c>
      <c r="L10" s="29">
        <v>85</v>
      </c>
      <c r="M10" s="33">
        <f t="shared" si="6"/>
        <v>0.23529411764705882</v>
      </c>
      <c r="N10" s="29">
        <v>59</v>
      </c>
      <c r="O10" s="34">
        <f t="shared" ref="O10:P10" si="18">D10/7</f>
        <v>2.8571428571428572</v>
      </c>
      <c r="P10" s="34">
        <f t="shared" si="18"/>
        <v>0</v>
      </c>
      <c r="Q10" s="29">
        <f t="shared" si="8"/>
        <v>20</v>
      </c>
      <c r="R10" s="29"/>
      <c r="S10" s="35">
        <v>1.4807502467917</v>
      </c>
      <c r="T10" s="28">
        <v>112</v>
      </c>
      <c r="U10" s="36">
        <v>112</v>
      </c>
      <c r="V10" s="37" t="s">
        <v>587</v>
      </c>
      <c r="W10" s="28">
        <v>0</v>
      </c>
      <c r="X10" s="38">
        <f t="shared" si="9"/>
        <v>0</v>
      </c>
      <c r="Y10" s="39">
        <f t="shared" si="10"/>
        <v>0</v>
      </c>
      <c r="Z10" s="28">
        <v>0</v>
      </c>
      <c r="AA10" s="28" t="s">
        <v>34</v>
      </c>
      <c r="AB10" s="40">
        <f t="shared" si="11"/>
        <v>-0.69</v>
      </c>
      <c r="AC10" s="41">
        <v>8.6904999999999996E-2</v>
      </c>
      <c r="AD10" s="39">
        <f t="shared" si="12"/>
        <v>-2.3985779999999997</v>
      </c>
      <c r="AE10" s="39">
        <v>-6.18</v>
      </c>
      <c r="AF10" s="39">
        <v>-10.680166794871701</v>
      </c>
      <c r="AG10" s="39">
        <v>0</v>
      </c>
    </row>
    <row r="11" spans="1:33" ht="15.75" customHeight="1" x14ac:dyDescent="0.2">
      <c r="A11" s="28" t="s">
        <v>48</v>
      </c>
      <c r="B11" s="28" t="s">
        <v>47</v>
      </c>
      <c r="C11" s="15">
        <f t="shared" si="4"/>
        <v>36.545454545454554</v>
      </c>
      <c r="D11" s="29">
        <v>22</v>
      </c>
      <c r="E11" s="29">
        <v>1</v>
      </c>
      <c r="F11" s="30">
        <v>804.00000000000011</v>
      </c>
      <c r="G11" s="30">
        <v>0</v>
      </c>
      <c r="H11" s="31">
        <f t="shared" si="1"/>
        <v>0</v>
      </c>
      <c r="I11" s="31">
        <f t="shared" si="2"/>
        <v>0.38537051581196846</v>
      </c>
      <c r="J11" s="32">
        <f t="shared" si="5"/>
        <v>309.83789471282267</v>
      </c>
      <c r="K11" s="32">
        <f t="shared" si="3"/>
        <v>14.083540668764668</v>
      </c>
      <c r="L11" s="29">
        <v>77</v>
      </c>
      <c r="M11" s="33">
        <f t="shared" si="6"/>
        <v>0.2857142857142857</v>
      </c>
      <c r="N11" s="29">
        <v>35</v>
      </c>
      <c r="O11" s="34">
        <f t="shared" ref="O11:P11" si="19">D11/7</f>
        <v>3.1428571428571428</v>
      </c>
      <c r="P11" s="34">
        <f t="shared" si="19"/>
        <v>0.14285714285714285</v>
      </c>
      <c r="Q11" s="29">
        <f t="shared" si="8"/>
        <v>10</v>
      </c>
      <c r="R11" s="29"/>
      <c r="S11" s="35">
        <v>1.65072302558398</v>
      </c>
      <c r="T11" s="28">
        <v>112</v>
      </c>
      <c r="U11" s="36">
        <v>112</v>
      </c>
      <c r="V11" s="37" t="s">
        <v>587</v>
      </c>
      <c r="W11" s="28">
        <v>0</v>
      </c>
      <c r="X11" s="38">
        <f t="shared" si="9"/>
        <v>0</v>
      </c>
      <c r="Y11" s="39">
        <f t="shared" si="10"/>
        <v>0</v>
      </c>
      <c r="Z11" s="28">
        <v>0</v>
      </c>
      <c r="AA11" s="28" t="s">
        <v>34</v>
      </c>
      <c r="AB11" s="40">
        <f t="shared" si="11"/>
        <v>-0.69</v>
      </c>
      <c r="AC11" s="41">
        <v>8.6904999999999996E-2</v>
      </c>
      <c r="AD11" s="39">
        <f t="shared" si="12"/>
        <v>-2.6384357999999999</v>
      </c>
      <c r="AE11" s="39">
        <v>-6.18</v>
      </c>
      <c r="AF11" s="39">
        <v>-10.680166794871701</v>
      </c>
      <c r="AG11" s="39">
        <v>0</v>
      </c>
    </row>
    <row r="12" spans="1:33" ht="15.75" customHeight="1" x14ac:dyDescent="0.2">
      <c r="A12" s="28" t="s">
        <v>49</v>
      </c>
      <c r="B12" s="28" t="s">
        <v>47</v>
      </c>
      <c r="C12" s="15">
        <f t="shared" si="4"/>
        <v>37.736666666666672</v>
      </c>
      <c r="D12" s="29">
        <v>12</v>
      </c>
      <c r="E12" s="29">
        <v>1</v>
      </c>
      <c r="F12" s="30">
        <v>452.84000000000003</v>
      </c>
      <c r="G12" s="30">
        <v>-0.32</v>
      </c>
      <c r="H12" s="31">
        <f t="shared" si="1"/>
        <v>7.0665135588728902E-4</v>
      </c>
      <c r="I12" s="31">
        <f t="shared" si="2"/>
        <v>0.39933056192372501</v>
      </c>
      <c r="J12" s="32">
        <f t="shared" si="5"/>
        <v>180.83285166153965</v>
      </c>
      <c r="K12" s="32">
        <f t="shared" si="3"/>
        <v>15.069404305128304</v>
      </c>
      <c r="L12" s="29">
        <v>66</v>
      </c>
      <c r="M12" s="33">
        <f t="shared" si="6"/>
        <v>0.18181818181818182</v>
      </c>
      <c r="N12" s="29">
        <v>22</v>
      </c>
      <c r="O12" s="34">
        <f t="shared" ref="O12:P12" si="20">D12/7</f>
        <v>1.7142857142857142</v>
      </c>
      <c r="P12" s="34">
        <f t="shared" si="20"/>
        <v>0.14285714285714285</v>
      </c>
      <c r="Q12" s="29">
        <f t="shared" si="8"/>
        <v>11</v>
      </c>
      <c r="R12" s="29"/>
      <c r="S12" s="35">
        <v>1.8736059479553899</v>
      </c>
      <c r="T12" s="28">
        <v>112</v>
      </c>
      <c r="U12" s="36">
        <v>112</v>
      </c>
      <c r="V12" s="37" t="s">
        <v>588</v>
      </c>
      <c r="W12" s="28">
        <v>0</v>
      </c>
      <c r="X12" s="38">
        <f t="shared" si="9"/>
        <v>0</v>
      </c>
      <c r="Y12" s="39">
        <f t="shared" si="10"/>
        <v>0</v>
      </c>
      <c r="Z12" s="28">
        <v>0</v>
      </c>
      <c r="AA12" s="28" t="s">
        <v>34</v>
      </c>
      <c r="AB12" s="40">
        <f t="shared" si="11"/>
        <v>-0.69</v>
      </c>
      <c r="AC12" s="41">
        <v>8.6904999999999996E-2</v>
      </c>
      <c r="AD12" s="39">
        <f t="shared" si="12"/>
        <v>-1.4391467999999998</v>
      </c>
      <c r="AE12" s="39">
        <v>-6.18</v>
      </c>
      <c r="AF12" s="39">
        <v>-10.680166794871701</v>
      </c>
      <c r="AG12" s="39">
        <v>0</v>
      </c>
    </row>
    <row r="13" spans="1:33" ht="15.75" customHeight="1" x14ac:dyDescent="0.2">
      <c r="A13" s="28" t="s">
        <v>50</v>
      </c>
      <c r="B13" s="28" t="s">
        <v>47</v>
      </c>
      <c r="C13" s="15">
        <f t="shared" si="4"/>
        <v>37.435882352941178</v>
      </c>
      <c r="D13" s="29">
        <v>17</v>
      </c>
      <c r="E13" s="29">
        <v>0</v>
      </c>
      <c r="F13" s="32">
        <v>636.41000000000008</v>
      </c>
      <c r="G13" s="30">
        <v>0</v>
      </c>
      <c r="H13" s="31">
        <f t="shared" si="1"/>
        <v>0</v>
      </c>
      <c r="I13" s="31">
        <f t="shared" si="2"/>
        <v>0.39361369824484221</v>
      </c>
      <c r="J13" s="32">
        <f t="shared" si="5"/>
        <v>250.49969370000008</v>
      </c>
      <c r="K13" s="32">
        <f t="shared" si="3"/>
        <v>14.735276100000005</v>
      </c>
      <c r="L13" s="29">
        <v>48</v>
      </c>
      <c r="M13" s="33">
        <f t="shared" si="6"/>
        <v>0.35416666666666669</v>
      </c>
      <c r="N13" s="29">
        <v>7</v>
      </c>
      <c r="O13" s="34">
        <f t="shared" ref="O13:P13" si="21">D13/7</f>
        <v>2.4285714285714284</v>
      </c>
      <c r="P13" s="34">
        <f t="shared" si="21"/>
        <v>0</v>
      </c>
      <c r="Q13" s="29">
        <f t="shared" si="8"/>
        <v>2</v>
      </c>
      <c r="R13" s="29"/>
      <c r="S13" s="35">
        <v>1.9116883116883101</v>
      </c>
      <c r="T13" s="28">
        <v>112</v>
      </c>
      <c r="U13" s="36">
        <v>112</v>
      </c>
      <c r="V13" s="37" t="s">
        <v>589</v>
      </c>
      <c r="W13" s="28">
        <v>0</v>
      </c>
      <c r="X13" s="38">
        <f t="shared" si="9"/>
        <v>0</v>
      </c>
      <c r="Y13" s="39">
        <f t="shared" si="10"/>
        <v>0</v>
      </c>
      <c r="Z13" s="28">
        <v>0</v>
      </c>
      <c r="AA13" s="28" t="s">
        <v>34</v>
      </c>
      <c r="AB13" s="40">
        <f t="shared" si="11"/>
        <v>-0.69</v>
      </c>
      <c r="AC13" s="41">
        <v>8.6904999999999996E-2</v>
      </c>
      <c r="AD13" s="39">
        <f t="shared" si="12"/>
        <v>-2.0387912999999998</v>
      </c>
      <c r="AE13" s="39">
        <v>-6.18</v>
      </c>
      <c r="AF13" s="39">
        <v>-10.785295</v>
      </c>
      <c r="AG13" s="39">
        <v>0</v>
      </c>
    </row>
    <row r="14" spans="1:33" ht="15.75" customHeight="1" x14ac:dyDescent="0.2">
      <c r="A14" s="28" t="s">
        <v>51</v>
      </c>
      <c r="B14" s="28" t="s">
        <v>52</v>
      </c>
      <c r="C14" s="15">
        <f t="shared" si="4"/>
        <v>36.74666666666667</v>
      </c>
      <c r="D14" s="29">
        <v>3</v>
      </c>
      <c r="E14" s="29">
        <v>0</v>
      </c>
      <c r="F14" s="32">
        <v>110.24000000000001</v>
      </c>
      <c r="G14" s="30">
        <v>0</v>
      </c>
      <c r="H14" s="31">
        <f t="shared" si="1"/>
        <v>0</v>
      </c>
      <c r="I14" s="31">
        <f t="shared" si="2"/>
        <v>0.38505377630624094</v>
      </c>
      <c r="J14" s="32">
        <f t="shared" si="5"/>
        <v>42.448328300000007</v>
      </c>
      <c r="K14" s="32">
        <f t="shared" si="3"/>
        <v>14.149442766666668</v>
      </c>
      <c r="L14" s="29">
        <v>34</v>
      </c>
      <c r="M14" s="33">
        <f t="shared" si="6"/>
        <v>8.8235294117647065E-2</v>
      </c>
      <c r="N14" s="29">
        <v>0</v>
      </c>
      <c r="O14" s="34">
        <f t="shared" ref="O14:P14" si="22">D14/7</f>
        <v>0.42857142857142855</v>
      </c>
      <c r="P14" s="34">
        <f t="shared" si="22"/>
        <v>0</v>
      </c>
      <c r="Q14" s="29">
        <f t="shared" si="8"/>
        <v>0</v>
      </c>
      <c r="R14" s="29"/>
      <c r="S14" s="35">
        <v>2.3102310231023102</v>
      </c>
      <c r="T14" s="28">
        <v>112</v>
      </c>
      <c r="U14" s="36">
        <v>112</v>
      </c>
      <c r="V14" s="37" t="s">
        <v>589</v>
      </c>
      <c r="W14" s="28">
        <v>0</v>
      </c>
      <c r="X14" s="38">
        <f t="shared" si="9"/>
        <v>0</v>
      </c>
      <c r="Y14" s="39">
        <f t="shared" si="10"/>
        <v>0</v>
      </c>
      <c r="Z14" s="28">
        <v>0</v>
      </c>
      <c r="AA14" s="28" t="s">
        <v>34</v>
      </c>
      <c r="AB14" s="40">
        <f t="shared" si="11"/>
        <v>-0.69</v>
      </c>
      <c r="AC14" s="41">
        <v>8.6904999999999996E-2</v>
      </c>
      <c r="AD14" s="39">
        <f t="shared" si="12"/>
        <v>-0.35978669999999996</v>
      </c>
      <c r="AE14" s="39">
        <v>-6.18</v>
      </c>
      <c r="AF14" s="39">
        <v>-10.785295</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1</v>
      </c>
      <c r="O15" s="34">
        <f t="shared" ref="O15:P15" si="23">D15/7</f>
        <v>0</v>
      </c>
      <c r="P15" s="34">
        <f t="shared" si="23"/>
        <v>0</v>
      </c>
      <c r="Q15" s="29" t="e">
        <f t="shared" si="8"/>
        <v>#DIV/0!</v>
      </c>
      <c r="R15" s="29"/>
      <c r="S15" s="35">
        <v>2.4609375</v>
      </c>
      <c r="T15" s="28">
        <v>616</v>
      </c>
      <c r="U15" s="36">
        <v>112</v>
      </c>
      <c r="V15" s="37" t="s">
        <v>590</v>
      </c>
      <c r="W15" s="28">
        <v>0</v>
      </c>
      <c r="X15" s="38">
        <f t="shared" si="9"/>
        <v>0</v>
      </c>
      <c r="Y15" s="39">
        <f t="shared" si="10"/>
        <v>0</v>
      </c>
      <c r="Z15" s="28">
        <v>0</v>
      </c>
      <c r="AA15" s="28" t="s">
        <v>34</v>
      </c>
      <c r="AB15" s="40">
        <f t="shared" si="11"/>
        <v>-0.69</v>
      </c>
      <c r="AC15" s="41">
        <v>8.6904999999999996E-2</v>
      </c>
      <c r="AD15" s="39">
        <f t="shared" si="12"/>
        <v>0</v>
      </c>
      <c r="AE15" s="39">
        <v>-6.18</v>
      </c>
      <c r="AF15" s="39">
        <v>-10.785295</v>
      </c>
      <c r="AG15" s="39">
        <v>0</v>
      </c>
    </row>
    <row r="16" spans="1:33" ht="15.75" customHeight="1" x14ac:dyDescent="0.2">
      <c r="A16" s="28" t="s">
        <v>54</v>
      </c>
      <c r="B16" s="28" t="s">
        <v>591</v>
      </c>
      <c r="C16" s="15">
        <f t="shared" si="4"/>
        <v>35.99</v>
      </c>
      <c r="D16" s="29">
        <v>2</v>
      </c>
      <c r="E16" s="29">
        <v>0</v>
      </c>
      <c r="F16" s="32">
        <v>71.98</v>
      </c>
      <c r="G16" s="30">
        <v>0</v>
      </c>
      <c r="H16" s="31">
        <f t="shared" si="1"/>
        <v>0</v>
      </c>
      <c r="I16" s="31">
        <f t="shared" si="2"/>
        <v>0.37527858016115584</v>
      </c>
      <c r="J16" s="32">
        <f t="shared" si="5"/>
        <v>27.012552199999998</v>
      </c>
      <c r="K16" s="32">
        <f t="shared" si="3"/>
        <v>13.506276099999999</v>
      </c>
      <c r="L16" s="29">
        <v>13</v>
      </c>
      <c r="M16" s="33">
        <f t="shared" si="6"/>
        <v>0.15384615384615385</v>
      </c>
      <c r="N16" s="29">
        <v>128</v>
      </c>
      <c r="O16" s="34">
        <f t="shared" ref="O16:P16" si="24">D16/7</f>
        <v>0.2857142857142857</v>
      </c>
      <c r="P16" s="34">
        <f t="shared" si="24"/>
        <v>0</v>
      </c>
      <c r="Q16" s="29">
        <f t="shared" si="8"/>
        <v>448</v>
      </c>
      <c r="R16" s="29"/>
      <c r="S16" s="35">
        <v>2.03533568904593</v>
      </c>
      <c r="T16" s="28">
        <v>504</v>
      </c>
      <c r="U16" s="36" t="s">
        <v>33</v>
      </c>
      <c r="V16" s="37" t="s">
        <v>33</v>
      </c>
      <c r="W16" s="28">
        <v>0</v>
      </c>
      <c r="X16" s="38">
        <f t="shared" si="9"/>
        <v>0</v>
      </c>
      <c r="Y16" s="39">
        <f t="shared" si="10"/>
        <v>0</v>
      </c>
      <c r="Z16" s="28">
        <v>0</v>
      </c>
      <c r="AA16" s="28" t="s">
        <v>34</v>
      </c>
      <c r="AB16" s="40">
        <f t="shared" si="11"/>
        <v>-0.69</v>
      </c>
      <c r="AC16" s="41">
        <v>8.6904999999999996E-2</v>
      </c>
      <c r="AD16" s="39">
        <f t="shared" si="12"/>
        <v>-0.23985779999999998</v>
      </c>
      <c r="AE16" s="39">
        <v>-6.18</v>
      </c>
      <c r="AF16" s="39">
        <v>-10.785295</v>
      </c>
      <c r="AG16" s="39">
        <v>0</v>
      </c>
    </row>
    <row r="17" spans="1:33" ht="15.75" customHeight="1" x14ac:dyDescent="0.2">
      <c r="A17" s="28" t="s">
        <v>55</v>
      </c>
      <c r="B17" s="28" t="s">
        <v>47</v>
      </c>
      <c r="C17" s="15">
        <f t="shared" si="4"/>
        <v>35.99</v>
      </c>
      <c r="D17" s="29">
        <v>7</v>
      </c>
      <c r="E17" s="29">
        <v>0</v>
      </c>
      <c r="F17" s="32">
        <v>251.93000000000004</v>
      </c>
      <c r="G17" s="30">
        <v>0</v>
      </c>
      <c r="H17" s="31">
        <f t="shared" si="1"/>
        <v>0</v>
      </c>
      <c r="I17" s="31">
        <f t="shared" si="2"/>
        <v>0.38162200889135878</v>
      </c>
      <c r="J17" s="32">
        <f t="shared" si="5"/>
        <v>96.14203270000003</v>
      </c>
      <c r="K17" s="32">
        <f t="shared" si="3"/>
        <v>13.734576100000004</v>
      </c>
      <c r="L17" s="29">
        <v>50</v>
      </c>
      <c r="M17" s="33">
        <f t="shared" si="6"/>
        <v>0.14000000000000001</v>
      </c>
      <c r="N17" s="29">
        <v>114</v>
      </c>
      <c r="O17" s="34">
        <f t="shared" ref="O17:P17" si="25">D17/7</f>
        <v>1</v>
      </c>
      <c r="P17" s="34">
        <f t="shared" si="25"/>
        <v>0</v>
      </c>
      <c r="Q17" s="29">
        <f t="shared" si="8"/>
        <v>114</v>
      </c>
      <c r="R17" s="29"/>
      <c r="S17" s="35">
        <v>2.08979591836734</v>
      </c>
      <c r="T17" s="28">
        <v>504</v>
      </c>
      <c r="U17" s="36" t="s">
        <v>33</v>
      </c>
      <c r="V17" s="37" t="s">
        <v>33</v>
      </c>
      <c r="W17" s="28">
        <v>0</v>
      </c>
      <c r="X17" s="38">
        <f t="shared" si="9"/>
        <v>0</v>
      </c>
      <c r="Y17" s="39">
        <f t="shared" si="10"/>
        <v>0</v>
      </c>
      <c r="Z17" s="28">
        <v>0</v>
      </c>
      <c r="AA17" s="28" t="s">
        <v>34</v>
      </c>
      <c r="AB17" s="40">
        <f t="shared" si="11"/>
        <v>-0.69</v>
      </c>
      <c r="AC17" s="41">
        <v>8.6904999999999996E-2</v>
      </c>
      <c r="AD17" s="39">
        <f t="shared" si="12"/>
        <v>-0.83950229999999992</v>
      </c>
      <c r="AE17" s="39">
        <v>-6.18</v>
      </c>
      <c r="AF17" s="39">
        <v>-10.556995000000001</v>
      </c>
      <c r="AG17" s="39">
        <v>0</v>
      </c>
    </row>
    <row r="18" spans="1:33" ht="15.75" customHeight="1" x14ac:dyDescent="0.2">
      <c r="A18" s="28" t="s">
        <v>56</v>
      </c>
      <c r="B18" s="28" t="s">
        <v>592</v>
      </c>
      <c r="C18" s="15">
        <f t="shared" si="4"/>
        <v>35.99</v>
      </c>
      <c r="D18" s="29">
        <v>15</v>
      </c>
      <c r="E18" s="29">
        <v>0</v>
      </c>
      <c r="F18" s="32">
        <v>539.85</v>
      </c>
      <c r="G18" s="30">
        <v>0</v>
      </c>
      <c r="H18" s="31">
        <f t="shared" si="1"/>
        <v>0</v>
      </c>
      <c r="I18" s="31">
        <f t="shared" si="2"/>
        <v>0.38162200889135867</v>
      </c>
      <c r="J18" s="32">
        <f t="shared" si="5"/>
        <v>206.01864149999997</v>
      </c>
      <c r="K18" s="32">
        <f t="shared" si="3"/>
        <v>13.734576099999998</v>
      </c>
      <c r="L18" s="29">
        <v>64</v>
      </c>
      <c r="M18" s="33">
        <f t="shared" si="6"/>
        <v>0.234375</v>
      </c>
      <c r="N18" s="29">
        <v>77</v>
      </c>
      <c r="O18" s="34">
        <f t="shared" ref="O18:P18" si="26">D18/7</f>
        <v>2.1428571428571428</v>
      </c>
      <c r="P18" s="34">
        <f t="shared" si="26"/>
        <v>0</v>
      </c>
      <c r="Q18" s="29">
        <f t="shared" si="8"/>
        <v>35</v>
      </c>
      <c r="R18" s="29"/>
      <c r="S18" s="35">
        <v>2.2677165354330699</v>
      </c>
      <c r="T18" s="28">
        <v>504</v>
      </c>
      <c r="U18" s="36" t="s">
        <v>33</v>
      </c>
      <c r="V18" s="37" t="s">
        <v>33</v>
      </c>
      <c r="W18" s="28">
        <v>0</v>
      </c>
      <c r="X18" s="38">
        <f t="shared" si="9"/>
        <v>0</v>
      </c>
      <c r="Y18" s="39">
        <f t="shared" si="10"/>
        <v>0</v>
      </c>
      <c r="Z18" s="28">
        <v>0</v>
      </c>
      <c r="AA18" s="28" t="s">
        <v>34</v>
      </c>
      <c r="AB18" s="40">
        <f t="shared" si="11"/>
        <v>-0.69</v>
      </c>
      <c r="AC18" s="41">
        <v>8.6904999999999996E-2</v>
      </c>
      <c r="AD18" s="39">
        <f t="shared" si="12"/>
        <v>-1.7989335</v>
      </c>
      <c r="AE18" s="39">
        <v>-6.18</v>
      </c>
      <c r="AF18" s="39">
        <v>-10.556995000000001</v>
      </c>
      <c r="AG18" s="39">
        <v>0</v>
      </c>
    </row>
    <row r="19" spans="1:33" ht="15.75" customHeight="1" x14ac:dyDescent="0.2">
      <c r="A19" s="28" t="s">
        <v>57</v>
      </c>
      <c r="B19" s="28" t="s">
        <v>529</v>
      </c>
      <c r="C19" s="15">
        <f t="shared" si="4"/>
        <v>35.99</v>
      </c>
      <c r="D19" s="29">
        <v>23</v>
      </c>
      <c r="E19" s="29">
        <v>2</v>
      </c>
      <c r="F19" s="32">
        <v>827.7700000000001</v>
      </c>
      <c r="G19" s="30">
        <v>-0.08</v>
      </c>
      <c r="H19" s="31">
        <f t="shared" si="1"/>
        <v>9.6645203377749843E-5</v>
      </c>
      <c r="I19" s="31">
        <f t="shared" si="2"/>
        <v>0.36799800192082327</v>
      </c>
      <c r="J19" s="32">
        <f t="shared" si="5"/>
        <v>304.61770604999992</v>
      </c>
      <c r="K19" s="32">
        <f t="shared" si="3"/>
        <v>13.244248089130432</v>
      </c>
      <c r="L19" s="29">
        <v>55</v>
      </c>
      <c r="M19" s="33">
        <f t="shared" si="6"/>
        <v>0.41818181818181815</v>
      </c>
      <c r="N19" s="29">
        <v>58</v>
      </c>
      <c r="O19" s="34">
        <f t="shared" ref="O19:P19" si="27">D19/7</f>
        <v>3.2857142857142856</v>
      </c>
      <c r="P19" s="34">
        <f t="shared" si="27"/>
        <v>0.2857142857142857</v>
      </c>
      <c r="Q19" s="29">
        <f t="shared" si="8"/>
        <v>16</v>
      </c>
      <c r="R19" s="29"/>
      <c r="S19" s="35">
        <v>2.5128205128205101</v>
      </c>
      <c r="T19" s="28">
        <v>504</v>
      </c>
      <c r="U19" s="36" t="s">
        <v>33</v>
      </c>
      <c r="V19" s="37" t="s">
        <v>33</v>
      </c>
      <c r="W19" s="28">
        <v>0</v>
      </c>
      <c r="X19" s="38">
        <f t="shared" si="9"/>
        <v>0</v>
      </c>
      <c r="Y19" s="39">
        <f t="shared" si="10"/>
        <v>0</v>
      </c>
      <c r="Z19" s="28">
        <v>0</v>
      </c>
      <c r="AA19" s="28" t="s">
        <v>34</v>
      </c>
      <c r="AB19" s="40">
        <f t="shared" si="11"/>
        <v>-0.69</v>
      </c>
      <c r="AC19" s="41">
        <v>8.6904999999999996E-2</v>
      </c>
      <c r="AD19" s="39">
        <f t="shared" si="12"/>
        <v>-2.7583647</v>
      </c>
      <c r="AE19" s="39">
        <v>-6.18</v>
      </c>
      <c r="AF19" s="39">
        <v>-11.043844750000002</v>
      </c>
      <c r="AG19" s="39">
        <v>0</v>
      </c>
    </row>
    <row r="20" spans="1:33" ht="15.75" customHeight="1" x14ac:dyDescent="0.2">
      <c r="A20" s="28" t="s">
        <v>58</v>
      </c>
      <c r="B20" s="28" t="s">
        <v>47</v>
      </c>
      <c r="C20" s="15">
        <f t="shared" si="4"/>
        <v>35.99</v>
      </c>
      <c r="D20" s="29">
        <v>13</v>
      </c>
      <c r="E20" s="29">
        <v>2</v>
      </c>
      <c r="F20" s="32">
        <v>467.87000000000006</v>
      </c>
      <c r="G20" s="30">
        <v>0</v>
      </c>
      <c r="H20" s="31">
        <f t="shared" si="1"/>
        <v>0</v>
      </c>
      <c r="I20" s="31">
        <f t="shared" si="2"/>
        <v>0.36809464712420126</v>
      </c>
      <c r="J20" s="32">
        <f t="shared" si="5"/>
        <v>172.22044255000006</v>
      </c>
      <c r="K20" s="32">
        <f t="shared" si="3"/>
        <v>13.247726350000004</v>
      </c>
      <c r="L20" s="29">
        <v>74</v>
      </c>
      <c r="M20" s="33">
        <f t="shared" si="6"/>
        <v>0.17567567567567569</v>
      </c>
      <c r="N20" s="29">
        <v>45</v>
      </c>
      <c r="O20" s="34">
        <f t="shared" ref="O20:P20" si="28">D20/7</f>
        <v>1.8571428571428572</v>
      </c>
      <c r="P20" s="34">
        <f t="shared" si="28"/>
        <v>0.2857142857142857</v>
      </c>
      <c r="Q20" s="29">
        <f t="shared" si="8"/>
        <v>21</v>
      </c>
      <c r="R20" s="29"/>
      <c r="S20" s="35">
        <v>3.33928571428571</v>
      </c>
      <c r="T20" s="28">
        <v>504</v>
      </c>
      <c r="U20" s="36" t="s">
        <v>33</v>
      </c>
      <c r="V20" s="37" t="s">
        <v>33</v>
      </c>
      <c r="W20" s="28">
        <v>0</v>
      </c>
      <c r="X20" s="38">
        <f t="shared" si="9"/>
        <v>0</v>
      </c>
      <c r="Y20" s="39">
        <f t="shared" si="10"/>
        <v>0</v>
      </c>
      <c r="Z20" s="28">
        <v>0</v>
      </c>
      <c r="AA20" s="28" t="s">
        <v>34</v>
      </c>
      <c r="AB20" s="40">
        <f t="shared" si="11"/>
        <v>-0.69</v>
      </c>
      <c r="AC20" s="41">
        <v>8.6904999999999996E-2</v>
      </c>
      <c r="AD20" s="39">
        <f t="shared" si="12"/>
        <v>-1.5590757</v>
      </c>
      <c r="AE20" s="39">
        <v>-6.18</v>
      </c>
      <c r="AF20" s="39">
        <v>-11.043844750000002</v>
      </c>
      <c r="AG20" s="39">
        <v>0</v>
      </c>
    </row>
    <row r="21" spans="1:33" ht="15.75" customHeight="1" x14ac:dyDescent="0.2">
      <c r="A21" s="28" t="s">
        <v>59</v>
      </c>
      <c r="B21" s="28" t="s">
        <v>593</v>
      </c>
      <c r="C21" s="15">
        <f t="shared" si="4"/>
        <v>35.99</v>
      </c>
      <c r="D21" s="29">
        <v>17</v>
      </c>
      <c r="E21" s="29">
        <v>4</v>
      </c>
      <c r="F21" s="32">
        <v>611.83000000000004</v>
      </c>
      <c r="G21" s="30">
        <v>0</v>
      </c>
      <c r="H21" s="31">
        <f t="shared" si="1"/>
        <v>0</v>
      </c>
      <c r="I21" s="31">
        <f t="shared" si="2"/>
        <v>0.36809464712420115</v>
      </c>
      <c r="J21" s="32">
        <f t="shared" si="5"/>
        <v>225.21134795</v>
      </c>
      <c r="K21" s="32">
        <f t="shared" si="3"/>
        <v>13.247726350000001</v>
      </c>
      <c r="L21" s="29">
        <v>32</v>
      </c>
      <c r="M21" s="33">
        <f t="shared" si="6"/>
        <v>0.53125</v>
      </c>
      <c r="N21" s="29">
        <v>24</v>
      </c>
      <c r="O21" s="34">
        <f t="shared" ref="O21:P21" si="29">D21/7</f>
        <v>2.4285714285714284</v>
      </c>
      <c r="P21" s="34">
        <f t="shared" si="29"/>
        <v>0.5714285714285714</v>
      </c>
      <c r="Q21" s="29">
        <f t="shared" si="8"/>
        <v>8</v>
      </c>
      <c r="R21" s="29"/>
      <c r="S21" s="35">
        <v>2.4822695035460902</v>
      </c>
      <c r="T21" s="28">
        <v>504</v>
      </c>
      <c r="U21" s="36">
        <v>180</v>
      </c>
      <c r="V21" s="37" t="s">
        <v>594</v>
      </c>
      <c r="W21" s="28">
        <v>0</v>
      </c>
      <c r="X21" s="38">
        <f t="shared" si="9"/>
        <v>0</v>
      </c>
      <c r="Y21" s="39">
        <f t="shared" si="10"/>
        <v>0</v>
      </c>
      <c r="Z21" s="28">
        <v>0</v>
      </c>
      <c r="AA21" s="28" t="s">
        <v>34</v>
      </c>
      <c r="AB21" s="40">
        <f t="shared" si="11"/>
        <v>-0.69</v>
      </c>
      <c r="AC21" s="41">
        <v>8.6904999999999996E-2</v>
      </c>
      <c r="AD21" s="39">
        <f t="shared" si="12"/>
        <v>-2.0387912999999998</v>
      </c>
      <c r="AE21" s="39">
        <v>-6.18</v>
      </c>
      <c r="AF21" s="39">
        <v>-11.043844750000002</v>
      </c>
      <c r="AG21" s="39">
        <v>0</v>
      </c>
    </row>
    <row r="22" spans="1:33" ht="15.75" customHeight="1" x14ac:dyDescent="0.2">
      <c r="A22" s="28" t="s">
        <v>60</v>
      </c>
      <c r="B22" s="28" t="s">
        <v>52</v>
      </c>
      <c r="C22" s="15">
        <f t="shared" si="4"/>
        <v>36.927500000000002</v>
      </c>
      <c r="D22" s="29">
        <v>16</v>
      </c>
      <c r="E22" s="29">
        <v>4</v>
      </c>
      <c r="F22" s="30">
        <v>590.84</v>
      </c>
      <c r="G22" s="30">
        <v>0</v>
      </c>
      <c r="H22" s="31">
        <f t="shared" si="1"/>
        <v>0</v>
      </c>
      <c r="I22" s="31">
        <f t="shared" si="2"/>
        <v>0.38032905964389679</v>
      </c>
      <c r="J22" s="32">
        <f t="shared" si="5"/>
        <v>224.71362159999998</v>
      </c>
      <c r="K22" s="32">
        <f t="shared" si="3"/>
        <v>14.044601349999999</v>
      </c>
      <c r="L22" s="29">
        <v>80</v>
      </c>
      <c r="M22" s="33">
        <f t="shared" si="6"/>
        <v>0.2</v>
      </c>
      <c r="N22" s="29">
        <v>1</v>
      </c>
      <c r="O22" s="34">
        <f t="shared" ref="O22:P22" si="30">D22/7</f>
        <v>2.2857142857142856</v>
      </c>
      <c r="P22" s="34">
        <f t="shared" si="30"/>
        <v>0.5714285714285714</v>
      </c>
      <c r="Q22" s="29">
        <f t="shared" si="8"/>
        <v>0</v>
      </c>
      <c r="R22" s="29"/>
      <c r="S22" s="35">
        <v>3.45893719806763</v>
      </c>
      <c r="T22" s="28">
        <v>504</v>
      </c>
      <c r="U22" s="36">
        <v>180</v>
      </c>
      <c r="V22" s="37" t="s">
        <v>594</v>
      </c>
      <c r="W22" s="28">
        <v>0</v>
      </c>
      <c r="X22" s="38">
        <f t="shared" si="9"/>
        <v>0</v>
      </c>
      <c r="Y22" s="39">
        <f t="shared" si="10"/>
        <v>0</v>
      </c>
      <c r="Z22" s="28">
        <v>0</v>
      </c>
      <c r="AA22" s="28" t="s">
        <v>34</v>
      </c>
      <c r="AB22" s="40">
        <f t="shared" si="11"/>
        <v>-0.69</v>
      </c>
      <c r="AC22" s="41">
        <v>8.6904999999999996E-2</v>
      </c>
      <c r="AD22" s="39">
        <f t="shared" si="12"/>
        <v>-1.9188623999999999</v>
      </c>
      <c r="AE22" s="39">
        <v>-6.18</v>
      </c>
      <c r="AF22" s="39">
        <v>-11.043844750000002</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v>4.5479452054794498</v>
      </c>
      <c r="T23" s="28">
        <v>504</v>
      </c>
      <c r="U23" s="36" t="s">
        <v>33</v>
      </c>
      <c r="V23" s="37" t="s">
        <v>595</v>
      </c>
      <c r="W23" s="28">
        <v>0</v>
      </c>
      <c r="X23" s="38">
        <f t="shared" si="9"/>
        <v>0</v>
      </c>
      <c r="Y23" s="39">
        <f t="shared" si="10"/>
        <v>0</v>
      </c>
      <c r="Z23" s="28">
        <v>0</v>
      </c>
      <c r="AA23" s="28" t="s">
        <v>34</v>
      </c>
      <c r="AB23" s="40">
        <f t="shared" si="11"/>
        <v>-0.69</v>
      </c>
      <c r="AC23" s="41">
        <v>8.6904999999999996E-2</v>
      </c>
      <c r="AD23" s="39">
        <f t="shared" si="12"/>
        <v>0</v>
      </c>
      <c r="AE23" s="39">
        <v>-6.18</v>
      </c>
      <c r="AF23" s="39">
        <v>-11.043844750000002</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v>5.3571428571428497</v>
      </c>
      <c r="T24" s="28">
        <v>500</v>
      </c>
      <c r="U24" s="36" t="s">
        <v>33</v>
      </c>
      <c r="V24" s="37" t="s">
        <v>596</v>
      </c>
      <c r="W24" s="28">
        <v>0</v>
      </c>
      <c r="X24" s="38">
        <f t="shared" si="9"/>
        <v>0</v>
      </c>
      <c r="Y24" s="39">
        <f t="shared" si="10"/>
        <v>0</v>
      </c>
      <c r="Z24" s="28">
        <v>0</v>
      </c>
      <c r="AA24" s="28" t="s">
        <v>34</v>
      </c>
      <c r="AB24" s="40">
        <f t="shared" si="11"/>
        <v>-0.69</v>
      </c>
      <c r="AC24" s="41">
        <v>8.6904999999999996E-2</v>
      </c>
      <c r="AD24" s="39">
        <f t="shared" si="12"/>
        <v>0</v>
      </c>
      <c r="AE24" s="39">
        <v>-6.18</v>
      </c>
      <c r="AF24" s="39">
        <v>-11.043844750000002</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496</v>
      </c>
      <c r="U25" s="36">
        <v>176</v>
      </c>
      <c r="V25" s="37" t="s">
        <v>597</v>
      </c>
      <c r="W25" s="14">
        <v>0</v>
      </c>
      <c r="X25" s="38">
        <f t="shared" si="9"/>
        <v>0</v>
      </c>
      <c r="Y25" s="39">
        <f t="shared" si="10"/>
        <v>0</v>
      </c>
      <c r="Z25" s="14">
        <v>0</v>
      </c>
      <c r="AA25" s="28" t="s">
        <v>34</v>
      </c>
      <c r="AB25" s="40">
        <f t="shared" si="11"/>
        <v>-0.69</v>
      </c>
      <c r="AC25" s="41">
        <v>8.6904999999999996E-2</v>
      </c>
      <c r="AD25" s="39">
        <f t="shared" si="12"/>
        <v>0</v>
      </c>
      <c r="AE25" s="39">
        <v>-6.18</v>
      </c>
      <c r="AF25" s="39">
        <v>-11.04</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952</v>
      </c>
      <c r="U26" s="36">
        <v>176</v>
      </c>
      <c r="V26" s="37" t="s">
        <v>597</v>
      </c>
      <c r="W26" s="14">
        <v>0</v>
      </c>
      <c r="X26" s="38">
        <f t="shared" si="9"/>
        <v>0</v>
      </c>
      <c r="Y26" s="39">
        <f t="shared" si="10"/>
        <v>0</v>
      </c>
      <c r="Z26" s="14">
        <v>0</v>
      </c>
      <c r="AA26" s="28" t="s">
        <v>34</v>
      </c>
      <c r="AB26" s="40">
        <f t="shared" si="11"/>
        <v>-0.69</v>
      </c>
      <c r="AC26" s="41">
        <v>8.6904999999999996E-2</v>
      </c>
      <c r="AD26" s="39">
        <f t="shared" si="12"/>
        <v>0</v>
      </c>
      <c r="AE26" s="25">
        <v>-6.18</v>
      </c>
      <c r="AF26" s="25">
        <v>-11.08484475</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952</v>
      </c>
      <c r="U27" s="36">
        <v>176</v>
      </c>
      <c r="V27" s="37" t="s">
        <v>597</v>
      </c>
      <c r="W27" s="14">
        <v>0</v>
      </c>
      <c r="X27" s="38">
        <f t="shared" si="9"/>
        <v>0</v>
      </c>
      <c r="Y27" s="39">
        <f t="shared" si="10"/>
        <v>0</v>
      </c>
      <c r="Z27" s="14">
        <v>0</v>
      </c>
      <c r="AA27" s="28" t="s">
        <v>34</v>
      </c>
      <c r="AB27" s="40">
        <f t="shared" si="11"/>
        <v>-0.69</v>
      </c>
      <c r="AC27" s="41">
        <v>8.6904999999999996E-2</v>
      </c>
      <c r="AD27" s="39">
        <f t="shared" si="12"/>
        <v>0</v>
      </c>
      <c r="AE27" s="25">
        <v>-6.18</v>
      </c>
      <c r="AF27" s="25">
        <v>-10.556995000000001</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952</v>
      </c>
      <c r="U28" s="36">
        <v>176</v>
      </c>
      <c r="V28" s="37" t="s">
        <v>598</v>
      </c>
      <c r="W28" s="14">
        <v>0</v>
      </c>
      <c r="X28" s="38">
        <f t="shared" si="9"/>
        <v>0</v>
      </c>
      <c r="Y28" s="39">
        <f t="shared" si="10"/>
        <v>0</v>
      </c>
      <c r="Z28" s="14">
        <v>0</v>
      </c>
      <c r="AA28" s="28" t="s">
        <v>34</v>
      </c>
      <c r="AB28" s="40">
        <f t="shared" si="11"/>
        <v>-0.69</v>
      </c>
      <c r="AC28" s="41">
        <v>8.6904999999999996E-2</v>
      </c>
      <c r="AD28" s="39">
        <f t="shared" si="12"/>
        <v>0</v>
      </c>
      <c r="AE28" s="25">
        <v>-6.18</v>
      </c>
      <c r="AF28" s="25">
        <v>-10.556995000000001</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1112</v>
      </c>
      <c r="U29" s="36">
        <v>176</v>
      </c>
      <c r="V29" s="37" t="s">
        <v>599</v>
      </c>
      <c r="W29" s="14">
        <v>0</v>
      </c>
      <c r="X29" s="38">
        <f t="shared" si="9"/>
        <v>0</v>
      </c>
      <c r="Y29" s="39">
        <f t="shared" si="10"/>
        <v>0</v>
      </c>
      <c r="Z29" s="14">
        <v>0</v>
      </c>
      <c r="AA29" s="28" t="s">
        <v>34</v>
      </c>
      <c r="AB29" s="40">
        <f t="shared" si="11"/>
        <v>-0.69</v>
      </c>
      <c r="AC29" s="41">
        <v>8.6904999999999996E-2</v>
      </c>
      <c r="AD29" s="39">
        <f t="shared" si="12"/>
        <v>0</v>
      </c>
      <c r="AE29" s="39">
        <v>-6.18</v>
      </c>
      <c r="AF29" s="25">
        <v>-10.556995000000001</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936</v>
      </c>
      <c r="U30" s="36">
        <v>160</v>
      </c>
      <c r="V30" s="37" t="s">
        <v>600</v>
      </c>
      <c r="W30" s="14">
        <v>0</v>
      </c>
      <c r="X30" s="38">
        <f t="shared" si="9"/>
        <v>0</v>
      </c>
      <c r="Y30" s="39">
        <f t="shared" si="10"/>
        <v>0</v>
      </c>
      <c r="Z30" s="14">
        <v>0</v>
      </c>
      <c r="AA30" s="28" t="s">
        <v>34</v>
      </c>
      <c r="AB30" s="40">
        <f t="shared" si="11"/>
        <v>-0.69</v>
      </c>
      <c r="AC30" s="41">
        <v>8.6904999999999996E-2</v>
      </c>
      <c r="AD30" s="39">
        <f t="shared" si="12"/>
        <v>0</v>
      </c>
      <c r="AE30" s="25">
        <v>-6.18</v>
      </c>
      <c r="AF30" s="25">
        <v>-10.115682582</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176</v>
      </c>
      <c r="O31" s="34">
        <f t="shared" ref="O31:P32" si="39">D31/7</f>
        <v>0</v>
      </c>
      <c r="P31" s="34">
        <f t="shared" si="39"/>
        <v>0</v>
      </c>
      <c r="Q31" s="29" t="e">
        <f t="shared" si="8"/>
        <v>#DIV/0!</v>
      </c>
      <c r="R31" s="29"/>
      <c r="S31" s="21">
        <v>1.1700680272108801</v>
      </c>
      <c r="T31" s="14">
        <v>160</v>
      </c>
      <c r="U31" s="22">
        <v>160</v>
      </c>
      <c r="V31" s="1" t="s">
        <v>942</v>
      </c>
      <c r="W31" s="14">
        <v>0</v>
      </c>
      <c r="X31" s="38">
        <f t="shared" si="9"/>
        <v>0</v>
      </c>
      <c r="Y31" s="39">
        <f t="shared" si="10"/>
        <v>0</v>
      </c>
      <c r="Z31" s="14">
        <v>0</v>
      </c>
      <c r="AA31" s="14" t="s">
        <v>34</v>
      </c>
      <c r="AB31" s="40">
        <f t="shared" si="11"/>
        <v>-0.69</v>
      </c>
      <c r="AC31" s="27">
        <v>8.6904999999999996E-2</v>
      </c>
      <c r="AD31" s="39">
        <f t="shared" si="12"/>
        <v>0</v>
      </c>
      <c r="AE31" s="43">
        <v>-6.18</v>
      </c>
      <c r="AF31" s="43">
        <v>-10.115682582</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176</v>
      </c>
      <c r="O32" s="34">
        <f t="shared" si="39"/>
        <v>0</v>
      </c>
      <c r="P32" s="34">
        <f t="shared" si="39"/>
        <v>0</v>
      </c>
      <c r="Q32" s="29" t="e">
        <f t="shared" si="8"/>
        <v>#DIV/0!</v>
      </c>
      <c r="R32" s="29" t="str">
        <f ca="1">IFERROR(VLOOKUP($B$2,IMPORTRANGE("https://docs.google.com/spreadsheets/d/1KiWZV1ko8G7lnRucBRBd29jj3Be6ltMfljMDqzOkQmI/edit#gid=1381463014","Lookup!A:F"),6,FALSE),"")</f>
        <v/>
      </c>
      <c r="S32" s="54">
        <v>0.95161290322580649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8.6904999999999996E-2</v>
      </c>
      <c r="AD32" s="39">
        <f t="shared" si="12"/>
        <v>0</v>
      </c>
      <c r="AE32" s="58">
        <v>-6.18</v>
      </c>
      <c r="AF32" s="58">
        <v>-10.115682582</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31.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Info!B1:BJ5000""),3,FALSE),"""")"),"12 Gauge Automotive Wire - 6 Roll Assortment Pack -100 Ft of Copper Clad Aluminum Primary Wire per Roll")</f>
        <v>12 Gauge Automotive Wire - 6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Info!B1:BJ5000""),2,FALSE),"""")"),"B07QJ6Y446")</f>
        <v>B07QJ6Y446</v>
      </c>
      <c r="B2" s="49" t="s">
        <v>601</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79.5" customHeight="1" x14ac:dyDescent="0.2">
      <c r="A3" s="76" t="s">
        <v>30</v>
      </c>
      <c r="B3" s="77"/>
      <c r="C3" s="47">
        <f>((AE32+AF32)/0.85)*-1</f>
        <v>26.57288810220588</v>
      </c>
      <c r="D3" s="5">
        <f>SUM(D4:D99634)</f>
        <v>340</v>
      </c>
      <c r="E3" s="5"/>
      <c r="F3" s="6">
        <f t="shared" ref="F3:G3" si="0">SUM(F4:F99634)</f>
        <v>15007.609999999997</v>
      </c>
      <c r="G3" s="6">
        <f t="shared" si="0"/>
        <v>-1.8099999999999998</v>
      </c>
      <c r="H3" s="7">
        <f t="shared" ref="H3:H32" si="1">G3/F3*-1</f>
        <v>1.2060547948674041E-4</v>
      </c>
      <c r="I3" s="8">
        <f t="shared" ref="I3:I32" si="2">J3/F3</f>
        <v>0.29591437048715058</v>
      </c>
      <c r="J3" s="6">
        <f>SUM(J4:J99634)</f>
        <v>4440.9674656666648</v>
      </c>
      <c r="K3" s="6">
        <f t="shared" ref="K3:K32" si="3">J3/D3</f>
        <v>13.061669016666661</v>
      </c>
      <c r="L3" s="5"/>
      <c r="M3" s="9"/>
      <c r="N3" s="10"/>
      <c r="O3" s="5" t="str">
        <f ca="1">IFERROR(__xludf.DUMMYFUNCTION("IFERROR(VLOOKUP(B2,IMPORTRANGE(""https://docs.google.com/spreadsheets/d/1N8jvpEHDVkurDv7NrPxwI3eH6hQsvtb1QltGNCalRjU/edit#gid=865736387"",""Compiled Sheet!a1:g5000""),2,FALSE),"""")"),"3.5 - March
3 - April
5 - May
5 - June
2.5 - July
2.5 - Aug
2.5 - Sept
2 - Oct
2 - Nov
2 - Dec
2.5 - Jan
2.5 - Feb")</f>
        <v>3.5 - March
3 - April
5 - May
5 - June
2.5 - July
2.5 - Aug
2.5 - Sept
2 - Oct
2 - Nov
2 - Dec
2.5 - Jan
2.5 -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v>
      </c>
      <c r="X3" s="7">
        <f>W3/D3</f>
        <v>2.9411764705882353E-3</v>
      </c>
      <c r="Y3" s="6"/>
      <c r="Z3" s="5"/>
      <c r="AA3" s="5"/>
      <c r="AB3" s="5"/>
      <c r="AC3" s="5"/>
      <c r="AD3" s="6">
        <f>SUM(AD4:AD99634)</f>
        <v>-75.38724375000001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Info!B2:BZ7000""),37,FALSE)),"""")*-1"),-15.106954886875)</f>
        <v>-15.106954886875</v>
      </c>
      <c r="AG3" s="6">
        <f>SUM(AG4:AG99634)</f>
        <v>0</v>
      </c>
    </row>
    <row r="4" spans="1:33" ht="15.75" customHeight="1" x14ac:dyDescent="0.2">
      <c r="A4" s="14" t="s">
        <v>31</v>
      </c>
      <c r="B4" s="14" t="s">
        <v>602</v>
      </c>
      <c r="C4" s="15" t="str">
        <f t="shared" ref="C4:C32" si="4">IFERROR(F4/D4," - ")</f>
        <v xml:space="preserve"> - </v>
      </c>
      <c r="D4" s="16">
        <v>0</v>
      </c>
      <c r="E4" s="16">
        <v>0</v>
      </c>
      <c r="F4" s="17">
        <v>0</v>
      </c>
      <c r="G4" s="17">
        <v>0</v>
      </c>
      <c r="H4" s="18" t="e">
        <f t="shared" si="1"/>
        <v>#DIV/0!</v>
      </c>
      <c r="I4" s="18" t="e">
        <f t="shared" si="2"/>
        <v>#DIV/0!</v>
      </c>
      <c r="J4" s="17">
        <f t="shared" ref="J4:J32" si="5">F4*0.85+G4+AF4*D4+D4*AE4+AG4+AD4</f>
        <v>0</v>
      </c>
      <c r="K4" s="17" t="e">
        <f t="shared" si="3"/>
        <v>#DIV/0!</v>
      </c>
      <c r="L4" s="16">
        <v>0</v>
      </c>
      <c r="M4" s="19" t="str">
        <f t="shared" ref="M4:M32" si="6">IFERROR(D4/L4,"-")</f>
        <v>-</v>
      </c>
      <c r="N4" s="16">
        <v>0</v>
      </c>
      <c r="O4" s="20">
        <f t="shared" ref="O4:P4" si="7">D4/7</f>
        <v>0</v>
      </c>
      <c r="P4" s="20">
        <f t="shared" si="7"/>
        <v>0</v>
      </c>
      <c r="Q4" s="16" t="e">
        <f t="shared" ref="Q4:Q32" si="8">ROUNDDOWN(N4/(O4+P4),0)</f>
        <v>#DIV/0!</v>
      </c>
      <c r="R4" s="16"/>
      <c r="S4" s="21" t="e">
        <v>#N/A</v>
      </c>
      <c r="T4" s="14">
        <v>365</v>
      </c>
      <c r="U4" s="22" t="s">
        <v>33</v>
      </c>
      <c r="V4" s="23" t="s">
        <v>33</v>
      </c>
      <c r="W4" s="14">
        <v>0</v>
      </c>
      <c r="X4" s="24">
        <f t="shared" ref="X4:X32" si="9">IFERROR(W4/D4,0)</f>
        <v>0</v>
      </c>
      <c r="Y4" s="25">
        <f t="shared" ref="Y4:Y32" si="10">IFERROR(G4/(W4+Z4)*-1,0)</f>
        <v>0</v>
      </c>
      <c r="Z4" s="14">
        <v>0</v>
      </c>
      <c r="AA4" s="2" t="e">
        <v>#N/A</v>
      </c>
      <c r="AB4" s="26" t="e">
        <f t="shared" ref="AB4:AB32" si="11">IF(OR(AA4="UsLargeStandardSize",AA4="UsSmallStandardSize"),-0.69,-0.48)</f>
        <v>#N/A</v>
      </c>
      <c r="AC4" s="27" t="e">
        <v>#N/A</v>
      </c>
      <c r="AD4" s="25">
        <f t="shared" ref="AD4:AD32" si="12">IFERROR(AB4*AC4*D4*2,0)</f>
        <v>0</v>
      </c>
      <c r="AE4" s="25">
        <v>0</v>
      </c>
      <c r="AF4" s="25">
        <v>-15.784251666666668</v>
      </c>
      <c r="AG4" s="25">
        <v>0</v>
      </c>
    </row>
    <row r="5" spans="1:33" ht="15.75" customHeight="1" x14ac:dyDescent="0.2">
      <c r="A5" s="28" t="s">
        <v>35</v>
      </c>
      <c r="B5" s="28"/>
      <c r="C5" s="15" t="str">
        <f t="shared" si="4"/>
        <v xml:space="preserve"> - </v>
      </c>
      <c r="D5" s="29">
        <v>0</v>
      </c>
      <c r="E5" s="29">
        <v>0</v>
      </c>
      <c r="F5" s="30">
        <v>0</v>
      </c>
      <c r="G5" s="30">
        <v>0</v>
      </c>
      <c r="H5" s="31" t="e">
        <f t="shared" si="1"/>
        <v>#DIV/0!</v>
      </c>
      <c r="I5" s="31" t="e">
        <f t="shared" si="2"/>
        <v>#DIV/0!</v>
      </c>
      <c r="J5" s="32">
        <f t="shared" si="5"/>
        <v>0</v>
      </c>
      <c r="K5" s="32" t="e">
        <f t="shared" si="3"/>
        <v>#DIV/0!</v>
      </c>
      <c r="L5" s="29">
        <v>0</v>
      </c>
      <c r="M5" s="33" t="str">
        <f t="shared" si="6"/>
        <v>-</v>
      </c>
      <c r="N5" s="29">
        <v>0</v>
      </c>
      <c r="O5" s="34">
        <f t="shared" ref="O5:P5" si="13">D5/7</f>
        <v>0</v>
      </c>
      <c r="P5" s="34">
        <f t="shared" si="13"/>
        <v>0</v>
      </c>
      <c r="Q5" s="29" t="e">
        <f t="shared" si="8"/>
        <v>#DIV/0!</v>
      </c>
      <c r="R5" s="29"/>
      <c r="S5" s="35" t="e">
        <v>#N/A</v>
      </c>
      <c r="T5" s="28">
        <v>365</v>
      </c>
      <c r="U5" s="36" t="s">
        <v>33</v>
      </c>
      <c r="V5" s="37" t="s">
        <v>33</v>
      </c>
      <c r="W5" s="28">
        <v>0</v>
      </c>
      <c r="X5" s="38">
        <f t="shared" si="9"/>
        <v>0</v>
      </c>
      <c r="Y5" s="39">
        <f t="shared" si="10"/>
        <v>0</v>
      </c>
      <c r="Z5" s="28">
        <v>0</v>
      </c>
      <c r="AA5" s="28" t="e">
        <v>#N/A</v>
      </c>
      <c r="AB5" s="40" t="e">
        <f t="shared" si="11"/>
        <v>#N/A</v>
      </c>
      <c r="AC5" s="41" t="e">
        <v>#N/A</v>
      </c>
      <c r="AD5" s="39">
        <f t="shared" si="12"/>
        <v>0</v>
      </c>
      <c r="AE5" s="39">
        <v>0</v>
      </c>
      <c r="AF5" s="39">
        <v>-15.784251666666668</v>
      </c>
      <c r="AG5" s="39">
        <v>0</v>
      </c>
    </row>
    <row r="6" spans="1:33" ht="15.75" customHeight="1" x14ac:dyDescent="0.2">
      <c r="A6" s="28" t="s">
        <v>37</v>
      </c>
      <c r="B6" s="28"/>
      <c r="C6" s="15" t="str">
        <f t="shared" si="4"/>
        <v xml:space="preserve"> - </v>
      </c>
      <c r="D6" s="29">
        <v>0</v>
      </c>
      <c r="E6" s="29">
        <v>0</v>
      </c>
      <c r="F6" s="30">
        <v>0</v>
      </c>
      <c r="G6" s="30">
        <v>0</v>
      </c>
      <c r="H6" s="31" t="e">
        <f t="shared" si="1"/>
        <v>#DIV/0!</v>
      </c>
      <c r="I6" s="31" t="e">
        <f t="shared" si="2"/>
        <v>#DIV/0!</v>
      </c>
      <c r="J6" s="32">
        <f t="shared" si="5"/>
        <v>0</v>
      </c>
      <c r="K6" s="32" t="e">
        <f t="shared" si="3"/>
        <v>#DIV/0!</v>
      </c>
      <c r="L6" s="29">
        <v>0</v>
      </c>
      <c r="M6" s="33" t="str">
        <f t="shared" si="6"/>
        <v>-</v>
      </c>
      <c r="N6" s="29">
        <v>0</v>
      </c>
      <c r="O6" s="34">
        <f t="shared" ref="O6:P6" si="14">D6/7</f>
        <v>0</v>
      </c>
      <c r="P6" s="34">
        <f t="shared" si="14"/>
        <v>0</v>
      </c>
      <c r="Q6" s="29" t="e">
        <f t="shared" si="8"/>
        <v>#DIV/0!</v>
      </c>
      <c r="R6" s="29"/>
      <c r="S6" s="35" t="e">
        <v>#N/A</v>
      </c>
      <c r="T6" s="28">
        <v>365</v>
      </c>
      <c r="U6" s="36" t="s">
        <v>33</v>
      </c>
      <c r="V6" s="37" t="s">
        <v>39</v>
      </c>
      <c r="W6" s="28">
        <v>0</v>
      </c>
      <c r="X6" s="38">
        <f t="shared" si="9"/>
        <v>0</v>
      </c>
      <c r="Y6" s="39">
        <f t="shared" si="10"/>
        <v>0</v>
      </c>
      <c r="Z6" s="28">
        <v>0</v>
      </c>
      <c r="AA6" s="28" t="e">
        <v>#N/A</v>
      </c>
      <c r="AB6" s="40" t="e">
        <f t="shared" si="11"/>
        <v>#N/A</v>
      </c>
      <c r="AC6" s="41" t="e">
        <v>#N/A</v>
      </c>
      <c r="AD6" s="39">
        <f t="shared" si="12"/>
        <v>0</v>
      </c>
      <c r="AE6" s="39">
        <v>0</v>
      </c>
      <c r="AF6" s="39">
        <v>-15.784251666666668</v>
      </c>
      <c r="AG6" s="39">
        <v>0</v>
      </c>
    </row>
    <row r="7" spans="1:33" ht="15.75" customHeight="1" x14ac:dyDescent="0.2">
      <c r="A7" s="28" t="s">
        <v>40</v>
      </c>
      <c r="B7" s="28"/>
      <c r="C7" s="15" t="str">
        <f t="shared" si="4"/>
        <v xml:space="preserve"> - </v>
      </c>
      <c r="D7" s="29">
        <v>0</v>
      </c>
      <c r="E7" s="29">
        <v>0</v>
      </c>
      <c r="F7" s="30">
        <v>0</v>
      </c>
      <c r="G7" s="30">
        <v>0</v>
      </c>
      <c r="H7" s="31" t="e">
        <f t="shared" si="1"/>
        <v>#DIV/0!</v>
      </c>
      <c r="I7" s="31" t="e">
        <f t="shared" si="2"/>
        <v>#DIV/0!</v>
      </c>
      <c r="J7" s="32">
        <f t="shared" si="5"/>
        <v>0</v>
      </c>
      <c r="K7" s="32" t="e">
        <f t="shared" si="3"/>
        <v>#DIV/0!</v>
      </c>
      <c r="L7" s="29">
        <v>0</v>
      </c>
      <c r="M7" s="33" t="str">
        <f t="shared" si="6"/>
        <v>-</v>
      </c>
      <c r="N7" s="29">
        <v>0</v>
      </c>
      <c r="O7" s="34">
        <f t="shared" ref="O7:P7" si="15">D7/7</f>
        <v>0</v>
      </c>
      <c r="P7" s="34">
        <f t="shared" si="15"/>
        <v>0</v>
      </c>
      <c r="Q7" s="29" t="e">
        <f t="shared" si="8"/>
        <v>#DIV/0!</v>
      </c>
      <c r="R7" s="29"/>
      <c r="S7" s="35" t="e">
        <v>#N/A</v>
      </c>
      <c r="T7" s="28">
        <v>365</v>
      </c>
      <c r="U7" s="36" t="s">
        <v>33</v>
      </c>
      <c r="V7" s="37" t="s">
        <v>39</v>
      </c>
      <c r="W7" s="28">
        <v>0</v>
      </c>
      <c r="X7" s="38">
        <f t="shared" si="9"/>
        <v>0</v>
      </c>
      <c r="Y7" s="39">
        <f t="shared" si="10"/>
        <v>0</v>
      </c>
      <c r="Z7" s="28">
        <v>0</v>
      </c>
      <c r="AA7" s="28" t="e">
        <v>#N/A</v>
      </c>
      <c r="AB7" s="40" t="e">
        <f t="shared" si="11"/>
        <v>#N/A</v>
      </c>
      <c r="AC7" s="41" t="e">
        <v>#N/A</v>
      </c>
      <c r="AD7" s="39">
        <f t="shared" si="12"/>
        <v>0</v>
      </c>
      <c r="AE7" s="39">
        <v>0</v>
      </c>
      <c r="AF7" s="39">
        <v>-15.784251666666668</v>
      </c>
      <c r="AG7" s="39">
        <v>0</v>
      </c>
    </row>
    <row r="8" spans="1:33" ht="15.75" customHeight="1" x14ac:dyDescent="0.2">
      <c r="A8" s="28" t="s">
        <v>42</v>
      </c>
      <c r="B8" s="28"/>
      <c r="C8" s="15" t="str">
        <f t="shared" si="4"/>
        <v xml:space="preserve"> - </v>
      </c>
      <c r="D8" s="29">
        <v>0</v>
      </c>
      <c r="E8" s="29">
        <v>0</v>
      </c>
      <c r="F8" s="30">
        <v>0</v>
      </c>
      <c r="G8" s="30">
        <v>0</v>
      </c>
      <c r="H8" s="31" t="e">
        <f t="shared" si="1"/>
        <v>#DIV/0!</v>
      </c>
      <c r="I8" s="31" t="e">
        <f t="shared" si="2"/>
        <v>#DIV/0!</v>
      </c>
      <c r="J8" s="32">
        <f t="shared" si="5"/>
        <v>0</v>
      </c>
      <c r="K8" s="32" t="e">
        <f t="shared" si="3"/>
        <v>#DIV/0!</v>
      </c>
      <c r="L8" s="29">
        <v>0</v>
      </c>
      <c r="M8" s="33" t="str">
        <f t="shared" si="6"/>
        <v>-</v>
      </c>
      <c r="N8" s="29">
        <v>1</v>
      </c>
      <c r="O8" s="34">
        <f t="shared" ref="O8:P8" si="16">D8/7</f>
        <v>0</v>
      </c>
      <c r="P8" s="34">
        <f t="shared" si="16"/>
        <v>0</v>
      </c>
      <c r="Q8" s="29" t="e">
        <f t="shared" si="8"/>
        <v>#DIV/0!</v>
      </c>
      <c r="R8" s="29"/>
      <c r="S8" s="35">
        <v>3.1604938271604901</v>
      </c>
      <c r="T8" s="28">
        <v>365</v>
      </c>
      <c r="U8" s="36">
        <v>200</v>
      </c>
      <c r="V8" s="37" t="s">
        <v>603</v>
      </c>
      <c r="W8" s="28">
        <v>0</v>
      </c>
      <c r="X8" s="38">
        <f t="shared" si="9"/>
        <v>0</v>
      </c>
      <c r="Y8" s="39">
        <f t="shared" si="10"/>
        <v>0</v>
      </c>
      <c r="Z8" s="28">
        <v>0</v>
      </c>
      <c r="AA8" s="28" t="s">
        <v>34</v>
      </c>
      <c r="AB8" s="40">
        <f t="shared" si="11"/>
        <v>-0.69</v>
      </c>
      <c r="AC8" s="41">
        <v>0.16067187499999999</v>
      </c>
      <c r="AD8" s="39">
        <f t="shared" si="12"/>
        <v>0</v>
      </c>
      <c r="AE8" s="39">
        <v>-7.7</v>
      </c>
      <c r="AF8" s="39">
        <v>-15.78</v>
      </c>
      <c r="AG8" s="39">
        <v>0</v>
      </c>
    </row>
    <row r="9" spans="1:33" ht="15.75" customHeight="1" x14ac:dyDescent="0.2">
      <c r="A9" s="28" t="s">
        <v>44</v>
      </c>
      <c r="B9" s="28"/>
      <c r="C9" s="15">
        <f t="shared" si="4"/>
        <v>44.99</v>
      </c>
      <c r="D9" s="29">
        <v>1</v>
      </c>
      <c r="E9" s="29">
        <v>0</v>
      </c>
      <c r="F9" s="30">
        <v>44.99</v>
      </c>
      <c r="G9" s="30">
        <v>0</v>
      </c>
      <c r="H9" s="31">
        <f t="shared" si="1"/>
        <v>0</v>
      </c>
      <c r="I9" s="31">
        <f t="shared" si="2"/>
        <v>0.31604477615396087</v>
      </c>
      <c r="J9" s="32">
        <f t="shared" si="5"/>
        <v>14.218854479166701</v>
      </c>
      <c r="K9" s="32">
        <f t="shared" si="3"/>
        <v>14.218854479166701</v>
      </c>
      <c r="L9" s="29">
        <v>4</v>
      </c>
      <c r="M9" s="33">
        <f t="shared" si="6"/>
        <v>0.25</v>
      </c>
      <c r="N9" s="29">
        <v>0</v>
      </c>
      <c r="O9" s="34">
        <f t="shared" ref="O9:P9" si="17">D9/7</f>
        <v>0.14285714285714285</v>
      </c>
      <c r="P9" s="34">
        <f t="shared" si="17"/>
        <v>0</v>
      </c>
      <c r="Q9" s="29">
        <f t="shared" si="8"/>
        <v>0</v>
      </c>
      <c r="R9" s="29"/>
      <c r="S9" s="35" t="e">
        <v>#N/A</v>
      </c>
      <c r="T9" s="28">
        <v>365</v>
      </c>
      <c r="U9" s="36">
        <v>200</v>
      </c>
      <c r="V9" s="37" t="s">
        <v>604</v>
      </c>
      <c r="W9" s="28">
        <v>0</v>
      </c>
      <c r="X9" s="38">
        <f t="shared" si="9"/>
        <v>0</v>
      </c>
      <c r="Y9" s="39">
        <f t="shared" si="10"/>
        <v>0</v>
      </c>
      <c r="Z9" s="28">
        <v>0</v>
      </c>
      <c r="AA9" s="28" t="s">
        <v>34</v>
      </c>
      <c r="AB9" s="40">
        <f t="shared" si="11"/>
        <v>-0.69</v>
      </c>
      <c r="AC9" s="41">
        <v>0.16067187499999999</v>
      </c>
      <c r="AD9" s="39">
        <f t="shared" si="12"/>
        <v>-0.22172718749999998</v>
      </c>
      <c r="AE9" s="39">
        <v>-7.7</v>
      </c>
      <c r="AF9" s="39">
        <v>-16.100918333333301</v>
      </c>
      <c r="AG9" s="39">
        <v>0</v>
      </c>
    </row>
    <row r="10" spans="1:33" ht="15.75" customHeight="1" x14ac:dyDescent="0.2">
      <c r="A10" s="28" t="s">
        <v>46</v>
      </c>
      <c r="B10" s="28"/>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0</v>
      </c>
      <c r="O10" s="34">
        <f t="shared" ref="O10:P10" si="18">D10/7</f>
        <v>0</v>
      </c>
      <c r="P10" s="34">
        <f t="shared" si="18"/>
        <v>0</v>
      </c>
      <c r="Q10" s="29" t="e">
        <f t="shared" si="8"/>
        <v>#DIV/0!</v>
      </c>
      <c r="R10" s="29"/>
      <c r="S10" s="35" t="e">
        <v>#N/A</v>
      </c>
      <c r="T10" s="28">
        <v>365</v>
      </c>
      <c r="U10" s="36">
        <v>200</v>
      </c>
      <c r="V10" s="37" t="s">
        <v>605</v>
      </c>
      <c r="W10" s="28">
        <v>0</v>
      </c>
      <c r="X10" s="38">
        <f t="shared" si="9"/>
        <v>0</v>
      </c>
      <c r="Y10" s="39">
        <f t="shared" si="10"/>
        <v>0</v>
      </c>
      <c r="Z10" s="28">
        <v>0</v>
      </c>
      <c r="AA10" s="28" t="e">
        <v>#N/A</v>
      </c>
      <c r="AB10" s="40" t="e">
        <f t="shared" si="11"/>
        <v>#N/A</v>
      </c>
      <c r="AC10" s="41" t="e">
        <v>#N/A</v>
      </c>
      <c r="AD10" s="39">
        <f t="shared" si="12"/>
        <v>0</v>
      </c>
      <c r="AE10" s="39">
        <v>0</v>
      </c>
      <c r="AF10" s="39">
        <v>-16.100918333333301</v>
      </c>
      <c r="AG10" s="39">
        <v>0</v>
      </c>
    </row>
    <row r="11" spans="1:33" ht="15.75" customHeight="1" x14ac:dyDescent="0.2">
      <c r="A11" s="28" t="s">
        <v>48</v>
      </c>
      <c r="B11" s="28"/>
      <c r="C11" s="15" t="str">
        <f t="shared" si="4"/>
        <v xml:space="preserve"> - </v>
      </c>
      <c r="D11" s="29">
        <v>0</v>
      </c>
      <c r="E11" s="29">
        <v>0</v>
      </c>
      <c r="F11" s="30">
        <v>0</v>
      </c>
      <c r="G11" s="30">
        <v>0</v>
      </c>
      <c r="H11" s="31" t="e">
        <f t="shared" si="1"/>
        <v>#DIV/0!</v>
      </c>
      <c r="I11" s="31" t="e">
        <f t="shared" si="2"/>
        <v>#DIV/0!</v>
      </c>
      <c r="J11" s="32">
        <f t="shared" si="5"/>
        <v>0</v>
      </c>
      <c r="K11" s="32" t="e">
        <f t="shared" si="3"/>
        <v>#DIV/0!</v>
      </c>
      <c r="L11" s="29">
        <v>0</v>
      </c>
      <c r="M11" s="33" t="str">
        <f t="shared" si="6"/>
        <v>-</v>
      </c>
      <c r="N11" s="29">
        <v>0</v>
      </c>
      <c r="O11" s="34">
        <f t="shared" ref="O11:P11" si="19">D11/7</f>
        <v>0</v>
      </c>
      <c r="P11" s="34">
        <f t="shared" si="19"/>
        <v>0</v>
      </c>
      <c r="Q11" s="29" t="e">
        <f t="shared" si="8"/>
        <v>#DIV/0!</v>
      </c>
      <c r="R11" s="29"/>
      <c r="S11" s="35" t="e">
        <v>#N/A</v>
      </c>
      <c r="T11" s="28">
        <v>365</v>
      </c>
      <c r="U11" s="36">
        <v>200</v>
      </c>
      <c r="V11" s="37" t="s">
        <v>605</v>
      </c>
      <c r="W11" s="28">
        <v>0</v>
      </c>
      <c r="X11" s="38">
        <f t="shared" si="9"/>
        <v>0</v>
      </c>
      <c r="Y11" s="39">
        <f t="shared" si="10"/>
        <v>0</v>
      </c>
      <c r="Z11" s="28">
        <v>0</v>
      </c>
      <c r="AA11" s="28" t="e">
        <v>#N/A</v>
      </c>
      <c r="AB11" s="40" t="e">
        <f t="shared" si="11"/>
        <v>#N/A</v>
      </c>
      <c r="AC11" s="41" t="e">
        <v>#N/A</v>
      </c>
      <c r="AD11" s="39">
        <f t="shared" si="12"/>
        <v>0</v>
      </c>
      <c r="AE11" s="39">
        <v>0</v>
      </c>
      <c r="AF11" s="39">
        <v>-16.100918333333301</v>
      </c>
      <c r="AG11" s="39">
        <v>0</v>
      </c>
    </row>
    <row r="12" spans="1:33" ht="15.75" customHeight="1" x14ac:dyDescent="0.2">
      <c r="A12" s="28" t="s">
        <v>49</v>
      </c>
      <c r="B12" s="28"/>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0</v>
      </c>
      <c r="O12" s="34">
        <f t="shared" ref="O12:P12" si="20">D12/7</f>
        <v>0</v>
      </c>
      <c r="P12" s="34">
        <f t="shared" si="20"/>
        <v>0</v>
      </c>
      <c r="Q12" s="29" t="e">
        <f t="shared" si="8"/>
        <v>#DIV/0!</v>
      </c>
      <c r="R12" s="29"/>
      <c r="S12" s="35" t="e">
        <v>#N/A</v>
      </c>
      <c r="T12" s="28">
        <v>365</v>
      </c>
      <c r="U12" s="36">
        <v>200</v>
      </c>
      <c r="V12" s="37" t="s">
        <v>606</v>
      </c>
      <c r="W12" s="28">
        <v>0</v>
      </c>
      <c r="X12" s="38">
        <f t="shared" si="9"/>
        <v>0</v>
      </c>
      <c r="Y12" s="39">
        <f t="shared" si="10"/>
        <v>0</v>
      </c>
      <c r="Z12" s="28">
        <v>0</v>
      </c>
      <c r="AA12" s="28" t="e">
        <v>#N/A</v>
      </c>
      <c r="AB12" s="40" t="e">
        <f t="shared" si="11"/>
        <v>#N/A</v>
      </c>
      <c r="AC12" s="41" t="e">
        <v>#N/A</v>
      </c>
      <c r="AD12" s="39">
        <f t="shared" si="12"/>
        <v>0</v>
      </c>
      <c r="AE12" s="39">
        <v>0</v>
      </c>
      <c r="AF12" s="39">
        <v>-16.100918333333301</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0</v>
      </c>
      <c r="O13" s="34">
        <f t="shared" ref="O13:P13" si="21">D13/7</f>
        <v>0</v>
      </c>
      <c r="P13" s="34">
        <f t="shared" si="21"/>
        <v>0</v>
      </c>
      <c r="Q13" s="29" t="e">
        <f t="shared" si="8"/>
        <v>#DIV/0!</v>
      </c>
      <c r="R13" s="29"/>
      <c r="S13" s="35" t="e">
        <v>#N/A</v>
      </c>
      <c r="T13" s="28">
        <v>365</v>
      </c>
      <c r="U13" s="36">
        <v>200</v>
      </c>
      <c r="V13" s="37" t="s">
        <v>607</v>
      </c>
      <c r="W13" s="28">
        <v>0</v>
      </c>
      <c r="X13" s="38">
        <f t="shared" si="9"/>
        <v>0</v>
      </c>
      <c r="Y13" s="39">
        <f t="shared" si="10"/>
        <v>0</v>
      </c>
      <c r="Z13" s="28">
        <v>0</v>
      </c>
      <c r="AA13" s="28" t="e">
        <v>#N/A</v>
      </c>
      <c r="AB13" s="40" t="e">
        <f t="shared" si="11"/>
        <v>#N/A</v>
      </c>
      <c r="AC13" s="41" t="e">
        <v>#N/A</v>
      </c>
      <c r="AD13" s="39">
        <f t="shared" si="12"/>
        <v>0</v>
      </c>
      <c r="AE13" s="39">
        <v>0</v>
      </c>
      <c r="AF13" s="39">
        <v>-16.267585</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365</v>
      </c>
      <c r="U14" s="36">
        <v>200</v>
      </c>
      <c r="V14" s="37" t="s">
        <v>607</v>
      </c>
      <c r="W14" s="28">
        <v>0</v>
      </c>
      <c r="X14" s="38">
        <f t="shared" si="9"/>
        <v>0</v>
      </c>
      <c r="Y14" s="39">
        <f t="shared" si="10"/>
        <v>0</v>
      </c>
      <c r="Z14" s="28">
        <v>0</v>
      </c>
      <c r="AA14" s="28" t="e">
        <v>#N/A</v>
      </c>
      <c r="AB14" s="40" t="e">
        <f t="shared" si="11"/>
        <v>#N/A</v>
      </c>
      <c r="AC14" s="41" t="e">
        <v>#N/A</v>
      </c>
      <c r="AD14" s="39">
        <f t="shared" si="12"/>
        <v>0</v>
      </c>
      <c r="AE14" s="39">
        <v>0</v>
      </c>
      <c r="AF14" s="39">
        <v>-16.267585</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720</v>
      </c>
      <c r="U15" s="36">
        <v>200</v>
      </c>
      <c r="V15" s="37" t="s">
        <v>608</v>
      </c>
      <c r="W15" s="28">
        <v>0</v>
      </c>
      <c r="X15" s="38">
        <f t="shared" si="9"/>
        <v>0</v>
      </c>
      <c r="Y15" s="39">
        <f t="shared" si="10"/>
        <v>0</v>
      </c>
      <c r="Z15" s="28">
        <v>0</v>
      </c>
      <c r="AA15" s="28" t="e">
        <v>#N/A</v>
      </c>
      <c r="AB15" s="40" t="e">
        <f t="shared" si="11"/>
        <v>#N/A</v>
      </c>
      <c r="AC15" s="41" t="e">
        <v>#N/A</v>
      </c>
      <c r="AD15" s="39">
        <f t="shared" si="12"/>
        <v>0</v>
      </c>
      <c r="AE15" s="39">
        <v>0</v>
      </c>
      <c r="AF15" s="39">
        <v>-16.267585</v>
      </c>
      <c r="AG15" s="39">
        <v>0</v>
      </c>
    </row>
    <row r="16" spans="1:33" ht="15.75" customHeight="1" x14ac:dyDescent="0.2">
      <c r="A16" s="28" t="s">
        <v>54</v>
      </c>
      <c r="B16" s="28" t="s">
        <v>609</v>
      </c>
      <c r="C16" s="15">
        <f t="shared" si="4"/>
        <v>44.99</v>
      </c>
      <c r="D16" s="29">
        <v>2</v>
      </c>
      <c r="E16" s="29">
        <v>0</v>
      </c>
      <c r="F16" s="32">
        <v>89.98</v>
      </c>
      <c r="G16" s="30">
        <v>0</v>
      </c>
      <c r="H16" s="31">
        <f t="shared" si="1"/>
        <v>0</v>
      </c>
      <c r="I16" s="31">
        <f t="shared" si="2"/>
        <v>0.31234024922204934</v>
      </c>
      <c r="J16" s="32">
        <f t="shared" si="5"/>
        <v>28.104375625000003</v>
      </c>
      <c r="K16" s="32">
        <f t="shared" si="3"/>
        <v>14.052187812500001</v>
      </c>
      <c r="L16" s="29">
        <v>0</v>
      </c>
      <c r="M16" s="33" t="str">
        <f t="shared" si="6"/>
        <v>-</v>
      </c>
      <c r="N16" s="29">
        <v>216</v>
      </c>
      <c r="O16" s="34">
        <f t="shared" ref="O16:P16" si="24">D16/7</f>
        <v>0.2857142857142857</v>
      </c>
      <c r="P16" s="34">
        <f t="shared" si="24"/>
        <v>0</v>
      </c>
      <c r="Q16" s="29">
        <f t="shared" si="8"/>
        <v>756</v>
      </c>
      <c r="R16" s="29"/>
      <c r="S16" s="35">
        <v>1.86915887850467E-2</v>
      </c>
      <c r="T16" s="28">
        <v>520</v>
      </c>
      <c r="U16" s="36">
        <v>150</v>
      </c>
      <c r="V16" s="37" t="s">
        <v>610</v>
      </c>
      <c r="W16" s="28">
        <v>0</v>
      </c>
      <c r="X16" s="38">
        <f t="shared" si="9"/>
        <v>0</v>
      </c>
      <c r="Y16" s="39">
        <f t="shared" si="10"/>
        <v>0</v>
      </c>
      <c r="Z16" s="28">
        <v>0</v>
      </c>
      <c r="AA16" s="28" t="s">
        <v>34</v>
      </c>
      <c r="AB16" s="40">
        <f t="shared" si="11"/>
        <v>-0.69</v>
      </c>
      <c r="AC16" s="41">
        <v>0.16067187499999999</v>
      </c>
      <c r="AD16" s="39">
        <f t="shared" si="12"/>
        <v>-0.44345437499999996</v>
      </c>
      <c r="AE16" s="39">
        <v>-7.7</v>
      </c>
      <c r="AF16" s="39">
        <v>-16.267585</v>
      </c>
      <c r="AG16" s="39">
        <v>0</v>
      </c>
    </row>
    <row r="17" spans="1:33" ht="15.75" customHeight="1" x14ac:dyDescent="0.2">
      <c r="A17" s="28" t="s">
        <v>55</v>
      </c>
      <c r="B17" s="28" t="s">
        <v>611</v>
      </c>
      <c r="C17" s="15">
        <f t="shared" si="4"/>
        <v>42.99</v>
      </c>
      <c r="D17" s="29">
        <v>8</v>
      </c>
      <c r="E17" s="29">
        <v>0</v>
      </c>
      <c r="F17" s="32">
        <v>343.92</v>
      </c>
      <c r="G17" s="30">
        <v>0</v>
      </c>
      <c r="H17" s="31">
        <f t="shared" si="1"/>
        <v>0</v>
      </c>
      <c r="I17" s="31">
        <f t="shared" si="2"/>
        <v>0.29530327547103974</v>
      </c>
      <c r="J17" s="32">
        <f t="shared" si="5"/>
        <v>101.56070249999999</v>
      </c>
      <c r="K17" s="32">
        <f t="shared" si="3"/>
        <v>12.695087812499999</v>
      </c>
      <c r="L17" s="29">
        <v>29</v>
      </c>
      <c r="M17" s="33">
        <f t="shared" si="6"/>
        <v>0.27586206896551724</v>
      </c>
      <c r="N17" s="29">
        <v>207</v>
      </c>
      <c r="O17" s="34">
        <f t="shared" ref="O17:P17" si="25">D17/7</f>
        <v>1.1428571428571428</v>
      </c>
      <c r="P17" s="34">
        <f t="shared" si="25"/>
        <v>0</v>
      </c>
      <c r="Q17" s="29">
        <f t="shared" si="8"/>
        <v>181</v>
      </c>
      <c r="R17" s="29"/>
      <c r="S17" s="35">
        <v>0.114285714285714</v>
      </c>
      <c r="T17" s="28">
        <v>520</v>
      </c>
      <c r="U17" s="36">
        <v>150</v>
      </c>
      <c r="V17" s="37" t="s">
        <v>612</v>
      </c>
      <c r="W17" s="28">
        <v>0</v>
      </c>
      <c r="X17" s="38">
        <f t="shared" si="9"/>
        <v>0</v>
      </c>
      <c r="Y17" s="39">
        <f t="shared" si="10"/>
        <v>0</v>
      </c>
      <c r="Z17" s="28">
        <v>0</v>
      </c>
      <c r="AA17" s="28" t="s">
        <v>34</v>
      </c>
      <c r="AB17" s="40">
        <f t="shared" si="11"/>
        <v>-0.69</v>
      </c>
      <c r="AC17" s="41">
        <v>0.16067187499999999</v>
      </c>
      <c r="AD17" s="39">
        <f t="shared" si="12"/>
        <v>-1.7738174999999998</v>
      </c>
      <c r="AE17" s="39">
        <v>-7.7</v>
      </c>
      <c r="AF17" s="39">
        <v>-15.924685</v>
      </c>
      <c r="AG17" s="39">
        <v>0</v>
      </c>
    </row>
    <row r="18" spans="1:33" ht="15.75" customHeight="1" x14ac:dyDescent="0.2">
      <c r="A18" s="28" t="s">
        <v>56</v>
      </c>
      <c r="B18" s="28" t="s">
        <v>47</v>
      </c>
      <c r="C18" s="15">
        <f t="shared" si="4"/>
        <v>42.99</v>
      </c>
      <c r="D18" s="29">
        <v>11</v>
      </c>
      <c r="E18" s="29">
        <v>0</v>
      </c>
      <c r="F18" s="32">
        <v>472.89000000000004</v>
      </c>
      <c r="G18" s="30">
        <v>-0.04</v>
      </c>
      <c r="H18" s="31">
        <f t="shared" si="1"/>
        <v>8.4586267419484444E-5</v>
      </c>
      <c r="I18" s="31">
        <f t="shared" si="2"/>
        <v>0.29521868920362027</v>
      </c>
      <c r="J18" s="32">
        <f t="shared" si="5"/>
        <v>139.6059659375</v>
      </c>
      <c r="K18" s="32">
        <f t="shared" si="3"/>
        <v>12.691451448863637</v>
      </c>
      <c r="L18" s="29">
        <v>56</v>
      </c>
      <c r="M18" s="33">
        <f t="shared" si="6"/>
        <v>0.19642857142857142</v>
      </c>
      <c r="N18" s="29">
        <v>164</v>
      </c>
      <c r="O18" s="34">
        <f t="shared" ref="O18:P18" si="26">D18/7</f>
        <v>1.5714285714285714</v>
      </c>
      <c r="P18" s="34">
        <f t="shared" si="26"/>
        <v>0</v>
      </c>
      <c r="Q18" s="29">
        <f t="shared" si="8"/>
        <v>104</v>
      </c>
      <c r="R18" s="29"/>
      <c r="S18" s="35">
        <v>0.41988950276242998</v>
      </c>
      <c r="T18" s="28">
        <v>520</v>
      </c>
      <c r="U18" s="36">
        <v>150</v>
      </c>
      <c r="V18" s="37" t="s">
        <v>613</v>
      </c>
      <c r="W18" s="28">
        <v>0</v>
      </c>
      <c r="X18" s="38">
        <f t="shared" si="9"/>
        <v>0</v>
      </c>
      <c r="Y18" s="39">
        <f t="shared" si="10"/>
        <v>0</v>
      </c>
      <c r="Z18" s="28">
        <v>0</v>
      </c>
      <c r="AA18" s="28" t="s">
        <v>34</v>
      </c>
      <c r="AB18" s="40">
        <f t="shared" si="11"/>
        <v>-0.69</v>
      </c>
      <c r="AC18" s="41">
        <v>0.16067187499999999</v>
      </c>
      <c r="AD18" s="39">
        <f t="shared" si="12"/>
        <v>-2.4389990624999998</v>
      </c>
      <c r="AE18" s="39">
        <v>-7.7</v>
      </c>
      <c r="AF18" s="39">
        <v>-15.924685</v>
      </c>
      <c r="AG18" s="39">
        <v>0</v>
      </c>
    </row>
    <row r="19" spans="1:33" ht="15.75" customHeight="1" x14ac:dyDescent="0.2">
      <c r="A19" s="28" t="s">
        <v>57</v>
      </c>
      <c r="B19" s="28" t="s">
        <v>47</v>
      </c>
      <c r="C19" s="15">
        <f t="shared" si="4"/>
        <v>42.99</v>
      </c>
      <c r="D19" s="29">
        <v>18</v>
      </c>
      <c r="E19" s="29">
        <v>0</v>
      </c>
      <c r="F19" s="32">
        <v>773.82</v>
      </c>
      <c r="G19" s="30">
        <v>-0.26</v>
      </c>
      <c r="H19" s="31">
        <f t="shared" si="1"/>
        <v>3.3599545113850764E-4</v>
      </c>
      <c r="I19" s="31">
        <f t="shared" si="2"/>
        <v>0.27795787667028515</v>
      </c>
      <c r="J19" s="32">
        <f t="shared" si="5"/>
        <v>215.08936412500006</v>
      </c>
      <c r="K19" s="32">
        <f t="shared" si="3"/>
        <v>11.949409118055559</v>
      </c>
      <c r="L19" s="29">
        <v>64</v>
      </c>
      <c r="M19" s="33">
        <f t="shared" si="6"/>
        <v>0.28125</v>
      </c>
      <c r="N19" s="29">
        <v>151</v>
      </c>
      <c r="O19" s="34">
        <f t="shared" ref="O19:P19" si="27">D19/7</f>
        <v>2.5714285714285716</v>
      </c>
      <c r="P19" s="34">
        <f t="shared" si="27"/>
        <v>0</v>
      </c>
      <c r="Q19" s="29">
        <f t="shared" si="8"/>
        <v>58</v>
      </c>
      <c r="R19" s="29"/>
      <c r="S19" s="35">
        <v>0.64102564102564097</v>
      </c>
      <c r="T19" s="28">
        <v>390</v>
      </c>
      <c r="U19" s="36">
        <v>20</v>
      </c>
      <c r="V19" s="37" t="s">
        <v>614</v>
      </c>
      <c r="W19" s="28">
        <v>0</v>
      </c>
      <c r="X19" s="38">
        <f t="shared" si="9"/>
        <v>0</v>
      </c>
      <c r="Y19" s="39">
        <f t="shared" si="10"/>
        <v>0</v>
      </c>
      <c r="Z19" s="28">
        <v>0</v>
      </c>
      <c r="AA19" s="28" t="s">
        <v>34</v>
      </c>
      <c r="AB19" s="40">
        <f t="shared" si="11"/>
        <v>-0.69</v>
      </c>
      <c r="AC19" s="41">
        <v>0.16067187499999999</v>
      </c>
      <c r="AD19" s="39">
        <f t="shared" si="12"/>
        <v>-3.9910893749999996</v>
      </c>
      <c r="AE19" s="39">
        <v>-7.7</v>
      </c>
      <c r="AF19" s="39">
        <v>-16.65591925</v>
      </c>
      <c r="AG19" s="39">
        <v>0</v>
      </c>
    </row>
    <row r="20" spans="1:33" ht="15.75" customHeight="1" x14ac:dyDescent="0.2">
      <c r="A20" s="28" t="s">
        <v>58</v>
      </c>
      <c r="B20" s="28" t="s">
        <v>47</v>
      </c>
      <c r="C20" s="15">
        <f t="shared" si="4"/>
        <v>42.99</v>
      </c>
      <c r="D20" s="29">
        <v>21</v>
      </c>
      <c r="E20" s="29">
        <v>0</v>
      </c>
      <c r="F20" s="32">
        <v>902.79000000000008</v>
      </c>
      <c r="G20" s="30">
        <v>-0.16</v>
      </c>
      <c r="H20" s="31">
        <f t="shared" si="1"/>
        <v>1.7722836983130073E-4</v>
      </c>
      <c r="I20" s="31">
        <f t="shared" si="2"/>
        <v>0.27811664375159234</v>
      </c>
      <c r="J20" s="32">
        <f t="shared" si="5"/>
        <v>251.08092481250009</v>
      </c>
      <c r="K20" s="32">
        <f t="shared" si="3"/>
        <v>11.956234514880956</v>
      </c>
      <c r="L20" s="29">
        <v>77</v>
      </c>
      <c r="M20" s="33">
        <f t="shared" si="6"/>
        <v>0.27272727272727271</v>
      </c>
      <c r="N20" s="29">
        <v>132</v>
      </c>
      <c r="O20" s="34">
        <f t="shared" ref="O20:P20" si="28">D20/7</f>
        <v>3</v>
      </c>
      <c r="P20" s="34">
        <f t="shared" si="28"/>
        <v>0</v>
      </c>
      <c r="Q20" s="29">
        <f t="shared" si="8"/>
        <v>44</v>
      </c>
      <c r="R20" s="29"/>
      <c r="S20" s="35">
        <v>1.27659574468085</v>
      </c>
      <c r="T20" s="28">
        <v>390</v>
      </c>
      <c r="U20" s="36">
        <v>20</v>
      </c>
      <c r="V20" s="37" t="s">
        <v>614</v>
      </c>
      <c r="W20" s="28">
        <v>0</v>
      </c>
      <c r="X20" s="38">
        <f t="shared" si="9"/>
        <v>0</v>
      </c>
      <c r="Y20" s="39">
        <f t="shared" si="10"/>
        <v>0</v>
      </c>
      <c r="Z20" s="28">
        <v>0</v>
      </c>
      <c r="AA20" s="28" t="s">
        <v>34</v>
      </c>
      <c r="AB20" s="40">
        <f t="shared" si="11"/>
        <v>-0.69</v>
      </c>
      <c r="AC20" s="41">
        <v>0.16067187499999999</v>
      </c>
      <c r="AD20" s="39">
        <f t="shared" si="12"/>
        <v>-4.6562709374999995</v>
      </c>
      <c r="AE20" s="39">
        <v>-7.7</v>
      </c>
      <c r="AF20" s="39">
        <v>-16.65591925</v>
      </c>
      <c r="AG20" s="39">
        <v>0</v>
      </c>
    </row>
    <row r="21" spans="1:33" ht="15.75" customHeight="1" x14ac:dyDescent="0.2">
      <c r="A21" s="28" t="s">
        <v>59</v>
      </c>
      <c r="B21" s="28" t="s">
        <v>615</v>
      </c>
      <c r="C21" s="15">
        <f t="shared" si="4"/>
        <v>41.91525</v>
      </c>
      <c r="D21" s="29">
        <v>40</v>
      </c>
      <c r="E21" s="29">
        <v>1</v>
      </c>
      <c r="F21" s="32">
        <v>1676.6100000000001</v>
      </c>
      <c r="G21" s="30">
        <v>-0.2</v>
      </c>
      <c r="H21" s="31">
        <f t="shared" si="1"/>
        <v>1.1928832584799088E-4</v>
      </c>
      <c r="I21" s="31">
        <f t="shared" si="2"/>
        <v>0.26351545231150952</v>
      </c>
      <c r="J21" s="32">
        <f t="shared" si="5"/>
        <v>441.81264250000004</v>
      </c>
      <c r="K21" s="32">
        <f t="shared" si="3"/>
        <v>11.045316062500001</v>
      </c>
      <c r="L21" s="29">
        <v>64</v>
      </c>
      <c r="M21" s="33">
        <f t="shared" si="6"/>
        <v>0.625</v>
      </c>
      <c r="N21" s="29">
        <v>248</v>
      </c>
      <c r="O21" s="34">
        <f t="shared" ref="O21:P21" si="29">D21/7</f>
        <v>5.7142857142857144</v>
      </c>
      <c r="P21" s="34">
        <f t="shared" si="29"/>
        <v>0.14285714285714285</v>
      </c>
      <c r="Q21" s="29">
        <f t="shared" si="8"/>
        <v>42</v>
      </c>
      <c r="R21" s="29"/>
      <c r="S21" s="35">
        <v>0.72186836518046704</v>
      </c>
      <c r="T21" s="28">
        <v>205</v>
      </c>
      <c r="U21" s="36" t="s">
        <v>33</v>
      </c>
      <c r="V21" s="37" t="s">
        <v>33</v>
      </c>
      <c r="W21" s="28">
        <v>0</v>
      </c>
      <c r="X21" s="38">
        <f t="shared" si="9"/>
        <v>0</v>
      </c>
      <c r="Y21" s="39">
        <f t="shared" si="10"/>
        <v>0</v>
      </c>
      <c r="Z21" s="28">
        <v>0</v>
      </c>
      <c r="AA21" s="28" t="s">
        <v>34</v>
      </c>
      <c r="AB21" s="40">
        <f t="shared" si="11"/>
        <v>-0.69</v>
      </c>
      <c r="AC21" s="41">
        <v>0.16067187499999999</v>
      </c>
      <c r="AD21" s="39">
        <f t="shared" si="12"/>
        <v>-8.8690874999999991</v>
      </c>
      <c r="AE21" s="39">
        <v>-7.7</v>
      </c>
      <c r="AF21" s="39">
        <v>-16.65591925</v>
      </c>
      <c r="AG21" s="39">
        <v>0</v>
      </c>
    </row>
    <row r="22" spans="1:33" ht="15.75" customHeight="1" x14ac:dyDescent="0.2">
      <c r="A22" s="28" t="s">
        <v>60</v>
      </c>
      <c r="B22" s="28" t="s">
        <v>47</v>
      </c>
      <c r="C22" s="15">
        <f t="shared" si="4"/>
        <v>42.99</v>
      </c>
      <c r="D22" s="29">
        <v>36</v>
      </c>
      <c r="E22" s="29">
        <v>0</v>
      </c>
      <c r="F22" s="30">
        <v>1547.64</v>
      </c>
      <c r="G22" s="30">
        <v>-0.21000000000000002</v>
      </c>
      <c r="H22" s="31">
        <f t="shared" si="1"/>
        <v>1.3569047065208965E-4</v>
      </c>
      <c r="I22" s="31">
        <f t="shared" si="2"/>
        <v>0.2781581816507715</v>
      </c>
      <c r="J22" s="32">
        <f t="shared" si="5"/>
        <v>430.48872825000007</v>
      </c>
      <c r="K22" s="32">
        <f t="shared" si="3"/>
        <v>11.958020229166669</v>
      </c>
      <c r="L22" s="29">
        <v>110</v>
      </c>
      <c r="M22" s="33">
        <f t="shared" si="6"/>
        <v>0.32727272727272727</v>
      </c>
      <c r="N22" s="29">
        <v>216</v>
      </c>
      <c r="O22" s="34">
        <f t="shared" ref="O22:P22" si="30">D22/7</f>
        <v>5.1428571428571432</v>
      </c>
      <c r="P22" s="34">
        <f t="shared" si="30"/>
        <v>0</v>
      </c>
      <c r="Q22" s="29">
        <f t="shared" si="8"/>
        <v>42</v>
      </c>
      <c r="R22" s="29"/>
      <c r="S22" s="35">
        <v>1.1719128329297801</v>
      </c>
      <c r="T22" s="28">
        <v>205</v>
      </c>
      <c r="U22" s="36" t="s">
        <v>33</v>
      </c>
      <c r="V22" s="37" t="s">
        <v>33</v>
      </c>
      <c r="W22" s="28">
        <v>0</v>
      </c>
      <c r="X22" s="38">
        <f t="shared" si="9"/>
        <v>0</v>
      </c>
      <c r="Y22" s="39">
        <f t="shared" si="10"/>
        <v>0</v>
      </c>
      <c r="Z22" s="28">
        <v>0</v>
      </c>
      <c r="AA22" s="28" t="s">
        <v>34</v>
      </c>
      <c r="AB22" s="40">
        <f t="shared" si="11"/>
        <v>-0.69</v>
      </c>
      <c r="AC22" s="41">
        <v>0.16067187499999999</v>
      </c>
      <c r="AD22" s="39">
        <f t="shared" si="12"/>
        <v>-7.9821787499999992</v>
      </c>
      <c r="AE22" s="39">
        <v>-7.7</v>
      </c>
      <c r="AF22" s="39">
        <v>-16.65591925</v>
      </c>
      <c r="AG22" s="39">
        <v>0</v>
      </c>
    </row>
    <row r="23" spans="1:33" ht="15.75" customHeight="1" x14ac:dyDescent="0.2">
      <c r="A23" s="28" t="s">
        <v>62</v>
      </c>
      <c r="B23" s="28" t="s">
        <v>616</v>
      </c>
      <c r="C23" s="15">
        <f t="shared" si="4"/>
        <v>42.99</v>
      </c>
      <c r="D23" s="29">
        <v>49</v>
      </c>
      <c r="E23" s="29">
        <v>2</v>
      </c>
      <c r="F23" s="32">
        <v>2106.5100000000002</v>
      </c>
      <c r="G23" s="30">
        <v>-0.27</v>
      </c>
      <c r="H23" s="31">
        <f t="shared" si="1"/>
        <v>1.2817408889585142E-4</v>
      </c>
      <c r="I23" s="31">
        <f t="shared" si="2"/>
        <v>0.27816569803252789</v>
      </c>
      <c r="J23" s="32">
        <f t="shared" si="5"/>
        <v>585.95882456250035</v>
      </c>
      <c r="K23" s="32">
        <f t="shared" si="3"/>
        <v>11.958343358418375</v>
      </c>
      <c r="L23" s="29">
        <v>141</v>
      </c>
      <c r="M23" s="33">
        <f t="shared" si="6"/>
        <v>0.3475177304964539</v>
      </c>
      <c r="N23" s="29">
        <v>170</v>
      </c>
      <c r="O23" s="34">
        <f t="shared" ref="O23:P23" si="31">D23/7</f>
        <v>7</v>
      </c>
      <c r="P23" s="34">
        <f t="shared" si="31"/>
        <v>0.2857142857142857</v>
      </c>
      <c r="Q23" s="29">
        <f t="shared" si="8"/>
        <v>23</v>
      </c>
      <c r="R23" s="29"/>
      <c r="S23" s="35">
        <v>1.6543909348441901</v>
      </c>
      <c r="T23" s="28">
        <v>205</v>
      </c>
      <c r="U23" s="36" t="s">
        <v>33</v>
      </c>
      <c r="V23" s="37" t="s">
        <v>33</v>
      </c>
      <c r="W23" s="28">
        <v>1</v>
      </c>
      <c r="X23" s="38">
        <f t="shared" si="9"/>
        <v>2.0408163265306121E-2</v>
      </c>
      <c r="Y23" s="39">
        <f t="shared" si="10"/>
        <v>0.27</v>
      </c>
      <c r="Z23" s="28">
        <v>0</v>
      </c>
      <c r="AA23" s="28" t="s">
        <v>34</v>
      </c>
      <c r="AB23" s="40">
        <f t="shared" si="11"/>
        <v>-0.69</v>
      </c>
      <c r="AC23" s="41">
        <v>0.16067187499999999</v>
      </c>
      <c r="AD23" s="39">
        <f t="shared" si="12"/>
        <v>-10.8646321875</v>
      </c>
      <c r="AE23" s="39">
        <v>-7.7</v>
      </c>
      <c r="AF23" s="39">
        <v>-16.65591925</v>
      </c>
      <c r="AG23" s="39">
        <v>0</v>
      </c>
    </row>
    <row r="24" spans="1:33" ht="15.75" customHeight="1" x14ac:dyDescent="0.2">
      <c r="A24" s="28" t="s">
        <v>64</v>
      </c>
      <c r="B24" s="28" t="s">
        <v>617</v>
      </c>
      <c r="C24" s="15">
        <f t="shared" si="4"/>
        <v>44.344838709677369</v>
      </c>
      <c r="D24" s="29">
        <v>62</v>
      </c>
      <c r="E24" s="29">
        <v>3</v>
      </c>
      <c r="F24" s="32">
        <v>2749.3799999999969</v>
      </c>
      <c r="G24" s="32">
        <v>-0.24</v>
      </c>
      <c r="H24" s="31">
        <f t="shared" si="1"/>
        <v>8.7292407742836664E-5</v>
      </c>
      <c r="I24" s="31">
        <f t="shared" si="2"/>
        <v>0.29567354126202938</v>
      </c>
      <c r="J24" s="32">
        <f t="shared" si="5"/>
        <v>812.91892087499741</v>
      </c>
      <c r="K24" s="32">
        <f t="shared" si="3"/>
        <v>13.11159549798383</v>
      </c>
      <c r="L24" s="29">
        <v>177</v>
      </c>
      <c r="M24" s="33">
        <f t="shared" si="6"/>
        <v>0.35028248587570621</v>
      </c>
      <c r="N24" s="29">
        <v>101</v>
      </c>
      <c r="O24" s="34">
        <f t="shared" ref="O24:P24" si="32">D24/7</f>
        <v>8.8571428571428577</v>
      </c>
      <c r="P24" s="34">
        <f t="shared" si="32"/>
        <v>0.42857142857142855</v>
      </c>
      <c r="Q24" s="29">
        <f t="shared" si="8"/>
        <v>10</v>
      </c>
      <c r="R24" s="29"/>
      <c r="S24" s="35">
        <v>2.9577464788732302</v>
      </c>
      <c r="T24" s="28">
        <v>205</v>
      </c>
      <c r="U24" s="36" t="s">
        <v>33</v>
      </c>
      <c r="V24" s="37" t="s">
        <v>33</v>
      </c>
      <c r="W24" s="28">
        <v>0</v>
      </c>
      <c r="X24" s="38">
        <f t="shared" si="9"/>
        <v>0</v>
      </c>
      <c r="Y24" s="39">
        <f t="shared" si="10"/>
        <v>0</v>
      </c>
      <c r="Z24" s="28">
        <v>0</v>
      </c>
      <c r="AA24" s="28" t="s">
        <v>34</v>
      </c>
      <c r="AB24" s="40">
        <f t="shared" si="11"/>
        <v>-0.69</v>
      </c>
      <c r="AC24" s="41">
        <v>0.16067187499999999</v>
      </c>
      <c r="AD24" s="39">
        <f t="shared" si="12"/>
        <v>-13.747085624999999</v>
      </c>
      <c r="AE24" s="39">
        <v>-7.7</v>
      </c>
      <c r="AF24" s="39">
        <v>-16.65591925</v>
      </c>
      <c r="AG24" s="39">
        <v>0</v>
      </c>
    </row>
    <row r="25" spans="1:33" ht="15.75" customHeight="1" x14ac:dyDescent="0.2">
      <c r="A25" s="28" t="s">
        <v>65</v>
      </c>
      <c r="B25" s="14" t="s">
        <v>47</v>
      </c>
      <c r="C25" s="15">
        <f t="shared" si="4"/>
        <v>46.341351351351356</v>
      </c>
      <c r="D25" s="29">
        <v>37</v>
      </c>
      <c r="E25" s="29">
        <v>4</v>
      </c>
      <c r="F25" s="32">
        <v>1714.63</v>
      </c>
      <c r="G25" s="32">
        <v>-0.2</v>
      </c>
      <c r="H25" s="31">
        <f t="shared" si="1"/>
        <v>1.1664324081580282E-4</v>
      </c>
      <c r="I25" s="31">
        <f t="shared" si="2"/>
        <v>0.31943427681919712</v>
      </c>
      <c r="J25" s="32">
        <f t="shared" si="5"/>
        <v>547.71159406250001</v>
      </c>
      <c r="K25" s="32">
        <f t="shared" si="3"/>
        <v>14.803016055743244</v>
      </c>
      <c r="L25" s="29">
        <v>165</v>
      </c>
      <c r="M25" s="33">
        <f t="shared" si="6"/>
        <v>0.22424242424242424</v>
      </c>
      <c r="N25" s="29">
        <v>58</v>
      </c>
      <c r="O25" s="34">
        <f t="shared" ref="O25:P25" si="33">D25/7</f>
        <v>5.2857142857142856</v>
      </c>
      <c r="P25" s="34">
        <f t="shared" si="33"/>
        <v>0.5714285714285714</v>
      </c>
      <c r="Q25" s="29">
        <f t="shared" si="8"/>
        <v>9</v>
      </c>
      <c r="R25" s="29"/>
      <c r="S25" s="35">
        <v>2</v>
      </c>
      <c r="T25" s="28">
        <v>220</v>
      </c>
      <c r="U25" s="36" t="s">
        <v>33</v>
      </c>
      <c r="V25" s="37" t="s">
        <v>33</v>
      </c>
      <c r="W25" s="14">
        <v>0</v>
      </c>
      <c r="X25" s="38">
        <f t="shared" si="9"/>
        <v>0</v>
      </c>
      <c r="Y25" s="39">
        <f t="shared" si="10"/>
        <v>0</v>
      </c>
      <c r="Z25" s="14">
        <v>0</v>
      </c>
      <c r="AA25" s="28" t="s">
        <v>34</v>
      </c>
      <c r="AB25" s="40">
        <f t="shared" si="11"/>
        <v>-0.69</v>
      </c>
      <c r="AC25" s="41">
        <v>0.16067187499999999</v>
      </c>
      <c r="AD25" s="39">
        <f t="shared" si="12"/>
        <v>-8.2039059375000001</v>
      </c>
      <c r="AE25" s="39">
        <v>-7.7</v>
      </c>
      <c r="AF25" s="39">
        <v>-16.66</v>
      </c>
      <c r="AG25" s="39">
        <v>0</v>
      </c>
    </row>
    <row r="26" spans="1:33" ht="15.75" customHeight="1" x14ac:dyDescent="0.2">
      <c r="A26" s="14" t="s">
        <v>67</v>
      </c>
      <c r="B26" s="14" t="s">
        <v>150</v>
      </c>
      <c r="C26" s="15">
        <f t="shared" si="4"/>
        <v>46.99</v>
      </c>
      <c r="D26" s="16">
        <v>31</v>
      </c>
      <c r="E26" s="16">
        <v>5</v>
      </c>
      <c r="F26" s="17">
        <v>1456.69</v>
      </c>
      <c r="G26" s="17">
        <v>-7.0000000000000007E-2</v>
      </c>
      <c r="H26" s="31">
        <f t="shared" si="1"/>
        <v>4.8054150162354384E-5</v>
      </c>
      <c r="I26" s="31">
        <f t="shared" si="2"/>
        <v>0.33021058731610708</v>
      </c>
      <c r="J26" s="32">
        <f t="shared" si="5"/>
        <v>481.01446043750002</v>
      </c>
      <c r="K26" s="32">
        <f t="shared" si="3"/>
        <v>15.516595497983872</v>
      </c>
      <c r="L26" s="16">
        <v>130</v>
      </c>
      <c r="M26" s="33">
        <f t="shared" si="6"/>
        <v>0.23846153846153847</v>
      </c>
      <c r="N26" s="16">
        <v>23</v>
      </c>
      <c r="O26" s="34">
        <f t="shared" ref="O26:P26" si="34">D26/7</f>
        <v>4.4285714285714288</v>
      </c>
      <c r="P26" s="34">
        <f t="shared" si="34"/>
        <v>0.7142857142857143</v>
      </c>
      <c r="Q26" s="29">
        <f t="shared" si="8"/>
        <v>4</v>
      </c>
      <c r="R26" s="29"/>
      <c r="S26" s="21">
        <v>2.613445378151261</v>
      </c>
      <c r="T26" s="28">
        <v>580</v>
      </c>
      <c r="U26" s="36" t="s">
        <v>33</v>
      </c>
      <c r="V26" s="37" t="s">
        <v>33</v>
      </c>
      <c r="W26" s="14">
        <v>0</v>
      </c>
      <c r="X26" s="38">
        <f t="shared" si="9"/>
        <v>0</v>
      </c>
      <c r="Y26" s="39">
        <f t="shared" si="10"/>
        <v>0</v>
      </c>
      <c r="Z26" s="14">
        <v>0</v>
      </c>
      <c r="AA26" s="28" t="s">
        <v>34</v>
      </c>
      <c r="AB26" s="40">
        <f t="shared" si="11"/>
        <v>-0.69</v>
      </c>
      <c r="AC26" s="41">
        <v>0.16067187499999999</v>
      </c>
      <c r="AD26" s="39">
        <f t="shared" si="12"/>
        <v>-6.8735428124999993</v>
      </c>
      <c r="AE26" s="25">
        <v>-7.48</v>
      </c>
      <c r="AF26" s="25">
        <v>-16.720919250000001</v>
      </c>
      <c r="AG26" s="25">
        <v>0</v>
      </c>
    </row>
    <row r="27" spans="1:33" ht="15.75" customHeight="1" x14ac:dyDescent="0.2">
      <c r="A27" s="14" t="s">
        <v>69</v>
      </c>
      <c r="B27" s="14" t="s">
        <v>52</v>
      </c>
      <c r="C27" s="15">
        <f t="shared" si="4"/>
        <v>46.99</v>
      </c>
      <c r="D27" s="16">
        <v>24</v>
      </c>
      <c r="E27" s="16">
        <v>0</v>
      </c>
      <c r="F27" s="17">
        <v>1127.76</v>
      </c>
      <c r="G27" s="17">
        <v>-0.16</v>
      </c>
      <c r="H27" s="31">
        <f t="shared" si="1"/>
        <v>1.4187415762218912E-4</v>
      </c>
      <c r="I27" s="31">
        <f t="shared" si="2"/>
        <v>0.34706152683195007</v>
      </c>
      <c r="J27" s="32">
        <f t="shared" si="5"/>
        <v>391.4021075</v>
      </c>
      <c r="K27" s="32">
        <f t="shared" si="3"/>
        <v>16.308421145833332</v>
      </c>
      <c r="L27" s="16">
        <v>94</v>
      </c>
      <c r="M27" s="33">
        <f t="shared" si="6"/>
        <v>0.25531914893617019</v>
      </c>
      <c r="N27" s="16">
        <v>3</v>
      </c>
      <c r="O27" s="34">
        <f t="shared" ref="O27:P27" si="35">D27/7</f>
        <v>3.4285714285714284</v>
      </c>
      <c r="P27" s="34">
        <f t="shared" si="35"/>
        <v>0</v>
      </c>
      <c r="Q27" s="29">
        <f t="shared" si="8"/>
        <v>0</v>
      </c>
      <c r="R27" s="29"/>
      <c r="S27" s="21">
        <v>3.8435754189944129</v>
      </c>
      <c r="T27" s="28">
        <v>580</v>
      </c>
      <c r="U27" s="36" t="s">
        <v>33</v>
      </c>
      <c r="V27" s="37" t="s">
        <v>33</v>
      </c>
      <c r="W27" s="14">
        <v>0</v>
      </c>
      <c r="X27" s="38">
        <f t="shared" si="9"/>
        <v>0</v>
      </c>
      <c r="Y27" s="39">
        <f t="shared" si="10"/>
        <v>0</v>
      </c>
      <c r="Z27" s="14">
        <v>0</v>
      </c>
      <c r="AA27" s="28" t="s">
        <v>34</v>
      </c>
      <c r="AB27" s="40">
        <f t="shared" si="11"/>
        <v>-0.69</v>
      </c>
      <c r="AC27" s="41">
        <v>0.16067187499999999</v>
      </c>
      <c r="AD27" s="39">
        <f t="shared" si="12"/>
        <v>-5.3214524999999995</v>
      </c>
      <c r="AE27" s="25">
        <v>-7.48</v>
      </c>
      <c r="AF27" s="25">
        <v>-15.924685</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580</v>
      </c>
      <c r="U28" s="36" t="s">
        <v>33</v>
      </c>
      <c r="V28" s="37" t="s">
        <v>33</v>
      </c>
      <c r="W28" s="14">
        <v>0</v>
      </c>
      <c r="X28" s="38">
        <f t="shared" si="9"/>
        <v>0</v>
      </c>
      <c r="Y28" s="39">
        <f t="shared" si="10"/>
        <v>0</v>
      </c>
      <c r="Z28" s="14">
        <v>0</v>
      </c>
      <c r="AA28" s="28" t="s">
        <v>34</v>
      </c>
      <c r="AB28" s="40">
        <f t="shared" si="11"/>
        <v>-0.69</v>
      </c>
      <c r="AC28" s="41">
        <v>0.16067187499999999</v>
      </c>
      <c r="AD28" s="39">
        <f t="shared" si="12"/>
        <v>0</v>
      </c>
      <c r="AE28" s="25">
        <v>-7.48</v>
      </c>
      <c r="AF28" s="25">
        <v>-15.924685</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785</v>
      </c>
      <c r="U29" s="36">
        <v>205</v>
      </c>
      <c r="V29" s="37" t="s">
        <v>618</v>
      </c>
      <c r="W29" s="14">
        <v>0</v>
      </c>
      <c r="X29" s="38">
        <f t="shared" si="9"/>
        <v>0</v>
      </c>
      <c r="Y29" s="39">
        <f t="shared" si="10"/>
        <v>0</v>
      </c>
      <c r="Z29" s="14">
        <v>0</v>
      </c>
      <c r="AA29" s="28" t="s">
        <v>34</v>
      </c>
      <c r="AB29" s="40">
        <f t="shared" si="11"/>
        <v>-0.69</v>
      </c>
      <c r="AC29" s="41">
        <v>0.16067187499999999</v>
      </c>
      <c r="AD29" s="39">
        <f t="shared" si="12"/>
        <v>0</v>
      </c>
      <c r="AE29" s="39">
        <v>-7.48</v>
      </c>
      <c r="AF29" s="25">
        <v>-15.924685</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785</v>
      </c>
      <c r="U30" s="36">
        <v>205</v>
      </c>
      <c r="V30" s="37" t="s">
        <v>618</v>
      </c>
      <c r="W30" s="14">
        <v>0</v>
      </c>
      <c r="X30" s="38">
        <f t="shared" si="9"/>
        <v>0</v>
      </c>
      <c r="Y30" s="39">
        <f t="shared" si="10"/>
        <v>0</v>
      </c>
      <c r="Z30" s="14">
        <v>0</v>
      </c>
      <c r="AA30" s="28" t="s">
        <v>34</v>
      </c>
      <c r="AB30" s="40">
        <f t="shared" si="11"/>
        <v>-0.69</v>
      </c>
      <c r="AC30" s="41">
        <v>0.16067187499999999</v>
      </c>
      <c r="AD30" s="39">
        <f t="shared" si="12"/>
        <v>0</v>
      </c>
      <c r="AE30" s="25">
        <v>-7.48</v>
      </c>
      <c r="AF30" s="25">
        <v>-15.106954886875</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0</v>
      </c>
      <c r="O31" s="34">
        <f t="shared" ref="O31:P32" si="39">D31/7</f>
        <v>0</v>
      </c>
      <c r="P31" s="34">
        <f t="shared" si="39"/>
        <v>0</v>
      </c>
      <c r="Q31" s="29" t="e">
        <f t="shared" si="8"/>
        <v>#DIV/0!</v>
      </c>
      <c r="R31" s="29"/>
      <c r="S31" s="21" t="e">
        <v>#N/A</v>
      </c>
      <c r="T31" s="14">
        <v>15</v>
      </c>
      <c r="U31" s="22">
        <v>205</v>
      </c>
      <c r="V31" s="1" t="s">
        <v>950</v>
      </c>
      <c r="W31" s="14">
        <v>0</v>
      </c>
      <c r="X31" s="38">
        <f t="shared" si="9"/>
        <v>0</v>
      </c>
      <c r="Y31" s="39">
        <f t="shared" si="10"/>
        <v>0</v>
      </c>
      <c r="Z31" s="14">
        <v>0</v>
      </c>
      <c r="AA31" s="14" t="s">
        <v>34</v>
      </c>
      <c r="AB31" s="40">
        <f t="shared" si="11"/>
        <v>-0.69</v>
      </c>
      <c r="AC31" s="27">
        <v>0.16067187499999999</v>
      </c>
      <c r="AD31" s="39">
        <f t="shared" si="12"/>
        <v>0</v>
      </c>
      <c r="AE31" s="43">
        <v>-7.48</v>
      </c>
      <c r="AF31" s="43">
        <v>-15.106954886875</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0</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0.16067187499999999</v>
      </c>
      <c r="AD32" s="39">
        <f t="shared" si="12"/>
        <v>0</v>
      </c>
      <c r="AE32" s="58">
        <v>-7.48</v>
      </c>
      <c r="AF32" s="58">
        <v>-15.106954886875</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53.16406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Info!B1:BJ5000""),3,FALSE),"""")"),"14 Gauge Automotive Wire - 10 Roll Assortment Pack -100 Ft of Copper Clad Aluminum Primary Wire per Roll")</f>
        <v>14 Gauge Automotive Wire - 10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27" customHeight="1" x14ac:dyDescent="0.2">
      <c r="A2" s="2" t="str">
        <f ca="1">IFERROR(__xludf.DUMMYFUNCTION("IFERROR(VLOOKUP(B2,IMPORTRANGE(""https://docs.google.com/spreadsheets/d/1x0DhHglkXKoEBOD2MBsuK_EyIr1ouxD2ftIpqOYFa-k/edit?usp=sharing"",""Ubiquitty-SKU-Specific Info!B1:BJ5000""),2,FALSE),"""")"),"B07QCVWD3K")</f>
        <v>B07QCVWD3K</v>
      </c>
      <c r="B2" s="49" t="s">
        <v>619</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96.75" customHeight="1" x14ac:dyDescent="0.2">
      <c r="A3" s="76" t="s">
        <v>30</v>
      </c>
      <c r="B3" s="77"/>
      <c r="C3" s="47">
        <f>((AE32+AF32)/0.85)*-1</f>
        <v>27.684682407941178</v>
      </c>
      <c r="D3" s="5">
        <f>SUM(D4:D99634)</f>
        <v>167</v>
      </c>
      <c r="E3" s="5"/>
      <c r="F3" s="6">
        <f t="shared" ref="F3:G3" si="0">SUM(F4:F99634)</f>
        <v>6993.33</v>
      </c>
      <c r="G3" s="6">
        <f t="shared" si="0"/>
        <v>-0.86999999999999988</v>
      </c>
      <c r="H3" s="7">
        <f t="shared" ref="H3:H32" si="1">G3/F3*-1</f>
        <v>1.2440425376751847E-4</v>
      </c>
      <c r="I3" s="8">
        <f t="shared" ref="I3:I32" si="2">J3/F3</f>
        <v>0.24772369675862116</v>
      </c>
      <c r="J3" s="6">
        <f>SUM(J4:J99634)</f>
        <v>1732.4135602529682</v>
      </c>
      <c r="K3" s="6">
        <f t="shared" ref="K3:K32" si="3">J3/D3</f>
        <v>10.373733893730348</v>
      </c>
      <c r="L3" s="5"/>
      <c r="M3" s="9"/>
      <c r="N3" s="10"/>
      <c r="O3" s="5" t="str">
        <f ca="1">IFERROR(__xludf.DUMMYFUNCTION("IFERROR(VLOOKUP(B2,IMPORTRANGE(""https://docs.google.com/spreadsheets/d/1N8jvpEHDVkurDv7NrPxwI3eH6hQsvtb1QltGNCalRjU/edit#gid=865736387"",""Compiled Sheet!a1:g5000""),2,FALSE),"""")"),"1 - March
1 - April
3 - May
3 - June
3 - July
3 - Aug
3 - Sept
3 - Oct
2 - Nov
2 - Dec
2 - Jan
2 - Feb")</f>
        <v>1 - March
1 - April
3 - May
3 - June
3 - July
3 - Aug
3 - Sept
3 -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v>
      </c>
      <c r="X3" s="7">
        <f>W3/D3</f>
        <v>5.9880239520958087E-3</v>
      </c>
      <c r="Y3" s="6"/>
      <c r="Z3" s="5"/>
      <c r="AA3" s="5"/>
      <c r="AB3" s="5"/>
      <c r="AC3" s="5"/>
      <c r="AD3" s="6">
        <f>SUM(AD4:AD99634)</f>
        <v>-59.620451541911926</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Info!B2:BZ7000""),37,FALSE)),"""")*-1"),-15.83198004675)</f>
        <v>-15.831980046749999</v>
      </c>
      <c r="AG3" s="6">
        <f>SUM(AG4:AG99634)</f>
        <v>0</v>
      </c>
    </row>
    <row r="4" spans="1:33" ht="15.75" customHeight="1" x14ac:dyDescent="0.2">
      <c r="A4" s="14" t="s">
        <v>31</v>
      </c>
      <c r="B4" s="14" t="s">
        <v>620</v>
      </c>
      <c r="C4" s="15">
        <f t="shared" ref="C4:C32" si="4">IFERROR(F4/D4," - ")</f>
        <v>40.590000000000003</v>
      </c>
      <c r="D4" s="16">
        <v>10</v>
      </c>
      <c r="E4" s="16">
        <v>0</v>
      </c>
      <c r="F4" s="17">
        <v>405.90000000000003</v>
      </c>
      <c r="G4" s="17">
        <v>-0.08</v>
      </c>
      <c r="H4" s="18">
        <f t="shared" si="1"/>
        <v>1.9709288001970929E-4</v>
      </c>
      <c r="I4" s="18">
        <f t="shared" si="2"/>
        <v>0.17030388079671024</v>
      </c>
      <c r="J4" s="17">
        <f t="shared" ref="J4:J32" si="5">F4*0.85+G4+AF4*D4+D4*AE4+AG4+AD4</f>
        <v>69.126345215384688</v>
      </c>
      <c r="K4" s="17">
        <f t="shared" si="3"/>
        <v>6.912634521538469</v>
      </c>
      <c r="L4" s="16">
        <v>25</v>
      </c>
      <c r="M4" s="19">
        <f t="shared" ref="M4:M32" si="6">IFERROR(D4/L4,"-")</f>
        <v>0.4</v>
      </c>
      <c r="N4" s="16">
        <v>165</v>
      </c>
      <c r="O4" s="20">
        <f t="shared" ref="O4:P4" si="7">D4/7</f>
        <v>1.4285714285714286</v>
      </c>
      <c r="P4" s="20">
        <f t="shared" si="7"/>
        <v>0</v>
      </c>
      <c r="Q4" s="16">
        <f t="shared" ref="Q4:Q32" si="8">ROUNDDOWN(N4/(O4+P4),0)</f>
        <v>115</v>
      </c>
      <c r="R4" s="16"/>
      <c r="S4" s="21">
        <v>0.31436314363143603</v>
      </c>
      <c r="T4" s="14">
        <v>472</v>
      </c>
      <c r="U4" s="22" t="s">
        <v>33</v>
      </c>
      <c r="V4" s="23" t="s">
        <v>33</v>
      </c>
      <c r="W4" s="14">
        <v>0</v>
      </c>
      <c r="X4" s="24">
        <f t="shared" ref="X4:X32" si="9">IFERROR(W4/D4,0)</f>
        <v>0</v>
      </c>
      <c r="Y4" s="25">
        <f t="shared" ref="Y4:Y32" si="10">IFERROR(G4/(W4+Z4)*-1,0)</f>
        <v>0</v>
      </c>
      <c r="Z4" s="14">
        <v>0</v>
      </c>
      <c r="AA4" s="2" t="s">
        <v>621</v>
      </c>
      <c r="AB4" s="26">
        <f t="shared" ref="AB4:AB32" si="11">IF(OR(AA4="UsLargeStandardSize",AA4="UsSmallStandardSize"),-0.69,-0.48)</f>
        <v>-0.48</v>
      </c>
      <c r="AC4" s="27">
        <v>0.26668465972222216</v>
      </c>
      <c r="AD4" s="25">
        <f t="shared" ref="AD4:AD32" si="12">IFERROR(AB4*AC4*D4*2,0)</f>
        <v>-2.5601727333333324</v>
      </c>
      <c r="AE4" s="25">
        <v>-10.92</v>
      </c>
      <c r="AF4" s="25">
        <v>-16.404848205128204</v>
      </c>
      <c r="AG4" s="25">
        <v>0</v>
      </c>
    </row>
    <row r="5" spans="1:33" ht="15.75" customHeight="1" x14ac:dyDescent="0.2">
      <c r="A5" s="28" t="s">
        <v>35</v>
      </c>
      <c r="B5" s="28" t="s">
        <v>47</v>
      </c>
      <c r="C5" s="15">
        <f t="shared" si="4"/>
        <v>40.415000000000006</v>
      </c>
      <c r="D5" s="29">
        <v>4</v>
      </c>
      <c r="E5" s="29">
        <v>0</v>
      </c>
      <c r="F5" s="30">
        <v>161.66000000000003</v>
      </c>
      <c r="G5" s="30">
        <v>-0.16</v>
      </c>
      <c r="H5" s="31">
        <f t="shared" si="1"/>
        <v>9.8973153532104399E-4</v>
      </c>
      <c r="I5" s="31">
        <f t="shared" si="2"/>
        <v>0.1665616197425169</v>
      </c>
      <c r="J5" s="32">
        <f t="shared" si="5"/>
        <v>26.926351447575286</v>
      </c>
      <c r="K5" s="32">
        <f t="shared" si="3"/>
        <v>6.7315878618938214</v>
      </c>
      <c r="L5" s="29">
        <v>44</v>
      </c>
      <c r="M5" s="33">
        <f t="shared" si="6"/>
        <v>9.0909090909090912E-2</v>
      </c>
      <c r="N5" s="29">
        <v>160</v>
      </c>
      <c r="O5" s="34">
        <f t="shared" ref="O5:P5" si="13">D5/7</f>
        <v>0.5714285714285714</v>
      </c>
      <c r="P5" s="34">
        <f t="shared" si="13"/>
        <v>0</v>
      </c>
      <c r="Q5" s="29">
        <f t="shared" si="8"/>
        <v>280</v>
      </c>
      <c r="R5" s="29"/>
      <c r="S5" s="35">
        <v>0.41573033707865098</v>
      </c>
      <c r="T5" s="28">
        <v>472</v>
      </c>
      <c r="U5" s="36" t="s">
        <v>33</v>
      </c>
      <c r="V5" s="37" t="s">
        <v>33</v>
      </c>
      <c r="W5" s="28">
        <v>0</v>
      </c>
      <c r="X5" s="38">
        <f t="shared" si="9"/>
        <v>0</v>
      </c>
      <c r="Y5" s="39">
        <f t="shared" si="10"/>
        <v>0</v>
      </c>
      <c r="Z5" s="28">
        <v>0</v>
      </c>
      <c r="AA5" s="28" t="s">
        <v>621</v>
      </c>
      <c r="AB5" s="40">
        <f t="shared" si="11"/>
        <v>-0.48</v>
      </c>
      <c r="AC5" s="41">
        <v>0.26699368018539971</v>
      </c>
      <c r="AD5" s="39">
        <f t="shared" si="12"/>
        <v>-1.0252557319119349</v>
      </c>
      <c r="AE5" s="39">
        <v>-10.92</v>
      </c>
      <c r="AF5" s="39">
        <v>-16.404848205128204</v>
      </c>
      <c r="AG5" s="39">
        <v>0</v>
      </c>
    </row>
    <row r="6" spans="1:33" ht="15.75" customHeight="1" x14ac:dyDescent="0.2">
      <c r="A6" s="28" t="s">
        <v>37</v>
      </c>
      <c r="B6" s="28" t="s">
        <v>47</v>
      </c>
      <c r="C6" s="15">
        <f t="shared" si="4"/>
        <v>40.840000000000011</v>
      </c>
      <c r="D6" s="29">
        <v>14</v>
      </c>
      <c r="E6" s="29">
        <v>0</v>
      </c>
      <c r="F6" s="30">
        <v>571.7600000000001</v>
      </c>
      <c r="G6" s="30">
        <v>-0.13</v>
      </c>
      <c r="H6" s="31">
        <f t="shared" si="1"/>
        <v>2.2736812648663771E-4</v>
      </c>
      <c r="I6" s="31">
        <f t="shared" si="2"/>
        <v>0.17443312456544449</v>
      </c>
      <c r="J6" s="32">
        <f t="shared" si="5"/>
        <v>99.733883301538555</v>
      </c>
      <c r="K6" s="32">
        <f t="shared" si="3"/>
        <v>7.1238488072527542</v>
      </c>
      <c r="L6" s="29">
        <v>50</v>
      </c>
      <c r="M6" s="33">
        <f t="shared" si="6"/>
        <v>0.28000000000000003</v>
      </c>
      <c r="N6" s="29">
        <v>146</v>
      </c>
      <c r="O6" s="34">
        <f t="shared" ref="O6:P6" si="14">D6/7</f>
        <v>2</v>
      </c>
      <c r="P6" s="34">
        <f t="shared" si="14"/>
        <v>0</v>
      </c>
      <c r="Q6" s="29">
        <f t="shared" si="8"/>
        <v>73</v>
      </c>
      <c r="R6" s="29"/>
      <c r="S6" s="35">
        <v>0.47191011235954999</v>
      </c>
      <c r="T6" s="28">
        <v>472</v>
      </c>
      <c r="U6" s="36" t="s">
        <v>33</v>
      </c>
      <c r="V6" s="37" t="s">
        <v>39</v>
      </c>
      <c r="W6" s="28">
        <v>0</v>
      </c>
      <c r="X6" s="38">
        <f t="shared" si="9"/>
        <v>0</v>
      </c>
      <c r="Y6" s="39">
        <f t="shared" si="10"/>
        <v>0</v>
      </c>
      <c r="Z6" s="28">
        <v>0</v>
      </c>
      <c r="AA6" s="28" t="s">
        <v>621</v>
      </c>
      <c r="AB6" s="40">
        <f t="shared" si="11"/>
        <v>-0.48</v>
      </c>
      <c r="AC6" s="41">
        <v>0.26668465972222216</v>
      </c>
      <c r="AD6" s="39">
        <f t="shared" si="12"/>
        <v>-3.5842418266666654</v>
      </c>
      <c r="AE6" s="39">
        <v>-10.92</v>
      </c>
      <c r="AF6" s="39">
        <v>-16.404848205128204</v>
      </c>
      <c r="AG6" s="39">
        <v>0</v>
      </c>
    </row>
    <row r="7" spans="1:33" ht="15.75" customHeight="1" x14ac:dyDescent="0.2">
      <c r="A7" s="28" t="s">
        <v>40</v>
      </c>
      <c r="B7" s="28" t="s">
        <v>47</v>
      </c>
      <c r="C7" s="15">
        <f t="shared" si="4"/>
        <v>40.840000000000018</v>
      </c>
      <c r="D7" s="29">
        <v>20</v>
      </c>
      <c r="E7" s="29">
        <v>0</v>
      </c>
      <c r="F7" s="30">
        <v>816.80000000000041</v>
      </c>
      <c r="G7" s="30">
        <v>-0.08</v>
      </c>
      <c r="H7" s="31">
        <f t="shared" si="1"/>
        <v>9.7943192948090062E-5</v>
      </c>
      <c r="I7" s="31">
        <f t="shared" si="2"/>
        <v>0.25043604419372684</v>
      </c>
      <c r="J7" s="32">
        <f t="shared" si="5"/>
        <v>204.5561608974362</v>
      </c>
      <c r="K7" s="32">
        <f t="shared" si="3"/>
        <v>10.227808044871811</v>
      </c>
      <c r="L7" s="29">
        <v>65</v>
      </c>
      <c r="M7" s="33">
        <f t="shared" si="6"/>
        <v>0.30769230769230771</v>
      </c>
      <c r="N7" s="29">
        <v>128</v>
      </c>
      <c r="O7" s="34">
        <f t="shared" ref="O7:P7" si="15">D7/7</f>
        <v>2.8571428571428572</v>
      </c>
      <c r="P7" s="34">
        <f t="shared" si="15"/>
        <v>0</v>
      </c>
      <c r="Q7" s="29">
        <f t="shared" si="8"/>
        <v>44</v>
      </c>
      <c r="R7" s="29"/>
      <c r="S7" s="35">
        <v>0.47727272727272702</v>
      </c>
      <c r="T7" s="28">
        <v>472</v>
      </c>
      <c r="U7" s="36" t="s">
        <v>33</v>
      </c>
      <c r="V7" s="37" t="s">
        <v>39</v>
      </c>
      <c r="W7" s="28">
        <v>0</v>
      </c>
      <c r="X7" s="38">
        <f t="shared" si="9"/>
        <v>0</v>
      </c>
      <c r="Y7" s="39">
        <f t="shared" si="10"/>
        <v>0</v>
      </c>
      <c r="Z7" s="28">
        <v>0</v>
      </c>
      <c r="AA7" s="28" t="s">
        <v>34</v>
      </c>
      <c r="AB7" s="40">
        <f t="shared" si="11"/>
        <v>-0.69</v>
      </c>
      <c r="AC7" s="41">
        <v>0.2734375</v>
      </c>
      <c r="AD7" s="39">
        <f t="shared" si="12"/>
        <v>-7.546875</v>
      </c>
      <c r="AE7" s="39">
        <v>-7.7</v>
      </c>
      <c r="AF7" s="39">
        <v>-16.404848205128204</v>
      </c>
      <c r="AG7" s="39">
        <v>0</v>
      </c>
    </row>
    <row r="8" spans="1:33" ht="15.75" customHeight="1" x14ac:dyDescent="0.2">
      <c r="A8" s="28" t="s">
        <v>42</v>
      </c>
      <c r="B8" s="28" t="s">
        <v>622</v>
      </c>
      <c r="C8" s="15">
        <f t="shared" si="4"/>
        <v>40.840000000000003</v>
      </c>
      <c r="D8" s="29">
        <v>29</v>
      </c>
      <c r="E8" s="29">
        <v>0</v>
      </c>
      <c r="F8" s="30">
        <v>1184.3600000000001</v>
      </c>
      <c r="G8" s="30">
        <v>-0.02</v>
      </c>
      <c r="H8" s="31">
        <f t="shared" si="1"/>
        <v>1.6886757404843122E-5</v>
      </c>
      <c r="I8" s="31">
        <f t="shared" si="2"/>
        <v>0.25063581280185099</v>
      </c>
      <c r="J8" s="32">
        <f t="shared" si="5"/>
        <v>296.84303125000025</v>
      </c>
      <c r="K8" s="32">
        <f t="shared" si="3"/>
        <v>10.235966594827595</v>
      </c>
      <c r="L8" s="29">
        <v>66</v>
      </c>
      <c r="M8" s="33">
        <f t="shared" si="6"/>
        <v>0.43939393939393939</v>
      </c>
      <c r="N8" s="29">
        <v>95</v>
      </c>
      <c r="O8" s="34">
        <f t="shared" ref="O8:P8" si="16">D8/7</f>
        <v>4.1428571428571432</v>
      </c>
      <c r="P8" s="34">
        <f t="shared" si="16"/>
        <v>0</v>
      </c>
      <c r="Q8" s="29">
        <f t="shared" si="8"/>
        <v>22</v>
      </c>
      <c r="R8" s="29"/>
      <c r="S8" s="35">
        <v>0.784810126582278</v>
      </c>
      <c r="T8" s="28">
        <v>472</v>
      </c>
      <c r="U8" s="36" t="s">
        <v>33</v>
      </c>
      <c r="V8" s="37" t="s">
        <v>33</v>
      </c>
      <c r="W8" s="28">
        <v>0</v>
      </c>
      <c r="X8" s="38">
        <f t="shared" si="9"/>
        <v>0</v>
      </c>
      <c r="Y8" s="39">
        <f t="shared" si="10"/>
        <v>0</v>
      </c>
      <c r="Z8" s="28">
        <v>0</v>
      </c>
      <c r="AA8" s="28" t="s">
        <v>34</v>
      </c>
      <c r="AB8" s="40">
        <f t="shared" si="11"/>
        <v>-0.69</v>
      </c>
      <c r="AC8" s="41">
        <v>0.2734375</v>
      </c>
      <c r="AD8" s="39">
        <f t="shared" si="12"/>
        <v>-10.942968749999999</v>
      </c>
      <c r="AE8" s="39">
        <v>-7.7</v>
      </c>
      <c r="AF8" s="39">
        <v>-16.399999999999999</v>
      </c>
      <c r="AG8" s="39">
        <v>0</v>
      </c>
    </row>
    <row r="9" spans="1:33" ht="15.75" customHeight="1" x14ac:dyDescent="0.2">
      <c r="A9" s="28" t="s">
        <v>44</v>
      </c>
      <c r="B9" s="28" t="s">
        <v>623</v>
      </c>
      <c r="C9" s="15">
        <f t="shared" si="4"/>
        <v>40.839999999999989</v>
      </c>
      <c r="D9" s="29">
        <v>35</v>
      </c>
      <c r="E9" s="29">
        <v>0</v>
      </c>
      <c r="F9" s="30">
        <v>1429.3999999999996</v>
      </c>
      <c r="G9" s="30">
        <v>-0.16</v>
      </c>
      <c r="H9" s="31">
        <f t="shared" si="1"/>
        <v>1.1193507765496016E-4</v>
      </c>
      <c r="I9" s="31">
        <f t="shared" si="2"/>
        <v>0.24087886940638736</v>
      </c>
      <c r="J9" s="32">
        <f t="shared" si="5"/>
        <v>344.31225592948999</v>
      </c>
      <c r="K9" s="32">
        <f t="shared" si="3"/>
        <v>9.8374930265568565</v>
      </c>
      <c r="L9" s="29">
        <v>101</v>
      </c>
      <c r="M9" s="33">
        <f t="shared" si="6"/>
        <v>0.34653465346534651</v>
      </c>
      <c r="N9" s="29">
        <v>62</v>
      </c>
      <c r="O9" s="34">
        <f t="shared" ref="O9:P9" si="17">D9/7</f>
        <v>5</v>
      </c>
      <c r="P9" s="34">
        <f t="shared" si="17"/>
        <v>0</v>
      </c>
      <c r="Q9" s="29">
        <f t="shared" si="8"/>
        <v>12</v>
      </c>
      <c r="R9" s="29"/>
      <c r="S9" s="35">
        <v>1.21531100478468</v>
      </c>
      <c r="T9" s="28">
        <v>472</v>
      </c>
      <c r="U9" s="36" t="s">
        <v>33</v>
      </c>
      <c r="V9" s="37" t="s">
        <v>33</v>
      </c>
      <c r="W9" s="28">
        <v>1</v>
      </c>
      <c r="X9" s="38">
        <f t="shared" si="9"/>
        <v>2.8571428571428571E-2</v>
      </c>
      <c r="Y9" s="39">
        <f t="shared" si="10"/>
        <v>0.16</v>
      </c>
      <c r="Z9" s="28">
        <v>0</v>
      </c>
      <c r="AA9" s="28" t="s">
        <v>34</v>
      </c>
      <c r="AB9" s="40">
        <f t="shared" si="11"/>
        <v>-0.69</v>
      </c>
      <c r="AC9" s="41">
        <v>0.2734375</v>
      </c>
      <c r="AD9" s="39">
        <f t="shared" si="12"/>
        <v>-13.20703125</v>
      </c>
      <c r="AE9" s="39">
        <v>-7.7</v>
      </c>
      <c r="AF9" s="39">
        <v>-16.7945917948717</v>
      </c>
      <c r="AG9" s="39">
        <v>0</v>
      </c>
    </row>
    <row r="10" spans="1:33" ht="15.75" customHeight="1" x14ac:dyDescent="0.2">
      <c r="A10" s="28" t="s">
        <v>46</v>
      </c>
      <c r="B10" s="28" t="s">
        <v>47</v>
      </c>
      <c r="C10" s="15">
        <f t="shared" si="4"/>
        <v>44.378888888888895</v>
      </c>
      <c r="D10" s="29">
        <v>18</v>
      </c>
      <c r="E10" s="29">
        <v>0</v>
      </c>
      <c r="F10" s="30">
        <v>798.82</v>
      </c>
      <c r="G10" s="30">
        <v>-0.08</v>
      </c>
      <c r="H10" s="31">
        <f t="shared" si="1"/>
        <v>1.0014771788387871E-4</v>
      </c>
      <c r="I10" s="31">
        <f t="shared" si="2"/>
        <v>0.28945464584300518</v>
      </c>
      <c r="J10" s="32">
        <f t="shared" si="5"/>
        <v>231.22216019230942</v>
      </c>
      <c r="K10" s="32">
        <f t="shared" si="3"/>
        <v>12.845675566239413</v>
      </c>
      <c r="L10" s="29">
        <v>113</v>
      </c>
      <c r="M10" s="33">
        <f t="shared" si="6"/>
        <v>0.15929203539823009</v>
      </c>
      <c r="N10" s="29">
        <v>40</v>
      </c>
      <c r="O10" s="34">
        <f t="shared" ref="O10:P10" si="18">D10/7</f>
        <v>2.5714285714285716</v>
      </c>
      <c r="P10" s="34">
        <f t="shared" si="18"/>
        <v>0</v>
      </c>
      <c r="Q10" s="29">
        <f t="shared" si="8"/>
        <v>15</v>
      </c>
      <c r="R10" s="29"/>
      <c r="S10" s="35">
        <v>1.5</v>
      </c>
      <c r="T10" s="28">
        <v>472</v>
      </c>
      <c r="U10" s="36" t="s">
        <v>33</v>
      </c>
      <c r="V10" s="37" t="s">
        <v>33</v>
      </c>
      <c r="W10" s="28">
        <v>0</v>
      </c>
      <c r="X10" s="38">
        <f t="shared" si="9"/>
        <v>0</v>
      </c>
      <c r="Y10" s="39">
        <f t="shared" si="10"/>
        <v>0</v>
      </c>
      <c r="Z10" s="28">
        <v>0</v>
      </c>
      <c r="AA10" s="28" t="s">
        <v>34</v>
      </c>
      <c r="AB10" s="40">
        <f t="shared" si="11"/>
        <v>-0.69</v>
      </c>
      <c r="AC10" s="41">
        <v>0.2734375</v>
      </c>
      <c r="AD10" s="39">
        <f t="shared" si="12"/>
        <v>-6.7921874999999998</v>
      </c>
      <c r="AE10" s="39">
        <v>-7.7</v>
      </c>
      <c r="AF10" s="39">
        <v>-16.7945917948717</v>
      </c>
      <c r="AG10" s="39">
        <v>0</v>
      </c>
    </row>
    <row r="11" spans="1:33" ht="15.75" customHeight="1" x14ac:dyDescent="0.2">
      <c r="A11" s="28" t="s">
        <v>48</v>
      </c>
      <c r="B11" s="28" t="s">
        <v>624</v>
      </c>
      <c r="C11" s="15">
        <f t="shared" si="4"/>
        <v>43.723333333333336</v>
      </c>
      <c r="D11" s="29">
        <v>15</v>
      </c>
      <c r="E11" s="29">
        <v>1</v>
      </c>
      <c r="F11" s="30">
        <v>655.85</v>
      </c>
      <c r="G11" s="30">
        <v>0</v>
      </c>
      <c r="H11" s="31">
        <f t="shared" si="1"/>
        <v>0</v>
      </c>
      <c r="I11" s="31">
        <f t="shared" si="2"/>
        <v>0.2811518896499573</v>
      </c>
      <c r="J11" s="32">
        <f t="shared" si="5"/>
        <v>184.39346682692451</v>
      </c>
      <c r="K11" s="32">
        <f t="shared" si="3"/>
        <v>12.292897788461634</v>
      </c>
      <c r="L11" s="29">
        <v>74</v>
      </c>
      <c r="M11" s="33">
        <f t="shared" si="6"/>
        <v>0.20270270270270271</v>
      </c>
      <c r="N11" s="29">
        <v>25</v>
      </c>
      <c r="O11" s="34">
        <f t="shared" ref="O11:P11" si="19">D11/7</f>
        <v>2.1428571428571428</v>
      </c>
      <c r="P11" s="34">
        <f t="shared" si="19"/>
        <v>0.14285714285714285</v>
      </c>
      <c r="Q11" s="29">
        <f t="shared" si="8"/>
        <v>10</v>
      </c>
      <c r="R11" s="29"/>
      <c r="S11" s="35">
        <v>1.8555555555555501</v>
      </c>
      <c r="T11" s="28">
        <v>472</v>
      </c>
      <c r="U11" s="36" t="s">
        <v>33</v>
      </c>
      <c r="V11" s="37" t="s">
        <v>33</v>
      </c>
      <c r="W11" s="28">
        <v>0</v>
      </c>
      <c r="X11" s="38">
        <f t="shared" si="9"/>
        <v>0</v>
      </c>
      <c r="Y11" s="39">
        <f t="shared" si="10"/>
        <v>0</v>
      </c>
      <c r="Z11" s="28">
        <v>0</v>
      </c>
      <c r="AA11" s="28" t="s">
        <v>34</v>
      </c>
      <c r="AB11" s="40">
        <f t="shared" si="11"/>
        <v>-0.69</v>
      </c>
      <c r="AC11" s="41">
        <v>0.2734375</v>
      </c>
      <c r="AD11" s="39">
        <f t="shared" si="12"/>
        <v>-5.66015625</v>
      </c>
      <c r="AE11" s="39">
        <v>-7.7</v>
      </c>
      <c r="AF11" s="39">
        <v>-16.7945917948717</v>
      </c>
      <c r="AG11" s="39">
        <v>0</v>
      </c>
    </row>
    <row r="12" spans="1:33" ht="15.75" customHeight="1" x14ac:dyDescent="0.2">
      <c r="A12" s="28" t="s">
        <v>49</v>
      </c>
      <c r="B12" s="28" t="s">
        <v>150</v>
      </c>
      <c r="C12" s="15">
        <f t="shared" si="4"/>
        <v>44.045555555555559</v>
      </c>
      <c r="D12" s="29">
        <v>18</v>
      </c>
      <c r="E12" s="29">
        <v>1</v>
      </c>
      <c r="F12" s="30">
        <v>792.82</v>
      </c>
      <c r="G12" s="30">
        <v>-0.08</v>
      </c>
      <c r="H12" s="31">
        <f t="shared" si="1"/>
        <v>1.0090562801140233E-4</v>
      </c>
      <c r="I12" s="31">
        <f t="shared" si="2"/>
        <v>0.28521248226874873</v>
      </c>
      <c r="J12" s="32">
        <f t="shared" si="5"/>
        <v>226.12216019230939</v>
      </c>
      <c r="K12" s="32">
        <f t="shared" si="3"/>
        <v>12.562342232906078</v>
      </c>
      <c r="L12" s="29">
        <v>78</v>
      </c>
      <c r="M12" s="33">
        <f t="shared" si="6"/>
        <v>0.23076923076923078</v>
      </c>
      <c r="N12" s="29">
        <v>6</v>
      </c>
      <c r="O12" s="34">
        <f t="shared" ref="O12:P12" si="20">D12/7</f>
        <v>2.5714285714285716</v>
      </c>
      <c r="P12" s="34">
        <f t="shared" si="20"/>
        <v>0.14285714285714285</v>
      </c>
      <c r="Q12" s="29">
        <f t="shared" si="8"/>
        <v>2</v>
      </c>
      <c r="R12" s="29"/>
      <c r="S12" s="35">
        <v>1.5</v>
      </c>
      <c r="T12" s="28">
        <v>472</v>
      </c>
      <c r="U12" s="36" t="s">
        <v>33</v>
      </c>
      <c r="V12" s="37" t="s">
        <v>33</v>
      </c>
      <c r="W12" s="28">
        <v>0</v>
      </c>
      <c r="X12" s="38">
        <f t="shared" si="9"/>
        <v>0</v>
      </c>
      <c r="Y12" s="39">
        <f t="shared" si="10"/>
        <v>0</v>
      </c>
      <c r="Z12" s="28">
        <v>0</v>
      </c>
      <c r="AA12" s="28" t="s">
        <v>34</v>
      </c>
      <c r="AB12" s="40">
        <f t="shared" si="11"/>
        <v>-0.69</v>
      </c>
      <c r="AC12" s="41">
        <v>0.2734375</v>
      </c>
      <c r="AD12" s="39">
        <f t="shared" si="12"/>
        <v>-6.7921874999999998</v>
      </c>
      <c r="AE12" s="39">
        <v>-7.7</v>
      </c>
      <c r="AF12" s="39">
        <v>-16.7945917948717</v>
      </c>
      <c r="AG12" s="39">
        <v>0</v>
      </c>
    </row>
    <row r="13" spans="1:33" ht="15.75" customHeight="1" x14ac:dyDescent="0.2">
      <c r="A13" s="28" t="s">
        <v>50</v>
      </c>
      <c r="B13" s="28" t="s">
        <v>52</v>
      </c>
      <c r="C13" s="15">
        <f t="shared" si="4"/>
        <v>43.99</v>
      </c>
      <c r="D13" s="29">
        <v>4</v>
      </c>
      <c r="E13" s="29">
        <v>0</v>
      </c>
      <c r="F13" s="32">
        <v>175.96</v>
      </c>
      <c r="G13" s="30">
        <v>-0.08</v>
      </c>
      <c r="H13" s="31">
        <f t="shared" si="1"/>
        <v>4.5464878381450331E-4</v>
      </c>
      <c r="I13" s="31">
        <f t="shared" si="2"/>
        <v>0.27948252443737209</v>
      </c>
      <c r="J13" s="32">
        <f t="shared" si="5"/>
        <v>49.177744999999994</v>
      </c>
      <c r="K13" s="32">
        <f t="shared" si="3"/>
        <v>12.294436249999999</v>
      </c>
      <c r="L13" s="29">
        <v>12</v>
      </c>
      <c r="M13" s="33">
        <f t="shared" si="6"/>
        <v>0.33333333333333331</v>
      </c>
      <c r="N13" s="29">
        <v>0</v>
      </c>
      <c r="O13" s="34">
        <f t="shared" ref="O13:P13" si="21">D13/7</f>
        <v>0.5714285714285714</v>
      </c>
      <c r="P13" s="34">
        <f t="shared" si="21"/>
        <v>0</v>
      </c>
      <c r="Q13" s="29">
        <f t="shared" si="8"/>
        <v>0</v>
      </c>
      <c r="R13" s="29"/>
      <c r="S13" s="35" t="e">
        <v>#N/A</v>
      </c>
      <c r="T13" s="28">
        <v>472</v>
      </c>
      <c r="U13" s="36" t="s">
        <v>33</v>
      </c>
      <c r="V13" s="37" t="s">
        <v>33</v>
      </c>
      <c r="W13" s="28">
        <v>0</v>
      </c>
      <c r="X13" s="38">
        <f t="shared" si="9"/>
        <v>0</v>
      </c>
      <c r="Y13" s="39">
        <f t="shared" si="10"/>
        <v>0</v>
      </c>
      <c r="Z13" s="28">
        <v>0</v>
      </c>
      <c r="AA13" s="28" t="s">
        <v>34</v>
      </c>
      <c r="AB13" s="40">
        <f t="shared" si="11"/>
        <v>-0.69</v>
      </c>
      <c r="AC13" s="41">
        <v>0.2734375</v>
      </c>
      <c r="AD13" s="39">
        <f t="shared" si="12"/>
        <v>-1.5093749999999999</v>
      </c>
      <c r="AE13" s="39">
        <v>-7.7</v>
      </c>
      <c r="AF13" s="39">
        <v>-16.99972</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472</v>
      </c>
      <c r="U14" s="36" t="s">
        <v>33</v>
      </c>
      <c r="V14" s="37" t="s">
        <v>33</v>
      </c>
      <c r="W14" s="28">
        <v>0</v>
      </c>
      <c r="X14" s="38">
        <f t="shared" si="9"/>
        <v>0</v>
      </c>
      <c r="Y14" s="39">
        <f t="shared" si="10"/>
        <v>0</v>
      </c>
      <c r="Z14" s="28">
        <v>0</v>
      </c>
      <c r="AA14" s="28" t="s">
        <v>34</v>
      </c>
      <c r="AB14" s="40">
        <f t="shared" si="11"/>
        <v>-0.69</v>
      </c>
      <c r="AC14" s="41">
        <v>0.2734375</v>
      </c>
      <c r="AD14" s="39">
        <f t="shared" si="12"/>
        <v>0</v>
      </c>
      <c r="AE14" s="39">
        <v>-7.7</v>
      </c>
      <c r="AF14" s="39">
        <v>-16.99972</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672</v>
      </c>
      <c r="U15" s="36" t="s">
        <v>33</v>
      </c>
      <c r="V15" s="37" t="s">
        <v>33</v>
      </c>
      <c r="W15" s="28">
        <v>0</v>
      </c>
      <c r="X15" s="38">
        <f t="shared" si="9"/>
        <v>0</v>
      </c>
      <c r="Y15" s="39">
        <f t="shared" si="10"/>
        <v>0</v>
      </c>
      <c r="Z15" s="28">
        <v>0</v>
      </c>
      <c r="AA15" s="28" t="s">
        <v>34</v>
      </c>
      <c r="AB15" s="40">
        <f t="shared" si="11"/>
        <v>-0.69</v>
      </c>
      <c r="AC15" s="41">
        <v>0.2734375</v>
      </c>
      <c r="AD15" s="39">
        <f t="shared" si="12"/>
        <v>0</v>
      </c>
      <c r="AE15" s="39">
        <v>-7.7</v>
      </c>
      <c r="AF15" s="39">
        <v>-16.99972</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0</v>
      </c>
      <c r="O16" s="34">
        <f t="shared" ref="O16:P16" si="24">D16/7</f>
        <v>0</v>
      </c>
      <c r="P16" s="34">
        <f t="shared" si="24"/>
        <v>0</v>
      </c>
      <c r="Q16" s="29" t="e">
        <f t="shared" si="8"/>
        <v>#DIV/0!</v>
      </c>
      <c r="R16" s="29"/>
      <c r="S16" s="35" t="e">
        <v>#N/A</v>
      </c>
      <c r="T16" s="28">
        <v>672</v>
      </c>
      <c r="U16" s="36" t="s">
        <v>33</v>
      </c>
      <c r="V16" s="37" t="s">
        <v>33</v>
      </c>
      <c r="W16" s="28">
        <v>0</v>
      </c>
      <c r="X16" s="38">
        <f t="shared" si="9"/>
        <v>0</v>
      </c>
      <c r="Y16" s="39">
        <f t="shared" si="10"/>
        <v>0</v>
      </c>
      <c r="Z16" s="28">
        <v>0</v>
      </c>
      <c r="AA16" s="28" t="s">
        <v>34</v>
      </c>
      <c r="AB16" s="40">
        <f t="shared" si="11"/>
        <v>-0.69</v>
      </c>
      <c r="AC16" s="41">
        <v>0.2734375</v>
      </c>
      <c r="AD16" s="39">
        <f t="shared" si="12"/>
        <v>0</v>
      </c>
      <c r="AE16" s="39">
        <v>-7.7</v>
      </c>
      <c r="AF16" s="39">
        <v>-16.99972</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0</v>
      </c>
      <c r="O17" s="34">
        <f t="shared" ref="O17:P17" si="25">D17/7</f>
        <v>0</v>
      </c>
      <c r="P17" s="34">
        <f t="shared" si="25"/>
        <v>0</v>
      </c>
      <c r="Q17" s="29" t="e">
        <f t="shared" si="8"/>
        <v>#DIV/0!</v>
      </c>
      <c r="R17" s="29"/>
      <c r="S17" s="35" t="e">
        <v>#N/A</v>
      </c>
      <c r="T17" s="28">
        <v>672</v>
      </c>
      <c r="U17" s="36" t="s">
        <v>33</v>
      </c>
      <c r="V17" s="37" t="s">
        <v>33</v>
      </c>
      <c r="W17" s="28">
        <v>0</v>
      </c>
      <c r="X17" s="38">
        <f t="shared" si="9"/>
        <v>0</v>
      </c>
      <c r="Y17" s="39">
        <f t="shared" si="10"/>
        <v>0</v>
      </c>
      <c r="Z17" s="28">
        <v>0</v>
      </c>
      <c r="AA17" s="28" t="s">
        <v>34</v>
      </c>
      <c r="AB17" s="40">
        <f t="shared" si="11"/>
        <v>-0.69</v>
      </c>
      <c r="AC17" s="41">
        <v>0.2734375</v>
      </c>
      <c r="AD17" s="39">
        <f t="shared" si="12"/>
        <v>0</v>
      </c>
      <c r="AE17" s="39">
        <v>-7.7</v>
      </c>
      <c r="AF17" s="39">
        <v>-16.646920000000001</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0</v>
      </c>
      <c r="O18" s="34">
        <f t="shared" ref="O18:P18" si="26">D18/7</f>
        <v>0</v>
      </c>
      <c r="P18" s="34">
        <f t="shared" si="26"/>
        <v>0</v>
      </c>
      <c r="Q18" s="29" t="e">
        <f t="shared" si="8"/>
        <v>#DIV/0!</v>
      </c>
      <c r="R18" s="29"/>
      <c r="S18" s="35" t="e">
        <v>#N/A</v>
      </c>
      <c r="T18" s="28">
        <v>672</v>
      </c>
      <c r="U18" s="36" t="s">
        <v>33</v>
      </c>
      <c r="V18" s="37" t="s">
        <v>33</v>
      </c>
      <c r="W18" s="28">
        <v>0</v>
      </c>
      <c r="X18" s="38">
        <f t="shared" si="9"/>
        <v>0</v>
      </c>
      <c r="Y18" s="39">
        <f t="shared" si="10"/>
        <v>0</v>
      </c>
      <c r="Z18" s="28">
        <v>0</v>
      </c>
      <c r="AA18" s="28" t="s">
        <v>34</v>
      </c>
      <c r="AB18" s="40">
        <f t="shared" si="11"/>
        <v>-0.69</v>
      </c>
      <c r="AC18" s="41">
        <v>0.2734375</v>
      </c>
      <c r="AD18" s="39">
        <f t="shared" si="12"/>
        <v>0</v>
      </c>
      <c r="AE18" s="39">
        <v>-7.7</v>
      </c>
      <c r="AF18" s="39">
        <v>-16.646920000000001</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t="e">
        <v>#N/A</v>
      </c>
      <c r="T19" s="28">
        <v>672</v>
      </c>
      <c r="U19" s="36" t="s">
        <v>33</v>
      </c>
      <c r="V19" s="37" t="s">
        <v>33</v>
      </c>
      <c r="W19" s="28">
        <v>0</v>
      </c>
      <c r="X19" s="38">
        <f t="shared" si="9"/>
        <v>0</v>
      </c>
      <c r="Y19" s="39">
        <f t="shared" si="10"/>
        <v>0</v>
      </c>
      <c r="Z19" s="28">
        <v>0</v>
      </c>
      <c r="AA19" s="28" t="s">
        <v>34</v>
      </c>
      <c r="AB19" s="40">
        <f t="shared" si="11"/>
        <v>-0.69</v>
      </c>
      <c r="AC19" s="41">
        <v>0.2734375</v>
      </c>
      <c r="AD19" s="39">
        <f t="shared" si="12"/>
        <v>0</v>
      </c>
      <c r="AE19" s="39">
        <v>-7.7</v>
      </c>
      <c r="AF19" s="39">
        <v>-17.399266000000004</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672</v>
      </c>
      <c r="U20" s="36" t="s">
        <v>33</v>
      </c>
      <c r="V20" s="37" t="s">
        <v>33</v>
      </c>
      <c r="W20" s="28">
        <v>0</v>
      </c>
      <c r="X20" s="38">
        <f t="shared" si="9"/>
        <v>0</v>
      </c>
      <c r="Y20" s="39">
        <f t="shared" si="10"/>
        <v>0</v>
      </c>
      <c r="Z20" s="28">
        <v>0</v>
      </c>
      <c r="AA20" s="28" t="s">
        <v>34</v>
      </c>
      <c r="AB20" s="40">
        <f t="shared" si="11"/>
        <v>-0.69</v>
      </c>
      <c r="AC20" s="41">
        <v>0.2734375</v>
      </c>
      <c r="AD20" s="39">
        <f t="shared" si="12"/>
        <v>0</v>
      </c>
      <c r="AE20" s="39">
        <v>-7.7</v>
      </c>
      <c r="AF20" s="39">
        <v>-17.399266000000004</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200</v>
      </c>
      <c r="U21" s="36">
        <v>150</v>
      </c>
      <c r="V21" s="37" t="s">
        <v>625</v>
      </c>
      <c r="W21" s="28">
        <v>0</v>
      </c>
      <c r="X21" s="38">
        <f t="shared" si="9"/>
        <v>0</v>
      </c>
      <c r="Y21" s="39">
        <f t="shared" si="10"/>
        <v>0</v>
      </c>
      <c r="Z21" s="28">
        <v>0</v>
      </c>
      <c r="AA21" s="28" t="s">
        <v>34</v>
      </c>
      <c r="AB21" s="40">
        <f t="shared" si="11"/>
        <v>-0.69</v>
      </c>
      <c r="AC21" s="41">
        <v>0.2734375</v>
      </c>
      <c r="AD21" s="39">
        <f t="shared" si="12"/>
        <v>0</v>
      </c>
      <c r="AE21" s="39">
        <v>-7.7</v>
      </c>
      <c r="AF21" s="39">
        <v>-17.399266000000004</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200</v>
      </c>
      <c r="U22" s="36">
        <v>150</v>
      </c>
      <c r="V22" s="37" t="s">
        <v>625</v>
      </c>
      <c r="W22" s="28">
        <v>0</v>
      </c>
      <c r="X22" s="38">
        <f t="shared" si="9"/>
        <v>0</v>
      </c>
      <c r="Y22" s="39">
        <f t="shared" si="10"/>
        <v>0</v>
      </c>
      <c r="Z22" s="28">
        <v>0</v>
      </c>
      <c r="AA22" s="28" t="s">
        <v>34</v>
      </c>
      <c r="AB22" s="40">
        <f t="shared" si="11"/>
        <v>-0.69</v>
      </c>
      <c r="AC22" s="41">
        <v>0.2734375</v>
      </c>
      <c r="AD22" s="39">
        <f t="shared" si="12"/>
        <v>0</v>
      </c>
      <c r="AE22" s="39">
        <v>-7.7</v>
      </c>
      <c r="AF22" s="39">
        <v>-17.399266000000004</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200</v>
      </c>
      <c r="U23" s="36" t="s">
        <v>33</v>
      </c>
      <c r="V23" s="37" t="s">
        <v>626</v>
      </c>
      <c r="W23" s="28">
        <v>0</v>
      </c>
      <c r="X23" s="38">
        <f t="shared" si="9"/>
        <v>0</v>
      </c>
      <c r="Y23" s="39">
        <f t="shared" si="10"/>
        <v>0</v>
      </c>
      <c r="Z23" s="28">
        <v>0</v>
      </c>
      <c r="AA23" s="28" t="s">
        <v>34</v>
      </c>
      <c r="AB23" s="40">
        <f t="shared" si="11"/>
        <v>-0.69</v>
      </c>
      <c r="AC23" s="41">
        <v>0.2734375</v>
      </c>
      <c r="AD23" s="39">
        <f t="shared" si="12"/>
        <v>0</v>
      </c>
      <c r="AE23" s="39">
        <v>-7.7</v>
      </c>
      <c r="AF23" s="39">
        <v>-17.399266000000004</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50</v>
      </c>
      <c r="U24" s="36" t="s">
        <v>33</v>
      </c>
      <c r="V24" s="37" t="s">
        <v>33</v>
      </c>
      <c r="W24" s="28">
        <v>0</v>
      </c>
      <c r="X24" s="38">
        <f t="shared" si="9"/>
        <v>0</v>
      </c>
      <c r="Y24" s="39">
        <f t="shared" si="10"/>
        <v>0</v>
      </c>
      <c r="Z24" s="28">
        <v>0</v>
      </c>
      <c r="AA24" s="28" t="s">
        <v>34</v>
      </c>
      <c r="AB24" s="40">
        <f t="shared" si="11"/>
        <v>-0.69</v>
      </c>
      <c r="AC24" s="41">
        <v>0.2734375</v>
      </c>
      <c r="AD24" s="39">
        <f t="shared" si="12"/>
        <v>0</v>
      </c>
      <c r="AE24" s="39">
        <v>-7.7</v>
      </c>
      <c r="AF24" s="39">
        <v>-17.399266000000004</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1</v>
      </c>
      <c r="O25" s="34">
        <f t="shared" ref="O25:P25" si="33">D25/7</f>
        <v>0</v>
      </c>
      <c r="P25" s="34">
        <f t="shared" si="33"/>
        <v>0</v>
      </c>
      <c r="Q25" s="29" t="e">
        <f t="shared" si="8"/>
        <v>#DIV/0!</v>
      </c>
      <c r="R25" s="29"/>
      <c r="S25" s="35">
        <v>1.6470588235294119</v>
      </c>
      <c r="T25" s="28">
        <v>522</v>
      </c>
      <c r="U25" s="36" t="s">
        <v>33</v>
      </c>
      <c r="V25" s="37" t="s">
        <v>33</v>
      </c>
      <c r="W25" s="14">
        <v>0</v>
      </c>
      <c r="X25" s="38">
        <f t="shared" si="9"/>
        <v>0</v>
      </c>
      <c r="Y25" s="39">
        <f t="shared" si="10"/>
        <v>0</v>
      </c>
      <c r="Z25" s="14">
        <v>0</v>
      </c>
      <c r="AA25" s="28" t="s">
        <v>34</v>
      </c>
      <c r="AB25" s="40">
        <f t="shared" si="11"/>
        <v>-0.69</v>
      </c>
      <c r="AC25" s="41">
        <v>0.2734375</v>
      </c>
      <c r="AD25" s="39">
        <f t="shared" si="12"/>
        <v>0</v>
      </c>
      <c r="AE25" s="39">
        <v>-7.7</v>
      </c>
      <c r="AF25" s="39">
        <v>-17.399999999999899</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522</v>
      </c>
      <c r="U26" s="36" t="s">
        <v>33</v>
      </c>
      <c r="V26" s="37" t="s">
        <v>33</v>
      </c>
      <c r="W26" s="14">
        <v>0</v>
      </c>
      <c r="X26" s="38">
        <f t="shared" si="9"/>
        <v>0</v>
      </c>
      <c r="Y26" s="39">
        <f t="shared" si="10"/>
        <v>0</v>
      </c>
      <c r="Z26" s="14">
        <v>0</v>
      </c>
      <c r="AA26" s="28" t="s">
        <v>34</v>
      </c>
      <c r="AB26" s="40">
        <f t="shared" si="11"/>
        <v>-0.69</v>
      </c>
      <c r="AC26" s="41">
        <v>0.2734375</v>
      </c>
      <c r="AD26" s="39">
        <f t="shared" si="12"/>
        <v>0</v>
      </c>
      <c r="AE26" s="25">
        <v>-7.7</v>
      </c>
      <c r="AF26" s="25">
        <v>-17.479265999999999</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522</v>
      </c>
      <c r="U27" s="36" t="s">
        <v>33</v>
      </c>
      <c r="V27" s="37" t="s">
        <v>33</v>
      </c>
      <c r="W27" s="14">
        <v>0</v>
      </c>
      <c r="X27" s="38">
        <f t="shared" si="9"/>
        <v>0</v>
      </c>
      <c r="Y27" s="39">
        <f t="shared" si="10"/>
        <v>0</v>
      </c>
      <c r="Z27" s="14">
        <v>0</v>
      </c>
      <c r="AA27" s="28" t="s">
        <v>34</v>
      </c>
      <c r="AB27" s="40">
        <f t="shared" si="11"/>
        <v>-0.69</v>
      </c>
      <c r="AC27" s="41">
        <v>0.2734375</v>
      </c>
      <c r="AD27" s="39">
        <f t="shared" si="12"/>
        <v>0</v>
      </c>
      <c r="AE27" s="25">
        <v>-7.7</v>
      </c>
      <c r="AF27" s="25">
        <v>-16.646920000000001</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672</v>
      </c>
      <c r="U28" s="36">
        <v>150</v>
      </c>
      <c r="V28" s="37" t="s">
        <v>627</v>
      </c>
      <c r="W28" s="14">
        <v>0</v>
      </c>
      <c r="X28" s="38">
        <f t="shared" si="9"/>
        <v>0</v>
      </c>
      <c r="Y28" s="39">
        <f t="shared" si="10"/>
        <v>0</v>
      </c>
      <c r="Z28" s="14">
        <v>0</v>
      </c>
      <c r="AA28" s="28" t="s">
        <v>34</v>
      </c>
      <c r="AB28" s="40">
        <f t="shared" si="11"/>
        <v>-0.69</v>
      </c>
      <c r="AC28" s="41">
        <v>0.2734375</v>
      </c>
      <c r="AD28" s="39">
        <f t="shared" si="12"/>
        <v>0</v>
      </c>
      <c r="AE28" s="25">
        <v>-7.7</v>
      </c>
      <c r="AF28" s="25">
        <v>-16.646920000000001</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792</v>
      </c>
      <c r="U29" s="36">
        <v>150</v>
      </c>
      <c r="V29" s="37" t="s">
        <v>628</v>
      </c>
      <c r="W29" s="14">
        <v>0</v>
      </c>
      <c r="X29" s="38">
        <f t="shared" si="9"/>
        <v>0</v>
      </c>
      <c r="Y29" s="39">
        <f t="shared" si="10"/>
        <v>0</v>
      </c>
      <c r="Z29" s="14">
        <v>0</v>
      </c>
      <c r="AA29" s="28" t="s">
        <v>34</v>
      </c>
      <c r="AB29" s="40">
        <f t="shared" si="11"/>
        <v>-0.69</v>
      </c>
      <c r="AC29" s="41">
        <v>0.2734375</v>
      </c>
      <c r="AD29" s="39">
        <f t="shared" si="12"/>
        <v>0</v>
      </c>
      <c r="AE29" s="39">
        <v>-7.7</v>
      </c>
      <c r="AF29" s="25">
        <v>-16.646920000000001</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792</v>
      </c>
      <c r="U30" s="36">
        <v>150</v>
      </c>
      <c r="V30" s="37" t="s">
        <v>629</v>
      </c>
      <c r="W30" s="14">
        <v>0</v>
      </c>
      <c r="X30" s="38">
        <f t="shared" si="9"/>
        <v>0</v>
      </c>
      <c r="Y30" s="39">
        <f t="shared" si="10"/>
        <v>0</v>
      </c>
      <c r="Z30" s="14">
        <v>0</v>
      </c>
      <c r="AA30" s="28" t="s">
        <v>34</v>
      </c>
      <c r="AB30" s="40">
        <f t="shared" si="11"/>
        <v>-0.69</v>
      </c>
      <c r="AC30" s="41">
        <v>0.2734375</v>
      </c>
      <c r="AD30" s="39">
        <f t="shared" si="12"/>
        <v>0</v>
      </c>
      <c r="AE30" s="25">
        <v>-7.7</v>
      </c>
      <c r="AF30" s="25">
        <v>-15.831980046749999</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0</v>
      </c>
      <c r="O31" s="34">
        <f t="shared" ref="O31:P32" si="39">D31/7</f>
        <v>0</v>
      </c>
      <c r="P31" s="34">
        <f t="shared" si="39"/>
        <v>0</v>
      </c>
      <c r="Q31" s="29" t="e">
        <f t="shared" si="8"/>
        <v>#DIV/0!</v>
      </c>
      <c r="R31" s="29"/>
      <c r="S31" s="21" t="e">
        <v>#N/A</v>
      </c>
      <c r="T31" s="14">
        <v>252</v>
      </c>
      <c r="U31" s="22">
        <v>120</v>
      </c>
      <c r="V31" s="1" t="s">
        <v>949</v>
      </c>
      <c r="W31" s="14">
        <v>0</v>
      </c>
      <c r="X31" s="38">
        <f t="shared" si="9"/>
        <v>0</v>
      </c>
      <c r="Y31" s="39">
        <f t="shared" si="10"/>
        <v>0</v>
      </c>
      <c r="Z31" s="14">
        <v>0</v>
      </c>
      <c r="AA31" s="14" t="s">
        <v>34</v>
      </c>
      <c r="AB31" s="40">
        <f t="shared" si="11"/>
        <v>-0.69</v>
      </c>
      <c r="AC31" s="27">
        <v>0.2734375</v>
      </c>
      <c r="AD31" s="39">
        <f t="shared" si="12"/>
        <v>0</v>
      </c>
      <c r="AE31" s="43">
        <v>-7.7</v>
      </c>
      <c r="AF31" s="43">
        <v>-15.831980046750001</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1</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0.2734375</v>
      </c>
      <c r="AD32" s="39">
        <f t="shared" si="12"/>
        <v>0</v>
      </c>
      <c r="AE32" s="58">
        <v>-7.7</v>
      </c>
      <c r="AF32" s="58">
        <v>-15.831980046749999</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7.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23.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Info!B1:BJ5000""),3,FALSE),"""")"),"14 Gauge Automotive Wire - 4 Roll Assortment Pack -100 Ft of Copper Clad Aluminum Primary Wire per Roll")</f>
        <v>14 Gauge Automotive Wire - 4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Info!B1:BJ5000""),2,FALSE),"""")"),"B07QFXRH2P")</f>
        <v>B07QFXRH2P</v>
      </c>
      <c r="B2" s="49" t="s">
        <v>630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56.25" customHeight="1" x14ac:dyDescent="0.2">
      <c r="A3" s="76" t="s">
        <v>30</v>
      </c>
      <c r="B3" s="77"/>
      <c r="C3" s="47">
        <f>((AE32+AF32)/0.85)*-1</f>
        <v>15.853466347794118</v>
      </c>
      <c r="D3" s="5">
        <f>SUM(D4:D99634)</f>
        <v>285</v>
      </c>
      <c r="E3" s="5"/>
      <c r="F3" s="6">
        <f t="shared" ref="F3:G3" si="0">SUM(F4:F99634)</f>
        <v>7644.8700000000008</v>
      </c>
      <c r="G3" s="6">
        <f t="shared" si="0"/>
        <v>-2.1199999999999997</v>
      </c>
      <c r="H3" s="7">
        <f t="shared" ref="H3:H32" si="1">G3/F3*-1</f>
        <v>2.7731014392658074E-4</v>
      </c>
      <c r="I3" s="8">
        <f t="shared" ref="I3:I32" si="2">J3/F3</f>
        <v>0.32605079835639</v>
      </c>
      <c r="J3" s="6">
        <f>SUM(J4:J99634)</f>
        <v>2492.6159668308155</v>
      </c>
      <c r="K3" s="6">
        <f t="shared" ref="K3:K32" si="3">J3/D3</f>
        <v>8.7460209362484758</v>
      </c>
      <c r="L3" s="5"/>
      <c r="M3" s="9"/>
      <c r="N3" s="10"/>
      <c r="O3" s="5" t="str">
        <f ca="1">IFERROR(__xludf.DUMMYFUNCTION("IFERROR(VLOOKUP(B2,IMPORTRANGE(""https://docs.google.com/spreadsheets/d/1N8jvpEHDVkurDv7NrPxwI3eH6hQsvtb1QltGNCalRjU/edit#gid=865736387"",""Compiled Sheet!a1:g5000""),2,FALSE),"""")"),"2 - March
1.5 - April
4 - May
4 - June
2 - July
2 - Aug
2 - Sept
2 - Oct
1.5 - Nov
1.5 - Dec
2 - Jan
2 - Feb")</f>
        <v>2 - March
1.5 - April
4 - May
4 - June
2 - July
2 - Aug
2 - Sept
2 - Oct
1.5 - Nov
1.5 -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4</v>
      </c>
      <c r="X3" s="7">
        <f>W3/D3</f>
        <v>1.4035087719298246E-2</v>
      </c>
      <c r="Y3" s="6"/>
      <c r="Z3" s="5"/>
      <c r="AA3" s="5"/>
      <c r="AB3" s="5"/>
      <c r="AC3" s="5"/>
      <c r="AD3" s="6">
        <f>SUM(AD4:AD99634)</f>
        <v>-42.815302867902673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Info!B2:BZ7000""),37,FALSE)),"""")*-1"),-7.495446395625)</f>
        <v>-7.4954463956249997</v>
      </c>
      <c r="AG3" s="6">
        <f>SUM(AG4:AG99634)</f>
        <v>0</v>
      </c>
    </row>
    <row r="4" spans="1:33" ht="15.75" customHeight="1" x14ac:dyDescent="0.2">
      <c r="A4" s="14" t="s">
        <v>31</v>
      </c>
      <c r="B4" s="14" t="s">
        <v>631</v>
      </c>
      <c r="C4" s="15">
        <f t="shared" ref="C4:C32" si="4">IFERROR(F4/D4," - ")</f>
        <v>22.241250000000001</v>
      </c>
      <c r="D4" s="16">
        <v>16</v>
      </c>
      <c r="E4" s="16">
        <v>0</v>
      </c>
      <c r="F4" s="17">
        <v>355.86</v>
      </c>
      <c r="G4" s="17">
        <v>-0.18</v>
      </c>
      <c r="H4" s="18">
        <f t="shared" si="1"/>
        <v>5.05816894284269E-4</v>
      </c>
      <c r="I4" s="18">
        <f t="shared" si="2"/>
        <v>0.23320952732299879</v>
      </c>
      <c r="J4" s="17">
        <f t="shared" ref="J4:J32" si="5">F4*0.85+G4+AF4*D4+D4*AE4+AG4+AD4</f>
        <v>82.989942393162352</v>
      </c>
      <c r="K4" s="17">
        <f t="shared" si="3"/>
        <v>5.186871399572647</v>
      </c>
      <c r="L4" s="16">
        <v>38</v>
      </c>
      <c r="M4" s="19">
        <f t="shared" ref="M4:M32" si="6">IFERROR(D4/L4,"-")</f>
        <v>0.42105263157894735</v>
      </c>
      <c r="N4" s="16">
        <v>29</v>
      </c>
      <c r="O4" s="20">
        <f t="shared" ref="O4:P4" si="7">D4/7</f>
        <v>2.2857142857142856</v>
      </c>
      <c r="P4" s="20">
        <f t="shared" si="7"/>
        <v>0</v>
      </c>
      <c r="Q4" s="16">
        <f t="shared" ref="Q4:Q32" si="8">ROUNDDOWN(N4/(O4+P4),0)</f>
        <v>12</v>
      </c>
      <c r="R4" s="16"/>
      <c r="S4" s="21">
        <v>1.8899676375404499</v>
      </c>
      <c r="T4" s="14">
        <v>240</v>
      </c>
      <c r="U4" s="22" t="s">
        <v>33</v>
      </c>
      <c r="V4" s="23" t="s">
        <v>33</v>
      </c>
      <c r="W4" s="14">
        <v>1</v>
      </c>
      <c r="X4" s="24">
        <f t="shared" ref="X4:X32" si="9">IFERROR(W4/D4,0)</f>
        <v>6.25E-2</v>
      </c>
      <c r="Y4" s="25">
        <f t="shared" ref="Y4:Y32" si="10">IFERROR(G4/(W4+Z4)*-1,0)</f>
        <v>0.18</v>
      </c>
      <c r="Z4" s="14">
        <v>0</v>
      </c>
      <c r="AA4" s="2" t="s">
        <v>34</v>
      </c>
      <c r="AB4" s="26">
        <f t="shared" ref="AB4:AB32" si="11">IF(OR(AA4="UsLargeStandardSize",AA4="UsSmallStandardSize"),-0.69,-0.48)</f>
        <v>-0.69</v>
      </c>
      <c r="AC4" s="27">
        <v>0.10885416666666667</v>
      </c>
      <c r="AD4" s="25">
        <f t="shared" ref="AD4:AD32" si="12">IFERROR(AB4*AC4*D4*2,0)</f>
        <v>-2.4034999999999997</v>
      </c>
      <c r="AE4" s="25">
        <v>-5.8</v>
      </c>
      <c r="AF4" s="25">
        <v>-7.7567223504273519</v>
      </c>
      <c r="AG4" s="25">
        <v>0</v>
      </c>
    </row>
    <row r="5" spans="1:33" ht="15.75" customHeight="1" x14ac:dyDescent="0.2">
      <c r="A5" s="28" t="s">
        <v>35</v>
      </c>
      <c r="B5" s="28" t="s">
        <v>632</v>
      </c>
      <c r="C5" s="15">
        <f t="shared" si="4"/>
        <v>22.715294117647058</v>
      </c>
      <c r="D5" s="29">
        <v>17</v>
      </c>
      <c r="E5" s="29">
        <v>0</v>
      </c>
      <c r="F5" s="30">
        <v>386.15999999999997</v>
      </c>
      <c r="G5" s="30">
        <v>-0.12000000000000001</v>
      </c>
      <c r="H5" s="31">
        <f t="shared" si="1"/>
        <v>3.1075201988812931E-4</v>
      </c>
      <c r="I5" s="31">
        <f t="shared" si="2"/>
        <v>0.24625813697646662</v>
      </c>
      <c r="J5" s="32">
        <f t="shared" si="5"/>
        <v>95.095042174832344</v>
      </c>
      <c r="K5" s="32">
        <f t="shared" si="3"/>
        <v>5.5938260102842552</v>
      </c>
      <c r="L5" s="29">
        <v>64</v>
      </c>
      <c r="M5" s="33">
        <f t="shared" si="6"/>
        <v>0.265625</v>
      </c>
      <c r="N5" s="29">
        <v>15</v>
      </c>
      <c r="O5" s="34">
        <f t="shared" ref="O5:P5" si="13">D5/7</f>
        <v>2.4285714285714284</v>
      </c>
      <c r="P5" s="34">
        <f t="shared" si="13"/>
        <v>0</v>
      </c>
      <c r="Q5" s="29">
        <f t="shared" si="8"/>
        <v>6</v>
      </c>
      <c r="R5" s="29"/>
      <c r="S5" s="35">
        <v>2.2239382239382199</v>
      </c>
      <c r="T5" s="28">
        <v>240</v>
      </c>
      <c r="U5" s="36" t="s">
        <v>33</v>
      </c>
      <c r="V5" s="37" t="s">
        <v>33</v>
      </c>
      <c r="W5" s="28">
        <v>1</v>
      </c>
      <c r="X5" s="38">
        <f t="shared" si="9"/>
        <v>5.8823529411764705E-2</v>
      </c>
      <c r="Y5" s="39">
        <f t="shared" si="10"/>
        <v>0.12000000000000001</v>
      </c>
      <c r="Z5" s="28">
        <v>0</v>
      </c>
      <c r="AA5" s="28" t="s">
        <v>34</v>
      </c>
      <c r="AB5" s="40">
        <f t="shared" si="11"/>
        <v>-0.69</v>
      </c>
      <c r="AC5" s="41">
        <v>0.10898030127462341</v>
      </c>
      <c r="AD5" s="39">
        <f t="shared" si="12"/>
        <v>-2.5566778679026649</v>
      </c>
      <c r="AE5" s="39">
        <v>-5.8</v>
      </c>
      <c r="AF5" s="39">
        <v>-7.7567223504273519</v>
      </c>
      <c r="AG5" s="39">
        <v>0</v>
      </c>
    </row>
    <row r="6" spans="1:33" ht="15.75" customHeight="1" x14ac:dyDescent="0.2">
      <c r="A6" s="28" t="s">
        <v>37</v>
      </c>
      <c r="B6" s="28" t="s">
        <v>633</v>
      </c>
      <c r="C6" s="15">
        <f t="shared" si="4"/>
        <v>24.567142857142851</v>
      </c>
      <c r="D6" s="29">
        <v>7</v>
      </c>
      <c r="E6" s="29">
        <v>1</v>
      </c>
      <c r="F6" s="30">
        <v>171.96999999999997</v>
      </c>
      <c r="G6" s="30">
        <v>-0.1</v>
      </c>
      <c r="H6" s="31">
        <f t="shared" si="1"/>
        <v>5.8149677269291164E-4</v>
      </c>
      <c r="I6" s="31">
        <f t="shared" si="2"/>
        <v>0.29148056228998387</v>
      </c>
      <c r="J6" s="32">
        <f t="shared" si="5"/>
        <v>50.125912297008519</v>
      </c>
      <c r="K6" s="32">
        <f t="shared" si="3"/>
        <v>7.1608446138583597</v>
      </c>
      <c r="L6" s="29">
        <v>53</v>
      </c>
      <c r="M6" s="33">
        <f t="shared" si="6"/>
        <v>0.13207547169811321</v>
      </c>
      <c r="N6" s="29">
        <v>4</v>
      </c>
      <c r="O6" s="34">
        <f t="shared" ref="O6:P6" si="14">D6/7</f>
        <v>1</v>
      </c>
      <c r="P6" s="34">
        <f t="shared" si="14"/>
        <v>0.14285714285714285</v>
      </c>
      <c r="Q6" s="29">
        <f t="shared" si="8"/>
        <v>3</v>
      </c>
      <c r="R6" s="29"/>
      <c r="S6" s="35">
        <v>2.7439613526570001</v>
      </c>
      <c r="T6" s="28">
        <v>240</v>
      </c>
      <c r="U6" s="36" t="s">
        <v>33</v>
      </c>
      <c r="V6" s="37" t="s">
        <v>39</v>
      </c>
      <c r="W6" s="28">
        <v>0</v>
      </c>
      <c r="X6" s="38">
        <f t="shared" si="9"/>
        <v>0</v>
      </c>
      <c r="Y6" s="39">
        <f t="shared" si="10"/>
        <v>0</v>
      </c>
      <c r="Z6" s="28">
        <v>0</v>
      </c>
      <c r="AA6" s="28" t="s">
        <v>34</v>
      </c>
      <c r="AB6" s="40">
        <f t="shared" si="11"/>
        <v>-0.69</v>
      </c>
      <c r="AC6" s="41">
        <v>0.10885416666666667</v>
      </c>
      <c r="AD6" s="39">
        <f t="shared" si="12"/>
        <v>-1.0515312499999998</v>
      </c>
      <c r="AE6" s="39">
        <v>-5.8</v>
      </c>
      <c r="AF6" s="39">
        <v>-7.7567223504273519</v>
      </c>
      <c r="AG6" s="39">
        <v>0</v>
      </c>
    </row>
    <row r="7" spans="1:33" ht="15.75" customHeight="1" x14ac:dyDescent="0.2">
      <c r="A7" s="28" t="s">
        <v>40</v>
      </c>
      <c r="B7" s="28" t="s">
        <v>52</v>
      </c>
      <c r="C7" s="15">
        <f t="shared" si="4"/>
        <v>26.323333333333334</v>
      </c>
      <c r="D7" s="29">
        <v>3</v>
      </c>
      <c r="E7" s="29">
        <v>0</v>
      </c>
      <c r="F7" s="30">
        <v>78.97</v>
      </c>
      <c r="G7" s="30">
        <v>-0.26</v>
      </c>
      <c r="H7" s="31">
        <f t="shared" si="1"/>
        <v>3.2923895150056984E-3</v>
      </c>
      <c r="I7" s="31">
        <f t="shared" si="2"/>
        <v>0.32599312015598247</v>
      </c>
      <c r="J7" s="32">
        <f t="shared" si="5"/>
        <v>25.743676698717934</v>
      </c>
      <c r="K7" s="32">
        <f t="shared" si="3"/>
        <v>8.5812255662393113</v>
      </c>
      <c r="L7" s="29">
        <v>36</v>
      </c>
      <c r="M7" s="33">
        <f t="shared" si="6"/>
        <v>8.3333333333333329E-2</v>
      </c>
      <c r="N7" s="29">
        <v>0</v>
      </c>
      <c r="O7" s="34">
        <f t="shared" ref="O7:P7" si="15">D7/7</f>
        <v>0.42857142857142855</v>
      </c>
      <c r="P7" s="34">
        <f t="shared" si="15"/>
        <v>0</v>
      </c>
      <c r="Q7" s="29">
        <f t="shared" si="8"/>
        <v>0</v>
      </c>
      <c r="R7" s="29"/>
      <c r="S7" s="35" t="e">
        <v>#N/A</v>
      </c>
      <c r="T7" s="28">
        <v>240</v>
      </c>
      <c r="U7" s="36" t="s">
        <v>33</v>
      </c>
      <c r="V7" s="37" t="s">
        <v>39</v>
      </c>
      <c r="W7" s="28">
        <v>0</v>
      </c>
      <c r="X7" s="38">
        <f t="shared" si="9"/>
        <v>0</v>
      </c>
      <c r="Y7" s="39">
        <f t="shared" si="10"/>
        <v>0</v>
      </c>
      <c r="Z7" s="28">
        <v>0</v>
      </c>
      <c r="AA7" s="28" t="s">
        <v>34</v>
      </c>
      <c r="AB7" s="40">
        <f t="shared" si="11"/>
        <v>-0.69</v>
      </c>
      <c r="AC7" s="41">
        <v>0.10885416666666667</v>
      </c>
      <c r="AD7" s="39">
        <f t="shared" si="12"/>
        <v>-0.45065624999999998</v>
      </c>
      <c r="AE7" s="39">
        <v>-5.8</v>
      </c>
      <c r="AF7" s="39">
        <v>-7.7567223504273519</v>
      </c>
      <c r="AG7" s="39">
        <v>0</v>
      </c>
    </row>
    <row r="8" spans="1:33" ht="15.75" customHeight="1" x14ac:dyDescent="0.2">
      <c r="A8" s="28" t="s">
        <v>42</v>
      </c>
      <c r="B8" s="28"/>
      <c r="C8" s="15" t="str">
        <f t="shared" si="4"/>
        <v xml:space="preserve"> - </v>
      </c>
      <c r="D8" s="29">
        <v>0</v>
      </c>
      <c r="E8" s="29">
        <v>0</v>
      </c>
      <c r="F8" s="30">
        <v>0</v>
      </c>
      <c r="G8" s="30">
        <v>0</v>
      </c>
      <c r="H8" s="31" t="e">
        <f t="shared" si="1"/>
        <v>#DIV/0!</v>
      </c>
      <c r="I8" s="31" t="e">
        <f t="shared" si="2"/>
        <v>#DIV/0!</v>
      </c>
      <c r="J8" s="32">
        <f t="shared" si="5"/>
        <v>0</v>
      </c>
      <c r="K8" s="32" t="e">
        <f t="shared" si="3"/>
        <v>#DIV/0!</v>
      </c>
      <c r="L8" s="29">
        <v>0</v>
      </c>
      <c r="M8" s="33" t="str">
        <f t="shared" si="6"/>
        <v>-</v>
      </c>
      <c r="N8" s="29">
        <v>0</v>
      </c>
      <c r="O8" s="34">
        <f t="shared" ref="O8:P8" si="16">D8/7</f>
        <v>0</v>
      </c>
      <c r="P8" s="34">
        <f t="shared" si="16"/>
        <v>0</v>
      </c>
      <c r="Q8" s="29" t="e">
        <f t="shared" si="8"/>
        <v>#DIV/0!</v>
      </c>
      <c r="R8" s="29"/>
      <c r="S8" s="35">
        <v>1.9079497907949701</v>
      </c>
      <c r="T8" s="28">
        <v>240</v>
      </c>
      <c r="U8" s="36">
        <v>204</v>
      </c>
      <c r="V8" s="37" t="s">
        <v>634</v>
      </c>
      <c r="W8" s="28">
        <v>0</v>
      </c>
      <c r="X8" s="38">
        <f t="shared" si="9"/>
        <v>0</v>
      </c>
      <c r="Y8" s="39">
        <f t="shared" si="10"/>
        <v>0</v>
      </c>
      <c r="Z8" s="28">
        <v>0</v>
      </c>
      <c r="AA8" s="28" t="e">
        <v>#N/A</v>
      </c>
      <c r="AB8" s="40" t="e">
        <f t="shared" si="11"/>
        <v>#N/A</v>
      </c>
      <c r="AC8" s="41" t="e">
        <v>#N/A</v>
      </c>
      <c r="AD8" s="39">
        <f t="shared" si="12"/>
        <v>0</v>
      </c>
      <c r="AE8" s="39">
        <v>0</v>
      </c>
      <c r="AF8" s="39">
        <v>-7.76</v>
      </c>
      <c r="AG8" s="39">
        <v>0</v>
      </c>
    </row>
    <row r="9" spans="1:33" ht="15.75" customHeight="1" x14ac:dyDescent="0.2">
      <c r="A9" s="28" t="s">
        <v>44</v>
      </c>
      <c r="B9" s="28"/>
      <c r="C9" s="15" t="str">
        <f t="shared" si="4"/>
        <v xml:space="preserve"> - </v>
      </c>
      <c r="D9" s="29">
        <v>0</v>
      </c>
      <c r="E9" s="29">
        <v>0</v>
      </c>
      <c r="F9" s="30">
        <v>0</v>
      </c>
      <c r="G9" s="30">
        <v>0</v>
      </c>
      <c r="H9" s="31" t="e">
        <f t="shared" si="1"/>
        <v>#DIV/0!</v>
      </c>
      <c r="I9" s="31" t="e">
        <f t="shared" si="2"/>
        <v>#DIV/0!</v>
      </c>
      <c r="J9" s="32">
        <f t="shared" si="5"/>
        <v>0</v>
      </c>
      <c r="K9" s="32" t="e">
        <f t="shared" si="3"/>
        <v>#DIV/0!</v>
      </c>
      <c r="L9" s="29">
        <v>0</v>
      </c>
      <c r="M9" s="33" t="str">
        <f t="shared" si="6"/>
        <v>-</v>
      </c>
      <c r="N9" s="29">
        <v>0</v>
      </c>
      <c r="O9" s="34">
        <f t="shared" ref="O9:P9" si="17">D9/7</f>
        <v>0</v>
      </c>
      <c r="P9" s="34">
        <f t="shared" si="17"/>
        <v>0</v>
      </c>
      <c r="Q9" s="29" t="e">
        <f t="shared" si="8"/>
        <v>#DIV/0!</v>
      </c>
      <c r="R9" s="29"/>
      <c r="S9" s="35">
        <v>2.0185185185185102</v>
      </c>
      <c r="T9" s="28">
        <v>240</v>
      </c>
      <c r="U9" s="36">
        <v>204</v>
      </c>
      <c r="V9" s="37" t="s">
        <v>635</v>
      </c>
      <c r="W9" s="28">
        <v>0</v>
      </c>
      <c r="X9" s="38">
        <f t="shared" si="9"/>
        <v>0</v>
      </c>
      <c r="Y9" s="39">
        <f t="shared" si="10"/>
        <v>0</v>
      </c>
      <c r="Z9" s="28">
        <v>0</v>
      </c>
      <c r="AA9" s="28" t="e">
        <v>#N/A</v>
      </c>
      <c r="AB9" s="40" t="e">
        <f t="shared" si="11"/>
        <v>#N/A</v>
      </c>
      <c r="AC9" s="41" t="e">
        <v>#N/A</v>
      </c>
      <c r="AD9" s="39">
        <f t="shared" si="12"/>
        <v>0</v>
      </c>
      <c r="AE9" s="39">
        <v>0</v>
      </c>
      <c r="AF9" s="39">
        <v>-7.9158676495726503</v>
      </c>
      <c r="AG9" s="39">
        <v>0</v>
      </c>
    </row>
    <row r="10" spans="1:33" ht="15.75" customHeight="1" x14ac:dyDescent="0.2">
      <c r="A10" s="28" t="s">
        <v>46</v>
      </c>
      <c r="B10" s="28"/>
      <c r="C10" s="15" t="str">
        <f t="shared" si="4"/>
        <v xml:space="preserve"> - </v>
      </c>
      <c r="D10" s="29">
        <v>0</v>
      </c>
      <c r="E10" s="29">
        <v>0</v>
      </c>
      <c r="F10" s="30">
        <v>0</v>
      </c>
      <c r="G10" s="30">
        <v>-0.13</v>
      </c>
      <c r="H10" s="31" t="e">
        <f t="shared" si="1"/>
        <v>#DIV/0!</v>
      </c>
      <c r="I10" s="31" t="e">
        <f t="shared" si="2"/>
        <v>#DIV/0!</v>
      </c>
      <c r="J10" s="32">
        <f t="shared" si="5"/>
        <v>-0.13</v>
      </c>
      <c r="K10" s="32" t="e">
        <f t="shared" si="3"/>
        <v>#DIV/0!</v>
      </c>
      <c r="L10" s="29">
        <v>0</v>
      </c>
      <c r="M10" s="33" t="str">
        <f t="shared" si="6"/>
        <v>-</v>
      </c>
      <c r="N10" s="29">
        <v>1</v>
      </c>
      <c r="O10" s="34">
        <f t="shared" ref="O10:P10" si="18">D10/7</f>
        <v>0</v>
      </c>
      <c r="P10" s="34">
        <f t="shared" si="18"/>
        <v>0</v>
      </c>
      <c r="Q10" s="29" t="e">
        <f t="shared" si="8"/>
        <v>#DIV/0!</v>
      </c>
      <c r="R10" s="29"/>
      <c r="S10" s="35">
        <v>2.1452513966480402</v>
      </c>
      <c r="T10" s="28">
        <v>240</v>
      </c>
      <c r="U10" s="36">
        <v>204</v>
      </c>
      <c r="V10" s="37" t="s">
        <v>636</v>
      </c>
      <c r="W10" s="28">
        <v>0</v>
      </c>
      <c r="X10" s="38">
        <f t="shared" si="9"/>
        <v>0</v>
      </c>
      <c r="Y10" s="39">
        <f t="shared" si="10"/>
        <v>0</v>
      </c>
      <c r="Z10" s="28">
        <v>0</v>
      </c>
      <c r="AA10" s="28" t="s">
        <v>34</v>
      </c>
      <c r="AB10" s="40">
        <f t="shared" si="11"/>
        <v>-0.69</v>
      </c>
      <c r="AC10" s="41">
        <v>0.10885416666666667</v>
      </c>
      <c r="AD10" s="39">
        <f t="shared" si="12"/>
        <v>0</v>
      </c>
      <c r="AE10" s="39">
        <v>-5.8</v>
      </c>
      <c r="AF10" s="39">
        <v>-7.9158676495726503</v>
      </c>
      <c r="AG10" s="39">
        <v>0</v>
      </c>
    </row>
    <row r="11" spans="1:33" ht="15.75" customHeight="1" x14ac:dyDescent="0.2">
      <c r="A11" s="28" t="s">
        <v>48</v>
      </c>
      <c r="B11" s="28"/>
      <c r="C11" s="15">
        <f t="shared" si="4"/>
        <v>28.99</v>
      </c>
      <c r="D11" s="29">
        <v>1</v>
      </c>
      <c r="E11" s="29">
        <v>0</v>
      </c>
      <c r="F11" s="30">
        <v>28.99</v>
      </c>
      <c r="G11" s="30">
        <v>0</v>
      </c>
      <c r="H11" s="31">
        <f t="shared" si="1"/>
        <v>0</v>
      </c>
      <c r="I11" s="31">
        <f t="shared" si="2"/>
        <v>0.37169415662046729</v>
      </c>
      <c r="J11" s="32">
        <f t="shared" si="5"/>
        <v>10.775413600427346</v>
      </c>
      <c r="K11" s="32">
        <f t="shared" si="3"/>
        <v>10.775413600427346</v>
      </c>
      <c r="L11" s="29">
        <v>12</v>
      </c>
      <c r="M11" s="33">
        <f t="shared" si="6"/>
        <v>8.3333333333333329E-2</v>
      </c>
      <c r="N11" s="29">
        <v>0</v>
      </c>
      <c r="O11" s="34">
        <f t="shared" ref="O11:P11" si="19">D11/7</f>
        <v>0.14285714285714285</v>
      </c>
      <c r="P11" s="34">
        <f t="shared" si="19"/>
        <v>0</v>
      </c>
      <c r="Q11" s="29">
        <f t="shared" si="8"/>
        <v>0</v>
      </c>
      <c r="R11" s="29"/>
      <c r="S11" s="35" t="e">
        <v>#N/A</v>
      </c>
      <c r="T11" s="28">
        <v>240</v>
      </c>
      <c r="U11" s="36">
        <v>204</v>
      </c>
      <c r="V11" s="37" t="s">
        <v>636</v>
      </c>
      <c r="W11" s="28">
        <v>0</v>
      </c>
      <c r="X11" s="38">
        <f t="shared" si="9"/>
        <v>0</v>
      </c>
      <c r="Y11" s="39">
        <f t="shared" si="10"/>
        <v>0</v>
      </c>
      <c r="Z11" s="28">
        <v>0</v>
      </c>
      <c r="AA11" s="28" t="s">
        <v>34</v>
      </c>
      <c r="AB11" s="40">
        <f t="shared" si="11"/>
        <v>-0.69</v>
      </c>
      <c r="AC11" s="41">
        <v>0.10885416666666667</v>
      </c>
      <c r="AD11" s="39">
        <f t="shared" si="12"/>
        <v>-0.15021874999999998</v>
      </c>
      <c r="AE11" s="39">
        <v>-5.8</v>
      </c>
      <c r="AF11" s="39">
        <v>-7.9158676495726503</v>
      </c>
      <c r="AG11" s="39">
        <v>0</v>
      </c>
    </row>
    <row r="12" spans="1:33" ht="15.75" customHeight="1" x14ac:dyDescent="0.2">
      <c r="A12" s="28" t="s">
        <v>49</v>
      </c>
      <c r="B12" s="28"/>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0</v>
      </c>
      <c r="O12" s="34">
        <f t="shared" ref="O12:P12" si="20">D12/7</f>
        <v>0</v>
      </c>
      <c r="P12" s="34">
        <f t="shared" si="20"/>
        <v>0</v>
      </c>
      <c r="Q12" s="29" t="e">
        <f t="shared" si="8"/>
        <v>#DIV/0!</v>
      </c>
      <c r="R12" s="29"/>
      <c r="S12" s="35" t="e">
        <v>#N/A</v>
      </c>
      <c r="T12" s="28">
        <v>240</v>
      </c>
      <c r="U12" s="36">
        <v>204</v>
      </c>
      <c r="V12" s="37" t="s">
        <v>637</v>
      </c>
      <c r="W12" s="28">
        <v>0</v>
      </c>
      <c r="X12" s="38">
        <f t="shared" si="9"/>
        <v>0</v>
      </c>
      <c r="Y12" s="39">
        <f t="shared" si="10"/>
        <v>0</v>
      </c>
      <c r="Z12" s="28">
        <v>0</v>
      </c>
      <c r="AA12" s="28" t="s">
        <v>34</v>
      </c>
      <c r="AB12" s="40">
        <f t="shared" si="11"/>
        <v>-0.69</v>
      </c>
      <c r="AC12" s="41">
        <v>0.10885416666666667</v>
      </c>
      <c r="AD12" s="39">
        <f t="shared" si="12"/>
        <v>0</v>
      </c>
      <c r="AE12" s="39">
        <v>-5.8</v>
      </c>
      <c r="AF12" s="39">
        <v>-7.9158676495726503</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0</v>
      </c>
      <c r="O13" s="34">
        <f t="shared" ref="O13:P13" si="21">D13/7</f>
        <v>0</v>
      </c>
      <c r="P13" s="34">
        <f t="shared" si="21"/>
        <v>0</v>
      </c>
      <c r="Q13" s="29" t="e">
        <f t="shared" si="8"/>
        <v>#DIV/0!</v>
      </c>
      <c r="R13" s="29"/>
      <c r="S13" s="35" t="e">
        <v>#N/A</v>
      </c>
      <c r="T13" s="28">
        <v>240</v>
      </c>
      <c r="U13" s="36">
        <v>204</v>
      </c>
      <c r="V13" s="37" t="s">
        <v>638</v>
      </c>
      <c r="W13" s="28">
        <v>0</v>
      </c>
      <c r="X13" s="38">
        <f t="shared" si="9"/>
        <v>0</v>
      </c>
      <c r="Y13" s="39">
        <f t="shared" si="10"/>
        <v>0</v>
      </c>
      <c r="Z13" s="28">
        <v>0</v>
      </c>
      <c r="AA13" s="28" t="s">
        <v>34</v>
      </c>
      <c r="AB13" s="40">
        <f t="shared" si="11"/>
        <v>-0.69</v>
      </c>
      <c r="AC13" s="41">
        <v>0.10885416666666667</v>
      </c>
      <c r="AD13" s="39">
        <f t="shared" si="12"/>
        <v>0</v>
      </c>
      <c r="AE13" s="39">
        <v>-5.8</v>
      </c>
      <c r="AF13" s="39">
        <v>-7.9996283333333302</v>
      </c>
      <c r="AG13" s="39">
        <v>0</v>
      </c>
    </row>
    <row r="14" spans="1:33" ht="15.75" customHeight="1" x14ac:dyDescent="0.2">
      <c r="A14" s="28" t="s">
        <v>51</v>
      </c>
      <c r="B14" s="28"/>
      <c r="C14" s="15">
        <f t="shared" si="4"/>
        <v>28.99</v>
      </c>
      <c r="D14" s="29">
        <v>1</v>
      </c>
      <c r="E14" s="29">
        <v>0</v>
      </c>
      <c r="F14" s="32">
        <v>28.99</v>
      </c>
      <c r="G14" s="30">
        <v>0</v>
      </c>
      <c r="H14" s="31">
        <f t="shared" si="1"/>
        <v>0</v>
      </c>
      <c r="I14" s="31">
        <f t="shared" si="2"/>
        <v>0.36880486087156489</v>
      </c>
      <c r="J14" s="32">
        <f t="shared" si="5"/>
        <v>10.691652916666666</v>
      </c>
      <c r="K14" s="32">
        <f t="shared" si="3"/>
        <v>10.691652916666666</v>
      </c>
      <c r="L14" s="29">
        <v>3</v>
      </c>
      <c r="M14" s="33">
        <f t="shared" si="6"/>
        <v>0.33333333333333331</v>
      </c>
      <c r="N14" s="29">
        <v>0</v>
      </c>
      <c r="O14" s="34">
        <f t="shared" ref="O14:P14" si="22">D14/7</f>
        <v>0.14285714285714285</v>
      </c>
      <c r="P14" s="34">
        <f t="shared" si="22"/>
        <v>0</v>
      </c>
      <c r="Q14" s="29">
        <f t="shared" si="8"/>
        <v>0</v>
      </c>
      <c r="R14" s="29"/>
      <c r="S14" s="35" t="e">
        <v>#N/A</v>
      </c>
      <c r="T14" s="28">
        <v>240</v>
      </c>
      <c r="U14" s="36">
        <v>204</v>
      </c>
      <c r="V14" s="37" t="s">
        <v>638</v>
      </c>
      <c r="W14" s="28">
        <v>0</v>
      </c>
      <c r="X14" s="38">
        <f t="shared" si="9"/>
        <v>0</v>
      </c>
      <c r="Y14" s="39">
        <f t="shared" si="10"/>
        <v>0</v>
      </c>
      <c r="Z14" s="28">
        <v>0</v>
      </c>
      <c r="AA14" s="28" t="s">
        <v>34</v>
      </c>
      <c r="AB14" s="40">
        <f t="shared" si="11"/>
        <v>-0.69</v>
      </c>
      <c r="AC14" s="41">
        <v>0.10885416666666667</v>
      </c>
      <c r="AD14" s="39">
        <f t="shared" si="12"/>
        <v>-0.15021874999999998</v>
      </c>
      <c r="AE14" s="39">
        <v>-5.8</v>
      </c>
      <c r="AF14" s="39">
        <v>-7.9996283333333302</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444</v>
      </c>
      <c r="U15" s="36">
        <v>204</v>
      </c>
      <c r="V15" s="37" t="s">
        <v>639</v>
      </c>
      <c r="W15" s="28">
        <v>0</v>
      </c>
      <c r="X15" s="38">
        <f t="shared" si="9"/>
        <v>0</v>
      </c>
      <c r="Y15" s="39">
        <f t="shared" si="10"/>
        <v>0</v>
      </c>
      <c r="Z15" s="28">
        <v>0</v>
      </c>
      <c r="AA15" s="28" t="s">
        <v>34</v>
      </c>
      <c r="AB15" s="40">
        <f t="shared" si="11"/>
        <v>-0.69</v>
      </c>
      <c r="AC15" s="41">
        <v>0.10885416666666667</v>
      </c>
      <c r="AD15" s="39">
        <f t="shared" si="12"/>
        <v>0</v>
      </c>
      <c r="AE15" s="39">
        <v>-5.8</v>
      </c>
      <c r="AF15" s="39">
        <v>-7.9996283333333302</v>
      </c>
      <c r="AG15" s="39">
        <v>0</v>
      </c>
    </row>
    <row r="16" spans="1:33" ht="15.75" customHeight="1" x14ac:dyDescent="0.2">
      <c r="A16" s="28" t="s">
        <v>54</v>
      </c>
      <c r="B16" s="28" t="s">
        <v>640</v>
      </c>
      <c r="C16" s="15">
        <f t="shared" si="4"/>
        <v>28.99</v>
      </c>
      <c r="D16" s="29">
        <v>2</v>
      </c>
      <c r="E16" s="29">
        <v>0</v>
      </c>
      <c r="F16" s="32">
        <v>57.98</v>
      </c>
      <c r="G16" s="30">
        <v>0</v>
      </c>
      <c r="H16" s="31">
        <f t="shared" si="1"/>
        <v>0</v>
      </c>
      <c r="I16" s="31">
        <f t="shared" si="2"/>
        <v>0.36880486087156489</v>
      </c>
      <c r="J16" s="32">
        <f t="shared" si="5"/>
        <v>21.383305833333331</v>
      </c>
      <c r="K16" s="32">
        <f t="shared" si="3"/>
        <v>10.691652916666666</v>
      </c>
      <c r="L16" s="29">
        <v>1</v>
      </c>
      <c r="M16" s="33">
        <f t="shared" si="6"/>
        <v>2</v>
      </c>
      <c r="N16" s="29">
        <v>204</v>
      </c>
      <c r="O16" s="34">
        <f t="shared" ref="O16:P16" si="24">D16/7</f>
        <v>0.2857142857142857</v>
      </c>
      <c r="P16" s="34">
        <f t="shared" si="24"/>
        <v>0</v>
      </c>
      <c r="Q16" s="29">
        <f t="shared" si="8"/>
        <v>714</v>
      </c>
      <c r="R16" s="29"/>
      <c r="S16" s="35">
        <v>0.73684210526315697</v>
      </c>
      <c r="T16" s="28">
        <v>240</v>
      </c>
      <c r="U16" s="36">
        <v>36</v>
      </c>
      <c r="V16" s="37" t="s">
        <v>641</v>
      </c>
      <c r="W16" s="28">
        <v>0</v>
      </c>
      <c r="X16" s="38">
        <f t="shared" si="9"/>
        <v>0</v>
      </c>
      <c r="Y16" s="39">
        <f t="shared" si="10"/>
        <v>0</v>
      </c>
      <c r="Z16" s="28">
        <v>0</v>
      </c>
      <c r="AA16" s="28" t="s">
        <v>34</v>
      </c>
      <c r="AB16" s="40">
        <f t="shared" si="11"/>
        <v>-0.69</v>
      </c>
      <c r="AC16" s="41">
        <v>0.10885416666666667</v>
      </c>
      <c r="AD16" s="39">
        <f t="shared" si="12"/>
        <v>-0.30043749999999997</v>
      </c>
      <c r="AE16" s="39">
        <v>-5.8</v>
      </c>
      <c r="AF16" s="39">
        <v>-7.9996283333333302</v>
      </c>
      <c r="AG16" s="39">
        <v>0</v>
      </c>
    </row>
    <row r="17" spans="1:33" ht="15.75" customHeight="1" x14ac:dyDescent="0.2">
      <c r="A17" s="28" t="s">
        <v>55</v>
      </c>
      <c r="B17" s="28" t="s">
        <v>642</v>
      </c>
      <c r="C17" s="15">
        <f t="shared" si="4"/>
        <v>26.99</v>
      </c>
      <c r="D17" s="29">
        <v>2</v>
      </c>
      <c r="E17" s="29">
        <v>0</v>
      </c>
      <c r="F17" s="32">
        <v>53.98</v>
      </c>
      <c r="G17" s="30">
        <v>-0.08</v>
      </c>
      <c r="H17" s="31">
        <f t="shared" si="1"/>
        <v>1.4820303816228235E-3</v>
      </c>
      <c r="I17" s="31">
        <f t="shared" si="2"/>
        <v>0.33790118253674212</v>
      </c>
      <c r="J17" s="32">
        <f t="shared" si="5"/>
        <v>18.239905833333339</v>
      </c>
      <c r="K17" s="32">
        <f t="shared" si="3"/>
        <v>9.1199529166666693</v>
      </c>
      <c r="L17" s="29">
        <v>17</v>
      </c>
      <c r="M17" s="33">
        <f t="shared" si="6"/>
        <v>0.11764705882352941</v>
      </c>
      <c r="N17" s="29">
        <v>203</v>
      </c>
      <c r="O17" s="34">
        <f t="shared" ref="O17:P17" si="25">D17/7</f>
        <v>0.2857142857142857</v>
      </c>
      <c r="P17" s="34">
        <f t="shared" si="25"/>
        <v>0</v>
      </c>
      <c r="Q17" s="29">
        <f t="shared" si="8"/>
        <v>710</v>
      </c>
      <c r="R17" s="29"/>
      <c r="S17" s="35">
        <v>0.634920634920634</v>
      </c>
      <c r="T17" s="28">
        <v>240</v>
      </c>
      <c r="U17" s="36">
        <v>36</v>
      </c>
      <c r="V17" s="37" t="s">
        <v>643</v>
      </c>
      <c r="W17" s="28">
        <v>0</v>
      </c>
      <c r="X17" s="38">
        <f t="shared" si="9"/>
        <v>0</v>
      </c>
      <c r="Y17" s="39">
        <f t="shared" si="10"/>
        <v>0</v>
      </c>
      <c r="Z17" s="28">
        <v>0</v>
      </c>
      <c r="AA17" s="28" t="s">
        <v>34</v>
      </c>
      <c r="AB17" s="40">
        <f t="shared" si="11"/>
        <v>-0.69</v>
      </c>
      <c r="AC17" s="41">
        <v>0.10885416666666667</v>
      </c>
      <c r="AD17" s="39">
        <f t="shared" si="12"/>
        <v>-0.30043749999999997</v>
      </c>
      <c r="AE17" s="39">
        <v>-5.8</v>
      </c>
      <c r="AF17" s="39">
        <v>-7.8313283333333299</v>
      </c>
      <c r="AG17" s="39">
        <v>0</v>
      </c>
    </row>
    <row r="18" spans="1:33" ht="15.75" customHeight="1" x14ac:dyDescent="0.2">
      <c r="A18" s="28" t="s">
        <v>56</v>
      </c>
      <c r="B18" s="28" t="s">
        <v>47</v>
      </c>
      <c r="C18" s="15">
        <f t="shared" si="4"/>
        <v>26.136153846153849</v>
      </c>
      <c r="D18" s="29">
        <v>13</v>
      </c>
      <c r="E18" s="29">
        <v>0</v>
      </c>
      <c r="F18" s="32">
        <v>339.77000000000004</v>
      </c>
      <c r="G18" s="30">
        <v>-0.08</v>
      </c>
      <c r="H18" s="31">
        <f t="shared" si="1"/>
        <v>2.3545339494363831E-4</v>
      </c>
      <c r="I18" s="31">
        <f t="shared" si="2"/>
        <v>0.32246633874876163</v>
      </c>
      <c r="J18" s="32">
        <f t="shared" si="5"/>
        <v>109.56438791666675</v>
      </c>
      <c r="K18" s="32">
        <f t="shared" si="3"/>
        <v>8.428029839743596</v>
      </c>
      <c r="L18" s="29">
        <v>49</v>
      </c>
      <c r="M18" s="33">
        <f t="shared" si="6"/>
        <v>0.26530612244897961</v>
      </c>
      <c r="N18" s="29">
        <v>185</v>
      </c>
      <c r="O18" s="34">
        <f t="shared" ref="O18:P18" si="26">D18/7</f>
        <v>1.8571428571428572</v>
      </c>
      <c r="P18" s="34">
        <f t="shared" si="26"/>
        <v>0</v>
      </c>
      <c r="Q18" s="29">
        <f t="shared" si="8"/>
        <v>99</v>
      </c>
      <c r="R18" s="29"/>
      <c r="S18" s="35">
        <v>0.45414847161571997</v>
      </c>
      <c r="T18" s="28">
        <v>240</v>
      </c>
      <c r="U18" s="36">
        <v>36</v>
      </c>
      <c r="V18" s="37" t="s">
        <v>644</v>
      </c>
      <c r="W18" s="28">
        <v>0</v>
      </c>
      <c r="X18" s="38">
        <f t="shared" si="9"/>
        <v>0</v>
      </c>
      <c r="Y18" s="39">
        <f t="shared" si="10"/>
        <v>0</v>
      </c>
      <c r="Z18" s="28">
        <v>0</v>
      </c>
      <c r="AA18" s="28" t="s">
        <v>34</v>
      </c>
      <c r="AB18" s="40">
        <f t="shared" si="11"/>
        <v>-0.69</v>
      </c>
      <c r="AC18" s="41">
        <v>0.10885416666666667</v>
      </c>
      <c r="AD18" s="39">
        <f t="shared" si="12"/>
        <v>-1.9528437499999998</v>
      </c>
      <c r="AE18" s="39">
        <v>-5.8</v>
      </c>
      <c r="AF18" s="39">
        <v>-7.8313283333333299</v>
      </c>
      <c r="AG18" s="39">
        <v>0</v>
      </c>
    </row>
    <row r="19" spans="1:33" ht="15.75" customHeight="1" x14ac:dyDescent="0.2">
      <c r="A19" s="28" t="s">
        <v>57</v>
      </c>
      <c r="B19" s="28" t="s">
        <v>47</v>
      </c>
      <c r="C19" s="15">
        <f t="shared" si="4"/>
        <v>25.841052631578947</v>
      </c>
      <c r="D19" s="29">
        <v>19</v>
      </c>
      <c r="E19" s="29">
        <v>0</v>
      </c>
      <c r="F19" s="32">
        <v>490.98</v>
      </c>
      <c r="G19" s="30">
        <v>0</v>
      </c>
      <c r="H19" s="31">
        <f t="shared" si="1"/>
        <v>0</v>
      </c>
      <c r="I19" s="31">
        <f t="shared" si="2"/>
        <v>0.30279137677026907</v>
      </c>
      <c r="J19" s="32">
        <f t="shared" si="5"/>
        <v>148.6645101666667</v>
      </c>
      <c r="K19" s="32">
        <f t="shared" si="3"/>
        <v>7.8244479035087737</v>
      </c>
      <c r="L19" s="29">
        <v>79</v>
      </c>
      <c r="M19" s="33">
        <f t="shared" si="6"/>
        <v>0.24050632911392406</v>
      </c>
      <c r="N19" s="29">
        <v>156</v>
      </c>
      <c r="O19" s="34">
        <f t="shared" ref="O19:P19" si="27">D19/7</f>
        <v>2.7142857142857144</v>
      </c>
      <c r="P19" s="34">
        <f t="shared" si="27"/>
        <v>0</v>
      </c>
      <c r="Q19" s="29">
        <f t="shared" si="8"/>
        <v>57</v>
      </c>
      <c r="R19" s="29"/>
      <c r="S19" s="35">
        <v>0.79569892473118198</v>
      </c>
      <c r="T19" s="28">
        <v>240</v>
      </c>
      <c r="U19" s="36">
        <v>36</v>
      </c>
      <c r="V19" s="37" t="s">
        <v>645</v>
      </c>
      <c r="W19" s="28">
        <v>0</v>
      </c>
      <c r="X19" s="38">
        <f t="shared" si="9"/>
        <v>0</v>
      </c>
      <c r="Y19" s="39">
        <f t="shared" si="10"/>
        <v>0</v>
      </c>
      <c r="Z19" s="28">
        <v>0</v>
      </c>
      <c r="AA19" s="28" t="s">
        <v>34</v>
      </c>
      <c r="AB19" s="40">
        <f t="shared" si="11"/>
        <v>-0.69</v>
      </c>
      <c r="AC19" s="41">
        <v>0.10885416666666667</v>
      </c>
      <c r="AD19" s="39">
        <f t="shared" si="12"/>
        <v>-2.8541562499999995</v>
      </c>
      <c r="AE19" s="39">
        <v>-5.8</v>
      </c>
      <c r="AF19" s="39">
        <v>-8.1902280833333343</v>
      </c>
      <c r="AG19" s="39">
        <v>0</v>
      </c>
    </row>
    <row r="20" spans="1:33" ht="15.75" customHeight="1" x14ac:dyDescent="0.2">
      <c r="A20" s="28" t="s">
        <v>58</v>
      </c>
      <c r="B20" s="28" t="s">
        <v>47</v>
      </c>
      <c r="C20" s="15">
        <f t="shared" si="4"/>
        <v>25.551034482758624</v>
      </c>
      <c r="D20" s="29">
        <v>29</v>
      </c>
      <c r="E20" s="29">
        <v>2</v>
      </c>
      <c r="F20" s="32">
        <v>740.98000000000013</v>
      </c>
      <c r="G20" s="30">
        <v>-0.41000000000000003</v>
      </c>
      <c r="H20" s="31">
        <f t="shared" si="1"/>
        <v>5.5332127722745547E-4</v>
      </c>
      <c r="I20" s="31">
        <f t="shared" si="2"/>
        <v>0.29602693977345323</v>
      </c>
      <c r="J20" s="32">
        <f t="shared" si="5"/>
        <v>219.35004183333342</v>
      </c>
      <c r="K20" s="32">
        <f t="shared" si="3"/>
        <v>7.5637945459770144</v>
      </c>
      <c r="L20" s="29">
        <v>92</v>
      </c>
      <c r="M20" s="33">
        <f t="shared" si="6"/>
        <v>0.31521739130434784</v>
      </c>
      <c r="N20" s="29">
        <v>128</v>
      </c>
      <c r="O20" s="34">
        <f t="shared" ref="O20:P20" si="28">D20/7</f>
        <v>4.1428571428571432</v>
      </c>
      <c r="P20" s="34">
        <f t="shared" si="28"/>
        <v>0.2857142857142857</v>
      </c>
      <c r="Q20" s="29">
        <f t="shared" si="8"/>
        <v>28</v>
      </c>
      <c r="R20" s="29"/>
      <c r="S20" s="35">
        <v>1.7103448275862001</v>
      </c>
      <c r="T20" s="28">
        <v>240</v>
      </c>
      <c r="U20" s="36">
        <v>36</v>
      </c>
      <c r="V20" s="37" t="s">
        <v>645</v>
      </c>
      <c r="W20" s="28">
        <v>2</v>
      </c>
      <c r="X20" s="38">
        <f t="shared" si="9"/>
        <v>6.8965517241379309E-2</v>
      </c>
      <c r="Y20" s="39">
        <f t="shared" si="10"/>
        <v>0.20500000000000002</v>
      </c>
      <c r="Z20" s="28">
        <v>0</v>
      </c>
      <c r="AA20" s="28" t="s">
        <v>34</v>
      </c>
      <c r="AB20" s="40">
        <f t="shared" si="11"/>
        <v>-0.69</v>
      </c>
      <c r="AC20" s="41">
        <v>0.10885416666666667</v>
      </c>
      <c r="AD20" s="39">
        <f t="shared" si="12"/>
        <v>-4.3563437499999997</v>
      </c>
      <c r="AE20" s="39">
        <v>-5.8</v>
      </c>
      <c r="AF20" s="39">
        <v>-8.1902280833333343</v>
      </c>
      <c r="AG20" s="39">
        <v>0</v>
      </c>
    </row>
    <row r="21" spans="1:33" ht="15.75" customHeight="1" x14ac:dyDescent="0.2">
      <c r="A21" s="28" t="s">
        <v>59</v>
      </c>
      <c r="B21" s="28" t="s">
        <v>646</v>
      </c>
      <c r="C21" s="15">
        <f t="shared" si="4"/>
        <v>26.686250000000008</v>
      </c>
      <c r="D21" s="29">
        <v>40</v>
      </c>
      <c r="E21" s="29">
        <v>0</v>
      </c>
      <c r="F21" s="32">
        <v>1067.4500000000003</v>
      </c>
      <c r="G21" s="30">
        <v>-0.08</v>
      </c>
      <c r="H21" s="31">
        <f t="shared" si="1"/>
        <v>7.4944962293315825E-5</v>
      </c>
      <c r="I21" s="31">
        <f t="shared" si="2"/>
        <v>0.32004742767030464</v>
      </c>
      <c r="J21" s="32">
        <f t="shared" si="5"/>
        <v>341.63462666666675</v>
      </c>
      <c r="K21" s="32">
        <f t="shared" si="3"/>
        <v>8.5408656666666687</v>
      </c>
      <c r="L21" s="29">
        <v>53</v>
      </c>
      <c r="M21" s="33">
        <f t="shared" si="6"/>
        <v>0.75471698113207553</v>
      </c>
      <c r="N21" s="29">
        <v>128</v>
      </c>
      <c r="O21" s="34">
        <f t="shared" ref="O21:P21" si="29">D21/7</f>
        <v>5.7142857142857144</v>
      </c>
      <c r="P21" s="34">
        <f t="shared" si="29"/>
        <v>0</v>
      </c>
      <c r="Q21" s="29">
        <f t="shared" si="8"/>
        <v>22</v>
      </c>
      <c r="R21" s="29"/>
      <c r="S21" s="35">
        <v>1.0971428571428501</v>
      </c>
      <c r="T21" s="28">
        <v>168</v>
      </c>
      <c r="U21" s="36">
        <v>120</v>
      </c>
      <c r="V21" s="37" t="s">
        <v>647</v>
      </c>
      <c r="W21" s="28">
        <v>0</v>
      </c>
      <c r="X21" s="38">
        <f t="shared" si="9"/>
        <v>0</v>
      </c>
      <c r="Y21" s="39">
        <f t="shared" si="10"/>
        <v>0</v>
      </c>
      <c r="Z21" s="28">
        <v>0</v>
      </c>
      <c r="AA21" s="28" t="s">
        <v>34</v>
      </c>
      <c r="AB21" s="40">
        <f t="shared" si="11"/>
        <v>-0.69</v>
      </c>
      <c r="AC21" s="41">
        <v>0.10885416666666667</v>
      </c>
      <c r="AD21" s="39">
        <f t="shared" si="12"/>
        <v>-6.0087499999999991</v>
      </c>
      <c r="AE21" s="39">
        <v>-5.8</v>
      </c>
      <c r="AF21" s="39">
        <v>-8.1902280833333343</v>
      </c>
      <c r="AG21" s="39">
        <v>0</v>
      </c>
    </row>
    <row r="22" spans="1:33" ht="15.75" customHeight="1" x14ac:dyDescent="0.2">
      <c r="A22" s="28" t="s">
        <v>60</v>
      </c>
      <c r="B22" s="28" t="s">
        <v>47</v>
      </c>
      <c r="C22" s="15">
        <f t="shared" si="4"/>
        <v>27.468809523809526</v>
      </c>
      <c r="D22" s="29">
        <v>42</v>
      </c>
      <c r="E22" s="29">
        <v>1</v>
      </c>
      <c r="F22" s="30">
        <v>1153.69</v>
      </c>
      <c r="G22" s="30">
        <v>-0.18</v>
      </c>
      <c r="H22" s="31">
        <f t="shared" si="1"/>
        <v>1.5602111485754405E-4</v>
      </c>
      <c r="I22" s="31">
        <f t="shared" si="2"/>
        <v>0.33506204699702691</v>
      </c>
      <c r="J22" s="32">
        <f t="shared" si="5"/>
        <v>386.55773299999998</v>
      </c>
      <c r="K22" s="32">
        <f t="shared" si="3"/>
        <v>9.203755547619048</v>
      </c>
      <c r="L22" s="29">
        <v>113</v>
      </c>
      <c r="M22" s="33">
        <f t="shared" si="6"/>
        <v>0.37168141592920356</v>
      </c>
      <c r="N22" s="29">
        <v>83</v>
      </c>
      <c r="O22" s="34">
        <f t="shared" ref="O22:P22" si="30">D22/7</f>
        <v>6</v>
      </c>
      <c r="P22" s="34">
        <f t="shared" si="30"/>
        <v>0.14285714285714285</v>
      </c>
      <c r="Q22" s="29">
        <f t="shared" si="8"/>
        <v>13</v>
      </c>
      <c r="R22" s="29"/>
      <c r="S22" s="35">
        <v>1.8110749185667701</v>
      </c>
      <c r="T22" s="28">
        <v>168</v>
      </c>
      <c r="U22" s="36">
        <v>120</v>
      </c>
      <c r="V22" s="37" t="s">
        <v>647</v>
      </c>
      <c r="W22" s="28">
        <v>0</v>
      </c>
      <c r="X22" s="38">
        <f t="shared" si="9"/>
        <v>0</v>
      </c>
      <c r="Y22" s="39">
        <f t="shared" si="10"/>
        <v>0.18</v>
      </c>
      <c r="Z22" s="28">
        <v>1</v>
      </c>
      <c r="AA22" s="28" t="s">
        <v>34</v>
      </c>
      <c r="AB22" s="40">
        <f t="shared" si="11"/>
        <v>-0.69</v>
      </c>
      <c r="AC22" s="41">
        <v>0.10885416666666667</v>
      </c>
      <c r="AD22" s="39">
        <f t="shared" si="12"/>
        <v>-6.3091874999999993</v>
      </c>
      <c r="AE22" s="39">
        <v>-5.8</v>
      </c>
      <c r="AF22" s="39">
        <v>-8.1902280833333343</v>
      </c>
      <c r="AG22" s="39">
        <v>0</v>
      </c>
    </row>
    <row r="23" spans="1:33" ht="15.75" customHeight="1" x14ac:dyDescent="0.2">
      <c r="A23" s="28" t="s">
        <v>62</v>
      </c>
      <c r="B23" s="28" t="s">
        <v>648</v>
      </c>
      <c r="C23" s="15">
        <f t="shared" si="4"/>
        <v>27.89222222222223</v>
      </c>
      <c r="D23" s="29">
        <v>45</v>
      </c>
      <c r="E23" s="29">
        <v>0</v>
      </c>
      <c r="F23" s="32">
        <v>1255.1500000000003</v>
      </c>
      <c r="G23" s="30">
        <v>-0.24</v>
      </c>
      <c r="H23" s="31">
        <f t="shared" si="1"/>
        <v>1.912122057124646E-4</v>
      </c>
      <c r="I23" s="31">
        <f t="shared" si="2"/>
        <v>0.34284140740150582</v>
      </c>
      <c r="J23" s="32">
        <f t="shared" si="5"/>
        <v>430.31739250000015</v>
      </c>
      <c r="K23" s="32">
        <f t="shared" si="3"/>
        <v>9.562608722222226</v>
      </c>
      <c r="L23" s="29">
        <v>133</v>
      </c>
      <c r="M23" s="33">
        <f t="shared" si="6"/>
        <v>0.33834586466165412</v>
      </c>
      <c r="N23" s="29">
        <v>38</v>
      </c>
      <c r="O23" s="34">
        <f t="shared" ref="O23:P23" si="31">D23/7</f>
        <v>6.4285714285714288</v>
      </c>
      <c r="P23" s="34">
        <f t="shared" si="31"/>
        <v>0</v>
      </c>
      <c r="Q23" s="29">
        <f t="shared" si="8"/>
        <v>5</v>
      </c>
      <c r="R23" s="29"/>
      <c r="S23" s="35">
        <v>2.96995708154506</v>
      </c>
      <c r="T23" s="28">
        <v>168</v>
      </c>
      <c r="U23" s="36" t="s">
        <v>33</v>
      </c>
      <c r="V23" s="37" t="s">
        <v>649</v>
      </c>
      <c r="W23" s="28">
        <v>0</v>
      </c>
      <c r="X23" s="38">
        <f t="shared" si="9"/>
        <v>0</v>
      </c>
      <c r="Y23" s="39">
        <f t="shared" si="10"/>
        <v>0</v>
      </c>
      <c r="Z23" s="28">
        <v>0</v>
      </c>
      <c r="AA23" s="28" t="s">
        <v>34</v>
      </c>
      <c r="AB23" s="40">
        <f t="shared" si="11"/>
        <v>-0.69</v>
      </c>
      <c r="AC23" s="41">
        <v>0.10885416666666667</v>
      </c>
      <c r="AD23" s="39">
        <f t="shared" si="12"/>
        <v>-6.759843749999999</v>
      </c>
      <c r="AE23" s="39">
        <v>-5.8</v>
      </c>
      <c r="AF23" s="39">
        <v>-8.1902280833333343</v>
      </c>
      <c r="AG23" s="39">
        <v>0</v>
      </c>
    </row>
    <row r="24" spans="1:33" ht="15.75" customHeight="1" x14ac:dyDescent="0.2">
      <c r="A24" s="28" t="s">
        <v>64</v>
      </c>
      <c r="B24" s="28" t="s">
        <v>52</v>
      </c>
      <c r="C24" s="15">
        <f t="shared" si="4"/>
        <v>29.182903225806466</v>
      </c>
      <c r="D24" s="29">
        <v>31</v>
      </c>
      <c r="E24" s="29">
        <v>0</v>
      </c>
      <c r="F24" s="32">
        <v>904.67000000000041</v>
      </c>
      <c r="G24" s="32">
        <v>-0.03</v>
      </c>
      <c r="H24" s="31">
        <f t="shared" si="1"/>
        <v>3.3161263223053695E-5</v>
      </c>
      <c r="I24" s="31">
        <f t="shared" si="2"/>
        <v>0.36542125655395546</v>
      </c>
      <c r="J24" s="32">
        <f t="shared" si="5"/>
        <v>330.58564816666706</v>
      </c>
      <c r="K24" s="32">
        <f t="shared" si="3"/>
        <v>10.66405316666668</v>
      </c>
      <c r="L24" s="29">
        <v>103</v>
      </c>
      <c r="M24" s="33">
        <f t="shared" si="6"/>
        <v>0.30097087378640774</v>
      </c>
      <c r="N24" s="29">
        <v>10</v>
      </c>
      <c r="O24" s="34">
        <f t="shared" ref="O24:P24" si="32">D24/7</f>
        <v>4.4285714285714288</v>
      </c>
      <c r="P24" s="34">
        <f t="shared" si="32"/>
        <v>0</v>
      </c>
      <c r="Q24" s="29">
        <f t="shared" si="8"/>
        <v>2</v>
      </c>
      <c r="R24" s="29"/>
      <c r="S24" s="35">
        <v>4.4919786096256598</v>
      </c>
      <c r="T24" s="28">
        <v>168</v>
      </c>
      <c r="U24" s="36" t="s">
        <v>33</v>
      </c>
      <c r="V24" s="37" t="s">
        <v>649</v>
      </c>
      <c r="W24" s="28">
        <v>0</v>
      </c>
      <c r="X24" s="38">
        <f t="shared" si="9"/>
        <v>0</v>
      </c>
      <c r="Y24" s="39">
        <f t="shared" si="10"/>
        <v>0</v>
      </c>
      <c r="Z24" s="28">
        <v>0</v>
      </c>
      <c r="AA24" s="28" t="s">
        <v>34</v>
      </c>
      <c r="AB24" s="40">
        <f t="shared" si="11"/>
        <v>-0.69</v>
      </c>
      <c r="AC24" s="41">
        <v>0.10885416666666667</v>
      </c>
      <c r="AD24" s="39">
        <f t="shared" si="12"/>
        <v>-4.6567812499999999</v>
      </c>
      <c r="AE24" s="39">
        <v>-5.8</v>
      </c>
      <c r="AF24" s="39">
        <v>-8.1902280833333343</v>
      </c>
      <c r="AG24" s="39">
        <v>0</v>
      </c>
    </row>
    <row r="25" spans="1:33" ht="15.75" customHeight="1" x14ac:dyDescent="0.2">
      <c r="A25" s="28" t="s">
        <v>65</v>
      </c>
      <c r="B25" s="14" t="s">
        <v>650</v>
      </c>
      <c r="C25" s="15">
        <f t="shared" si="4"/>
        <v>30.204000000000001</v>
      </c>
      <c r="D25" s="29">
        <v>5</v>
      </c>
      <c r="E25" s="29">
        <v>0</v>
      </c>
      <c r="F25" s="32">
        <v>151.02000000000001</v>
      </c>
      <c r="G25" s="32">
        <v>0</v>
      </c>
      <c r="H25" s="31">
        <f t="shared" si="1"/>
        <v>0</v>
      </c>
      <c r="I25" s="31">
        <f t="shared" si="2"/>
        <v>0.38184284366309112</v>
      </c>
      <c r="J25" s="32">
        <f t="shared" si="5"/>
        <v>57.665906250000027</v>
      </c>
      <c r="K25" s="32">
        <f t="shared" si="3"/>
        <v>11.533181250000005</v>
      </c>
      <c r="L25" s="29">
        <v>29</v>
      </c>
      <c r="M25" s="33">
        <f t="shared" si="6"/>
        <v>0.17241379310344829</v>
      </c>
      <c r="N25" s="29">
        <v>13</v>
      </c>
      <c r="O25" s="34">
        <f t="shared" ref="O25:P25" si="33">D25/7</f>
        <v>0.7142857142857143</v>
      </c>
      <c r="P25" s="34">
        <f t="shared" si="33"/>
        <v>0</v>
      </c>
      <c r="Q25" s="29">
        <f t="shared" si="8"/>
        <v>18</v>
      </c>
      <c r="R25" s="29"/>
      <c r="S25" s="35">
        <v>2.5123966942148761</v>
      </c>
      <c r="T25" s="28">
        <v>168</v>
      </c>
      <c r="U25" s="36">
        <v>120</v>
      </c>
      <c r="V25" s="37" t="s">
        <v>651</v>
      </c>
      <c r="W25" s="14">
        <v>0</v>
      </c>
      <c r="X25" s="38">
        <f t="shared" si="9"/>
        <v>0</v>
      </c>
      <c r="Y25" s="39">
        <f t="shared" si="10"/>
        <v>0</v>
      </c>
      <c r="Z25" s="14">
        <v>0</v>
      </c>
      <c r="AA25" s="28" t="s">
        <v>34</v>
      </c>
      <c r="AB25" s="40">
        <f t="shared" si="11"/>
        <v>-0.69</v>
      </c>
      <c r="AC25" s="41">
        <v>0.10885416666666667</v>
      </c>
      <c r="AD25" s="39">
        <f t="shared" si="12"/>
        <v>-0.75109374999999989</v>
      </c>
      <c r="AE25" s="39">
        <v>-5.8</v>
      </c>
      <c r="AF25" s="39">
        <v>-8.19</v>
      </c>
      <c r="AG25" s="39">
        <v>0</v>
      </c>
    </row>
    <row r="26" spans="1:33" ht="15.75" customHeight="1" x14ac:dyDescent="0.2">
      <c r="A26" s="14" t="s">
        <v>67</v>
      </c>
      <c r="B26" s="14" t="s">
        <v>652</v>
      </c>
      <c r="C26" s="15">
        <f t="shared" si="4"/>
        <v>31.99</v>
      </c>
      <c r="D26" s="16">
        <v>1</v>
      </c>
      <c r="E26" s="16">
        <v>0</v>
      </c>
      <c r="F26" s="17">
        <v>31.99</v>
      </c>
      <c r="G26" s="17">
        <v>-0.02</v>
      </c>
      <c r="H26" s="31">
        <f t="shared" si="1"/>
        <v>6.2519537355423577E-4</v>
      </c>
      <c r="I26" s="31">
        <f t="shared" si="2"/>
        <v>0.40069979681150358</v>
      </c>
      <c r="J26" s="32">
        <f t="shared" si="5"/>
        <v>12.818386499999999</v>
      </c>
      <c r="K26" s="32">
        <f t="shared" si="3"/>
        <v>12.818386499999999</v>
      </c>
      <c r="L26" s="16">
        <v>14</v>
      </c>
      <c r="M26" s="33">
        <f t="shared" si="6"/>
        <v>7.1428571428571425E-2</v>
      </c>
      <c r="N26" s="16">
        <v>11</v>
      </c>
      <c r="O26" s="34">
        <f t="shared" ref="O26:P26" si="34">D26/7</f>
        <v>0.14285714285714285</v>
      </c>
      <c r="P26" s="34">
        <f t="shared" si="34"/>
        <v>0</v>
      </c>
      <c r="Q26" s="29">
        <f t="shared" si="8"/>
        <v>77</v>
      </c>
      <c r="R26" s="29"/>
      <c r="S26" s="21">
        <v>2.7462686567164178</v>
      </c>
      <c r="T26" s="28">
        <v>528</v>
      </c>
      <c r="U26" s="36">
        <v>120</v>
      </c>
      <c r="V26" s="37" t="s">
        <v>651</v>
      </c>
      <c r="W26" s="14">
        <v>0</v>
      </c>
      <c r="X26" s="38">
        <f t="shared" si="9"/>
        <v>0</v>
      </c>
      <c r="Y26" s="39">
        <f t="shared" si="10"/>
        <v>0</v>
      </c>
      <c r="Z26" s="14">
        <v>0</v>
      </c>
      <c r="AA26" s="28" t="s">
        <v>34</v>
      </c>
      <c r="AB26" s="40">
        <f t="shared" si="11"/>
        <v>-0.69</v>
      </c>
      <c r="AC26" s="41">
        <v>0.10885416666666667</v>
      </c>
      <c r="AD26" s="39">
        <f t="shared" si="12"/>
        <v>-0.15021874999999998</v>
      </c>
      <c r="AE26" s="25">
        <v>-5.98</v>
      </c>
      <c r="AF26" s="25">
        <v>-8.22289475</v>
      </c>
      <c r="AG26" s="25">
        <v>0</v>
      </c>
    </row>
    <row r="27" spans="1:33" ht="15.75" customHeight="1" x14ac:dyDescent="0.2">
      <c r="A27" s="14" t="s">
        <v>69</v>
      </c>
      <c r="B27" s="14" t="s">
        <v>653</v>
      </c>
      <c r="C27" s="15">
        <f t="shared" si="4"/>
        <v>31.49</v>
      </c>
      <c r="D27" s="16">
        <v>6</v>
      </c>
      <c r="E27" s="16">
        <v>0</v>
      </c>
      <c r="F27" s="17">
        <v>188.94</v>
      </c>
      <c r="G27" s="17">
        <v>-0.16</v>
      </c>
      <c r="H27" s="31">
        <f t="shared" si="1"/>
        <v>8.4682968138033237E-4</v>
      </c>
      <c r="I27" s="31">
        <f t="shared" si="2"/>
        <v>0.40578870276278184</v>
      </c>
      <c r="J27" s="32">
        <f t="shared" si="5"/>
        <v>76.669717500000004</v>
      </c>
      <c r="K27" s="32">
        <f t="shared" si="3"/>
        <v>12.778286250000001</v>
      </c>
      <c r="L27" s="16">
        <v>48</v>
      </c>
      <c r="M27" s="33">
        <f t="shared" si="6"/>
        <v>0.125</v>
      </c>
      <c r="N27" s="16">
        <v>7</v>
      </c>
      <c r="O27" s="34">
        <f t="shared" ref="O27:P27" si="35">D27/7</f>
        <v>0.8571428571428571</v>
      </c>
      <c r="P27" s="34">
        <f t="shared" si="35"/>
        <v>0</v>
      </c>
      <c r="Q27" s="29">
        <f t="shared" si="8"/>
        <v>8</v>
      </c>
      <c r="R27" s="29"/>
      <c r="S27" s="21">
        <v>3.9330543933054392</v>
      </c>
      <c r="T27" s="28">
        <v>528</v>
      </c>
      <c r="U27" s="36">
        <v>120</v>
      </c>
      <c r="V27" s="37" t="s">
        <v>651</v>
      </c>
      <c r="W27" s="14">
        <v>0</v>
      </c>
      <c r="X27" s="38">
        <f t="shared" si="9"/>
        <v>0</v>
      </c>
      <c r="Y27" s="39">
        <f t="shared" si="10"/>
        <v>0</v>
      </c>
      <c r="Z27" s="14">
        <v>0</v>
      </c>
      <c r="AA27" s="28" t="s">
        <v>34</v>
      </c>
      <c r="AB27" s="40">
        <f t="shared" si="11"/>
        <v>-0.69</v>
      </c>
      <c r="AC27" s="41">
        <v>0.10885416666666667</v>
      </c>
      <c r="AD27" s="39">
        <f t="shared" si="12"/>
        <v>-0.90131249999999996</v>
      </c>
      <c r="AE27" s="25">
        <v>-5.98</v>
      </c>
      <c r="AF27" s="25">
        <v>-7.8313283333333299</v>
      </c>
      <c r="AG27" s="25">
        <v>0</v>
      </c>
    </row>
    <row r="28" spans="1:33" ht="15.75" customHeight="1" x14ac:dyDescent="0.2">
      <c r="A28" s="14" t="s">
        <v>71</v>
      </c>
      <c r="B28" s="14" t="s">
        <v>52</v>
      </c>
      <c r="C28" s="15">
        <f t="shared" si="4"/>
        <v>31.466000000000001</v>
      </c>
      <c r="D28" s="16">
        <v>5</v>
      </c>
      <c r="E28" s="16">
        <v>0</v>
      </c>
      <c r="F28" s="17">
        <v>157.33000000000001</v>
      </c>
      <c r="G28" s="17">
        <v>-0.05</v>
      </c>
      <c r="H28" s="31">
        <f t="shared" si="1"/>
        <v>3.1780334329117139E-4</v>
      </c>
      <c r="I28" s="31">
        <f t="shared" si="2"/>
        <v>0.40597956259666523</v>
      </c>
      <c r="J28" s="32">
        <f t="shared" si="5"/>
        <v>63.872764583333343</v>
      </c>
      <c r="K28" s="32">
        <f t="shared" si="3"/>
        <v>12.774552916666668</v>
      </c>
      <c r="L28" s="16">
        <v>37</v>
      </c>
      <c r="M28" s="33">
        <f t="shared" si="6"/>
        <v>0.13513513513513514</v>
      </c>
      <c r="N28" s="16">
        <v>1</v>
      </c>
      <c r="O28" s="34">
        <f t="shared" ref="O28:P28" si="36">D28/7</f>
        <v>0.7142857142857143</v>
      </c>
      <c r="P28" s="34">
        <f t="shared" si="36"/>
        <v>0</v>
      </c>
      <c r="Q28" s="29">
        <f t="shared" si="8"/>
        <v>1</v>
      </c>
      <c r="R28" s="29"/>
      <c r="S28" s="21">
        <v>4.8686868686868694</v>
      </c>
      <c r="T28" s="28">
        <v>528</v>
      </c>
      <c r="U28" s="36">
        <v>120</v>
      </c>
      <c r="V28" s="37" t="s">
        <v>654</v>
      </c>
      <c r="W28" s="14">
        <v>0</v>
      </c>
      <c r="X28" s="38">
        <f t="shared" si="9"/>
        <v>0</v>
      </c>
      <c r="Y28" s="39">
        <f t="shared" si="10"/>
        <v>0</v>
      </c>
      <c r="Z28" s="14">
        <v>0</v>
      </c>
      <c r="AA28" s="28" t="s">
        <v>34</v>
      </c>
      <c r="AB28" s="40">
        <f t="shared" si="11"/>
        <v>-0.69</v>
      </c>
      <c r="AC28" s="41">
        <v>0.10885416666666667</v>
      </c>
      <c r="AD28" s="39">
        <f t="shared" si="12"/>
        <v>-0.75109374999999989</v>
      </c>
      <c r="AE28" s="25">
        <v>-5.98</v>
      </c>
      <c r="AF28" s="25">
        <v>-7.8313283333333299</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1</v>
      </c>
      <c r="O29" s="34">
        <f t="shared" ref="O29:P29" si="37">D29/7</f>
        <v>0</v>
      </c>
      <c r="P29" s="34">
        <f t="shared" si="37"/>
        <v>0</v>
      </c>
      <c r="Q29" s="29" t="e">
        <f t="shared" si="8"/>
        <v>#DIV/0!</v>
      </c>
      <c r="R29" s="29"/>
      <c r="S29" s="21">
        <v>0</v>
      </c>
      <c r="T29" s="28">
        <v>576</v>
      </c>
      <c r="U29" s="36">
        <v>120</v>
      </c>
      <c r="V29" s="37" t="s">
        <v>655</v>
      </c>
      <c r="W29" s="14">
        <v>0</v>
      </c>
      <c r="X29" s="38">
        <f t="shared" si="9"/>
        <v>0</v>
      </c>
      <c r="Y29" s="39">
        <f t="shared" si="10"/>
        <v>0</v>
      </c>
      <c r="Z29" s="14">
        <v>0</v>
      </c>
      <c r="AA29" s="28" t="s">
        <v>34</v>
      </c>
      <c r="AB29" s="40">
        <f t="shared" si="11"/>
        <v>-0.69</v>
      </c>
      <c r="AC29" s="41">
        <v>0.10885416666666667</v>
      </c>
      <c r="AD29" s="39">
        <f t="shared" si="12"/>
        <v>0</v>
      </c>
      <c r="AE29" s="39">
        <v>-5.98</v>
      </c>
      <c r="AF29" s="25">
        <v>-7.8313283333333299</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1</v>
      </c>
      <c r="O30" s="34">
        <f t="shared" ref="O30:P30" si="38">D30/7</f>
        <v>0</v>
      </c>
      <c r="P30" s="34">
        <f t="shared" si="38"/>
        <v>0</v>
      </c>
      <c r="Q30" s="29" t="e">
        <f t="shared" si="8"/>
        <v>#DIV/0!</v>
      </c>
      <c r="R30" s="29"/>
      <c r="S30" s="21">
        <v>0</v>
      </c>
      <c r="T30" s="28">
        <v>456</v>
      </c>
      <c r="U30" s="36">
        <v>48</v>
      </c>
      <c r="V30" s="37" t="s">
        <v>656</v>
      </c>
      <c r="W30" s="14">
        <v>0</v>
      </c>
      <c r="X30" s="38">
        <f t="shared" si="9"/>
        <v>0</v>
      </c>
      <c r="Y30" s="39">
        <f t="shared" si="10"/>
        <v>0</v>
      </c>
      <c r="Z30" s="14">
        <v>0</v>
      </c>
      <c r="AA30" s="28" t="s">
        <v>34</v>
      </c>
      <c r="AB30" s="40">
        <f t="shared" si="11"/>
        <v>-0.69</v>
      </c>
      <c r="AC30" s="41">
        <v>0.10885416666666667</v>
      </c>
      <c r="AD30" s="39">
        <f t="shared" si="12"/>
        <v>0</v>
      </c>
      <c r="AE30" s="25">
        <v>-5.98</v>
      </c>
      <c r="AF30" s="25">
        <v>-7.4954463956249997</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121</v>
      </c>
      <c r="O31" s="34">
        <f t="shared" ref="O31:P32" si="39">D31/7</f>
        <v>0</v>
      </c>
      <c r="P31" s="34">
        <f t="shared" si="39"/>
        <v>0</v>
      </c>
      <c r="Q31" s="29" t="e">
        <f t="shared" si="8"/>
        <v>#DIV/0!</v>
      </c>
      <c r="R31" s="29"/>
      <c r="S31" s="21">
        <v>2.1851851851851798</v>
      </c>
      <c r="T31" s="14" t="s">
        <v>33</v>
      </c>
      <c r="U31" s="22">
        <v>48</v>
      </c>
      <c r="V31" s="1" t="s">
        <v>948</v>
      </c>
      <c r="W31" s="14">
        <v>0</v>
      </c>
      <c r="X31" s="38">
        <f t="shared" si="9"/>
        <v>0</v>
      </c>
      <c r="Y31" s="39">
        <f t="shared" si="10"/>
        <v>0</v>
      </c>
      <c r="Z31" s="14">
        <v>0</v>
      </c>
      <c r="AA31" s="14" t="s">
        <v>34</v>
      </c>
      <c r="AB31" s="40">
        <f t="shared" si="11"/>
        <v>-0.69</v>
      </c>
      <c r="AC31" s="27">
        <v>0.10885416666666667</v>
      </c>
      <c r="AD31" s="39">
        <f t="shared" si="12"/>
        <v>0</v>
      </c>
      <c r="AE31" s="43">
        <v>-5.98</v>
      </c>
      <c r="AF31" s="43">
        <v>-7.4954463956249997</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121</v>
      </c>
      <c r="O32" s="34">
        <f t="shared" si="39"/>
        <v>0</v>
      </c>
      <c r="P32" s="34">
        <f t="shared" si="39"/>
        <v>0</v>
      </c>
      <c r="Q32" s="29" t="e">
        <f t="shared" si="8"/>
        <v>#DIV/0!</v>
      </c>
      <c r="R32" s="29" t="str">
        <f ca="1">IFERROR(VLOOKUP($B$2,IMPORTRANGE("https://docs.google.com/spreadsheets/d/1KiWZV1ko8G7lnRucBRBd29jj3Be6ltMfljMDqzOkQmI/edit#gid=1381463014","Lookup!A:F"),6,FALSE),"")</f>
        <v/>
      </c>
      <c r="S32" s="54">
        <v>2.5542168674698789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0.10885416666666667</v>
      </c>
      <c r="AD32" s="39">
        <f t="shared" si="12"/>
        <v>0</v>
      </c>
      <c r="AE32" s="58">
        <v>-5.98</v>
      </c>
      <c r="AF32" s="58">
        <v>-7.4954463956249997</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53.332031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Info!B1:BJ5000""),3,FALSE),"""")"),"14 Gauge Automotive Wire - 6 Roll Assortment Pack -100 Ft of Copper Clad Aluminum Primary Wire per Roll")</f>
        <v>14 Gauge Automotive Wire - 6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Info!B1:BJ5000""),2,FALSE),"""")"),"B07QH2L4CX")</f>
        <v>B07QH2L4CX</v>
      </c>
      <c r="B2" s="49" t="s">
        <v>657</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103.5" customHeight="1" x14ac:dyDescent="0.2">
      <c r="A3" s="76" t="s">
        <v>30</v>
      </c>
      <c r="B3" s="77"/>
      <c r="C3" s="47">
        <f>((AE32+AF32)/0.85)*-1</f>
        <v>18.907824251286765</v>
      </c>
      <c r="D3" s="5">
        <f>SUM(D4:D99634)</f>
        <v>328</v>
      </c>
      <c r="E3" s="5"/>
      <c r="F3" s="6">
        <f t="shared" ref="F3:G3" si="0">SUM(F4:F99634)</f>
        <v>10573.93</v>
      </c>
      <c r="G3" s="6">
        <f t="shared" si="0"/>
        <v>-72.299999999999969</v>
      </c>
      <c r="H3" s="7">
        <f t="shared" ref="H3:H32" si="1">G3/F3*-1</f>
        <v>6.8375712719868547E-3</v>
      </c>
      <c r="I3" s="8">
        <f t="shared" ref="I3:I32" si="2">J3/F3</f>
        <v>0.31780542884802349</v>
      </c>
      <c r="J3" s="6">
        <f>SUM(J4:J99634)</f>
        <v>3360.4523582589813</v>
      </c>
      <c r="K3" s="6">
        <f t="shared" ref="K3:K32" si="3">J3/D3</f>
        <v>10.24528158005787</v>
      </c>
      <c r="L3" s="5"/>
      <c r="M3" s="9"/>
      <c r="N3" s="10"/>
      <c r="O3" s="5" t="str">
        <f ca="1">IFERROR(__xludf.DUMMYFUNCTION("IFERROR(VLOOKUP(B2,IMPORTRANGE(""https://docs.google.com/spreadsheets/d/1N8jvpEHDVkurDv7NrPxwI3eH6hQsvtb1QltGNCalRjU/edit#gid=865736387"",""Compiled Sheet!a1:g5000""),2,FALSE),"""")"),"2 - March
2 - April
2.5 - May
2 - June
2 - July
2.5 - Aug
2.5 - Sept
2 - Oct
2 - Nov
2 - Dec
2.5 - Jan
2.5 - Feb")</f>
        <v>2 - March
2 - April
2.5 - May
2 - June
2 - July
2.5 - Aug
2.5 - Sept
2 - Oct
2 - Nov
2 - Dec
2.5 - Jan
2.5 -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12</v>
      </c>
      <c r="X3" s="7">
        <f>W3/D3</f>
        <v>3.6585365853658534E-2</v>
      </c>
      <c r="Y3" s="6"/>
      <c r="Z3" s="5"/>
      <c r="AA3" s="5"/>
      <c r="AB3" s="5"/>
      <c r="AC3" s="5"/>
      <c r="AD3" s="6">
        <f>SUM(AD4:AD99634)</f>
        <v>-76.048624241019681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Info!B2:BZ7000""),37,FALSE)),"""")*-1"),-9.51165061359375)</f>
        <v>-9.5116506135937495</v>
      </c>
      <c r="AG3" s="6">
        <f>SUM(AG4:AG99634)</f>
        <v>0</v>
      </c>
    </row>
    <row r="4" spans="1:33" ht="1.5" customHeight="1" x14ac:dyDescent="0.2">
      <c r="A4" s="14" t="s">
        <v>31</v>
      </c>
      <c r="B4" s="14" t="s">
        <v>658</v>
      </c>
      <c r="C4" s="15">
        <f t="shared" ref="C4:C32" si="4">IFERROR(F4/D4," - ")</f>
        <v>30.227692307692312</v>
      </c>
      <c r="D4" s="16">
        <v>13</v>
      </c>
      <c r="E4" s="16">
        <v>0</v>
      </c>
      <c r="F4" s="17">
        <v>392.96000000000004</v>
      </c>
      <c r="G4" s="17">
        <v>-22.459999999999997</v>
      </c>
      <c r="H4" s="18">
        <f t="shared" si="1"/>
        <v>5.7155944625407157E-2</v>
      </c>
      <c r="I4" s="18">
        <f t="shared" si="2"/>
        <v>0.24204415207654728</v>
      </c>
      <c r="J4" s="17">
        <f t="shared" ref="J4:J32" si="5">F4*0.85+G4+AF4*D4+D4*AE4+AG4+AD4</f>
        <v>95.113670000000027</v>
      </c>
      <c r="K4" s="17">
        <f t="shared" si="3"/>
        <v>7.3164361538461558</v>
      </c>
      <c r="L4" s="16">
        <v>54</v>
      </c>
      <c r="M4" s="19">
        <f t="shared" ref="M4:M32" si="6">IFERROR(D4/L4,"-")</f>
        <v>0.24074074074074073</v>
      </c>
      <c r="N4" s="16">
        <v>165</v>
      </c>
      <c r="O4" s="20">
        <f t="shared" ref="O4:P4" si="7">D4/7</f>
        <v>1.8571428571428572</v>
      </c>
      <c r="P4" s="20">
        <f t="shared" si="7"/>
        <v>0</v>
      </c>
      <c r="Q4" s="16">
        <f t="shared" ref="Q4:Q32" si="8">ROUNDDOWN(N4/(O4+P4),0)</f>
        <v>88</v>
      </c>
      <c r="R4" s="16"/>
      <c r="S4" s="21">
        <v>0.79305354558610697</v>
      </c>
      <c r="T4" s="14">
        <v>160</v>
      </c>
      <c r="U4" s="22" t="s">
        <v>33</v>
      </c>
      <c r="V4" s="23" t="s">
        <v>33</v>
      </c>
      <c r="W4" s="14">
        <v>4</v>
      </c>
      <c r="X4" s="24">
        <f t="shared" ref="X4:X32" si="9">IFERROR(W4/D4,0)</f>
        <v>0.30769230769230771</v>
      </c>
      <c r="Y4" s="25">
        <f t="shared" ref="Y4:Y32" si="10">IFERROR(G4/(W4+Z4)*-1,0)</f>
        <v>5.6149999999999993</v>
      </c>
      <c r="Z4" s="14">
        <v>0</v>
      </c>
      <c r="AA4" s="2" t="s">
        <v>34</v>
      </c>
      <c r="AB4" s="26">
        <f t="shared" ref="AB4:AB32" si="11">IF(OR(AA4="UsLargeStandardSize",AA4="UsSmallStandardSize"),-0.69,-0.48)</f>
        <v>-0.69</v>
      </c>
      <c r="AC4" s="27">
        <v>0.16800000000000001</v>
      </c>
      <c r="AD4" s="25">
        <f t="shared" ref="AD4:AD32" si="12">IFERROR(AB4*AC4*D4*2,0)</f>
        <v>-3.0139199999999997</v>
      </c>
      <c r="AE4" s="25">
        <v>-6.56</v>
      </c>
      <c r="AF4" s="25">
        <v>-9.8575700000000008</v>
      </c>
      <c r="AG4" s="25">
        <v>0</v>
      </c>
    </row>
    <row r="5" spans="1:33" ht="15.75" customHeight="1" x14ac:dyDescent="0.2">
      <c r="A5" s="28" t="s">
        <v>35</v>
      </c>
      <c r="B5" s="28" t="s">
        <v>47</v>
      </c>
      <c r="C5" s="15">
        <f t="shared" si="4"/>
        <v>30.212105263157898</v>
      </c>
      <c r="D5" s="29">
        <v>19</v>
      </c>
      <c r="E5" s="29">
        <v>0</v>
      </c>
      <c r="F5" s="30">
        <v>574.03000000000009</v>
      </c>
      <c r="G5" s="30">
        <v>-21.42</v>
      </c>
      <c r="H5" s="31">
        <f t="shared" si="1"/>
        <v>3.7315122902984159E-2</v>
      </c>
      <c r="I5" s="31">
        <f t="shared" si="2"/>
        <v>0.26159191289476214</v>
      </c>
      <c r="J5" s="32">
        <f t="shared" si="5"/>
        <v>150.16160575898033</v>
      </c>
      <c r="K5" s="32">
        <f t="shared" si="3"/>
        <v>7.9032424083673858</v>
      </c>
      <c r="L5" s="29">
        <v>79</v>
      </c>
      <c r="M5" s="33">
        <f t="shared" si="6"/>
        <v>0.24050632911392406</v>
      </c>
      <c r="N5" s="29">
        <v>144</v>
      </c>
      <c r="O5" s="34">
        <f t="shared" ref="O5:P5" si="13">D5/7</f>
        <v>2.7142857142857144</v>
      </c>
      <c r="P5" s="34">
        <f t="shared" si="13"/>
        <v>0</v>
      </c>
      <c r="Q5" s="29">
        <f t="shared" si="8"/>
        <v>53</v>
      </c>
      <c r="R5" s="29"/>
      <c r="S5" s="35">
        <v>0.97971918876755004</v>
      </c>
      <c r="T5" s="28">
        <v>160</v>
      </c>
      <c r="U5" s="36" t="s">
        <v>33</v>
      </c>
      <c r="V5" s="37" t="s">
        <v>33</v>
      </c>
      <c r="W5" s="28">
        <v>3</v>
      </c>
      <c r="X5" s="38">
        <f t="shared" si="9"/>
        <v>0.15789473684210525</v>
      </c>
      <c r="Y5" s="39">
        <f t="shared" si="10"/>
        <v>4.2840000000000007</v>
      </c>
      <c r="Z5" s="28">
        <v>2</v>
      </c>
      <c r="AA5" s="28" t="s">
        <v>34</v>
      </c>
      <c r="AB5" s="40">
        <f t="shared" si="11"/>
        <v>-0.69</v>
      </c>
      <c r="AC5" s="41">
        <v>0.16819466975666283</v>
      </c>
      <c r="AD5" s="39">
        <f t="shared" si="12"/>
        <v>-4.4100642410196995</v>
      </c>
      <c r="AE5" s="39">
        <v>-6.56</v>
      </c>
      <c r="AF5" s="39">
        <v>-9.8575700000000008</v>
      </c>
      <c r="AG5" s="39">
        <v>0</v>
      </c>
    </row>
    <row r="6" spans="1:33" ht="15.75" customHeight="1" x14ac:dyDescent="0.2">
      <c r="A6" s="28" t="s">
        <v>37</v>
      </c>
      <c r="B6" s="28" t="s">
        <v>441</v>
      </c>
      <c r="C6" s="15">
        <f t="shared" si="4"/>
        <v>29.99625</v>
      </c>
      <c r="D6" s="29">
        <v>24</v>
      </c>
      <c r="E6" s="29">
        <v>0</v>
      </c>
      <c r="F6" s="30">
        <v>719.91</v>
      </c>
      <c r="G6" s="30">
        <v>-22.52</v>
      </c>
      <c r="H6" s="31">
        <f t="shared" si="1"/>
        <v>3.1281687988776376E-2</v>
      </c>
      <c r="I6" s="31">
        <f t="shared" si="2"/>
        <v>0.26366859746357185</v>
      </c>
      <c r="J6" s="32">
        <f t="shared" si="5"/>
        <v>189.81766000000002</v>
      </c>
      <c r="K6" s="32">
        <f t="shared" si="3"/>
        <v>7.9090691666666677</v>
      </c>
      <c r="L6" s="29">
        <v>94</v>
      </c>
      <c r="M6" s="33">
        <f t="shared" si="6"/>
        <v>0.25531914893617019</v>
      </c>
      <c r="N6" s="29">
        <v>125</v>
      </c>
      <c r="O6" s="34">
        <f t="shared" ref="O6:P6" si="14">D6/7</f>
        <v>3.4285714285714284</v>
      </c>
      <c r="P6" s="34">
        <f t="shared" si="14"/>
        <v>0</v>
      </c>
      <c r="Q6" s="29">
        <f t="shared" si="8"/>
        <v>36</v>
      </c>
      <c r="R6" s="29"/>
      <c r="S6" s="35">
        <v>1.1816638370118799</v>
      </c>
      <c r="T6" s="28">
        <v>160</v>
      </c>
      <c r="U6" s="36" t="s">
        <v>33</v>
      </c>
      <c r="V6" s="37" t="s">
        <v>39</v>
      </c>
      <c r="W6" s="28">
        <v>4</v>
      </c>
      <c r="X6" s="38">
        <f t="shared" si="9"/>
        <v>0.16666666666666666</v>
      </c>
      <c r="Y6" s="39">
        <f t="shared" si="10"/>
        <v>3.7533333333333334</v>
      </c>
      <c r="Z6" s="28">
        <v>2</v>
      </c>
      <c r="AA6" s="28" t="s">
        <v>34</v>
      </c>
      <c r="AB6" s="40">
        <f t="shared" si="11"/>
        <v>-0.69</v>
      </c>
      <c r="AC6" s="41">
        <v>0.16800000000000001</v>
      </c>
      <c r="AD6" s="39">
        <f t="shared" si="12"/>
        <v>-5.5641599999999993</v>
      </c>
      <c r="AE6" s="39">
        <v>-6.56</v>
      </c>
      <c r="AF6" s="39">
        <v>-9.8575700000000008</v>
      </c>
      <c r="AG6" s="39">
        <v>0</v>
      </c>
    </row>
    <row r="7" spans="1:33" ht="15.75" customHeight="1" x14ac:dyDescent="0.2">
      <c r="A7" s="28" t="s">
        <v>40</v>
      </c>
      <c r="B7" s="28" t="s">
        <v>47</v>
      </c>
      <c r="C7" s="15">
        <f t="shared" si="4"/>
        <v>30.11</v>
      </c>
      <c r="D7" s="29">
        <v>18</v>
      </c>
      <c r="E7" s="29">
        <v>0</v>
      </c>
      <c r="F7" s="30">
        <v>541.98</v>
      </c>
      <c r="G7" s="30">
        <v>-4.45</v>
      </c>
      <c r="H7" s="31">
        <f t="shared" si="1"/>
        <v>8.2106350787851945E-3</v>
      </c>
      <c r="I7" s="31">
        <f t="shared" si="2"/>
        <v>0.28883652533303811</v>
      </c>
      <c r="J7" s="32">
        <f t="shared" si="5"/>
        <v>156.54362</v>
      </c>
      <c r="K7" s="32">
        <f t="shared" si="3"/>
        <v>8.6968677777777774</v>
      </c>
      <c r="L7" s="29">
        <v>86</v>
      </c>
      <c r="M7" s="33">
        <f t="shared" si="6"/>
        <v>0.20930232558139536</v>
      </c>
      <c r="N7" s="29">
        <v>104</v>
      </c>
      <c r="O7" s="34">
        <f t="shared" ref="O7:P7" si="15">D7/7</f>
        <v>2.5714285714285716</v>
      </c>
      <c r="P7" s="34">
        <f t="shared" si="15"/>
        <v>0</v>
      </c>
      <c r="Q7" s="29">
        <f t="shared" si="8"/>
        <v>40</v>
      </c>
      <c r="R7" s="29"/>
      <c r="S7" s="35">
        <v>1.43173431734317</v>
      </c>
      <c r="T7" s="28">
        <v>160</v>
      </c>
      <c r="U7" s="36" t="s">
        <v>33</v>
      </c>
      <c r="V7" s="37" t="s">
        <v>39</v>
      </c>
      <c r="W7" s="28">
        <v>1</v>
      </c>
      <c r="X7" s="38">
        <f t="shared" si="9"/>
        <v>5.5555555555555552E-2</v>
      </c>
      <c r="Y7" s="39">
        <f t="shared" si="10"/>
        <v>4.45</v>
      </c>
      <c r="Z7" s="28">
        <v>0</v>
      </c>
      <c r="AA7" s="28" t="s">
        <v>34</v>
      </c>
      <c r="AB7" s="40">
        <f t="shared" si="11"/>
        <v>-0.69</v>
      </c>
      <c r="AC7" s="41">
        <v>0.16800000000000001</v>
      </c>
      <c r="AD7" s="39">
        <f t="shared" si="12"/>
        <v>-4.1731199999999999</v>
      </c>
      <c r="AE7" s="39">
        <v>-6.56</v>
      </c>
      <c r="AF7" s="39">
        <v>-9.8575700000000008</v>
      </c>
      <c r="AG7" s="39">
        <v>0</v>
      </c>
    </row>
    <row r="8" spans="1:33" ht="15.75" customHeight="1" x14ac:dyDescent="0.2">
      <c r="A8" s="28" t="s">
        <v>42</v>
      </c>
      <c r="B8" s="28" t="s">
        <v>47</v>
      </c>
      <c r="C8" s="15">
        <f t="shared" si="4"/>
        <v>30.004615384615388</v>
      </c>
      <c r="D8" s="29">
        <v>13</v>
      </c>
      <c r="E8" s="29">
        <v>1</v>
      </c>
      <c r="F8" s="30">
        <v>390.06000000000006</v>
      </c>
      <c r="G8" s="30">
        <v>-0.22000000000000003</v>
      </c>
      <c r="H8" s="31">
        <f t="shared" si="1"/>
        <v>5.6401579244218833E-4</v>
      </c>
      <c r="I8" s="31">
        <f t="shared" si="2"/>
        <v>0.29446003178998104</v>
      </c>
      <c r="J8" s="32">
        <f t="shared" si="5"/>
        <v>114.85708000000001</v>
      </c>
      <c r="K8" s="32">
        <f t="shared" si="3"/>
        <v>8.8351600000000001</v>
      </c>
      <c r="L8" s="29">
        <v>65</v>
      </c>
      <c r="M8" s="33">
        <f t="shared" si="6"/>
        <v>0.2</v>
      </c>
      <c r="N8" s="29">
        <v>90</v>
      </c>
      <c r="O8" s="34">
        <f t="shared" ref="O8:P8" si="16">D8/7</f>
        <v>1.8571428571428572</v>
      </c>
      <c r="P8" s="34">
        <f t="shared" si="16"/>
        <v>0.14285714285714285</v>
      </c>
      <c r="Q8" s="29">
        <f t="shared" si="8"/>
        <v>45</v>
      </c>
      <c r="R8" s="29"/>
      <c r="S8" s="35">
        <v>1.06393861892583</v>
      </c>
      <c r="T8" s="28">
        <v>160</v>
      </c>
      <c r="U8" s="36">
        <v>72</v>
      </c>
      <c r="V8" s="37" t="s">
        <v>659</v>
      </c>
      <c r="W8" s="28">
        <v>0</v>
      </c>
      <c r="X8" s="38">
        <f t="shared" si="9"/>
        <v>0</v>
      </c>
      <c r="Y8" s="39">
        <f t="shared" si="10"/>
        <v>0</v>
      </c>
      <c r="Z8" s="28">
        <v>0</v>
      </c>
      <c r="AA8" s="28" t="s">
        <v>34</v>
      </c>
      <c r="AB8" s="40">
        <f t="shared" si="11"/>
        <v>-0.69</v>
      </c>
      <c r="AC8" s="41">
        <v>0.16800000000000001</v>
      </c>
      <c r="AD8" s="39">
        <f t="shared" si="12"/>
        <v>-3.0139199999999997</v>
      </c>
      <c r="AE8" s="39">
        <v>-6.56</v>
      </c>
      <c r="AF8" s="39">
        <v>-9.86</v>
      </c>
      <c r="AG8" s="39">
        <v>0</v>
      </c>
    </row>
    <row r="9" spans="1:33" ht="15.75" customHeight="1" x14ac:dyDescent="0.2">
      <c r="A9" s="28" t="s">
        <v>44</v>
      </c>
      <c r="B9" s="28" t="s">
        <v>660</v>
      </c>
      <c r="C9" s="15">
        <f t="shared" si="4"/>
        <v>30.234800000000011</v>
      </c>
      <c r="D9" s="29">
        <v>25</v>
      </c>
      <c r="E9" s="29">
        <v>1</v>
      </c>
      <c r="F9" s="30">
        <v>755.87000000000023</v>
      </c>
      <c r="G9" s="30">
        <v>-7.0000000000000007E-2</v>
      </c>
      <c r="H9" s="31">
        <f t="shared" si="1"/>
        <v>9.2608517337637402E-5</v>
      </c>
      <c r="I9" s="31">
        <f t="shared" si="2"/>
        <v>0.29138178522761854</v>
      </c>
      <c r="J9" s="32">
        <f t="shared" si="5"/>
        <v>220.24675000000008</v>
      </c>
      <c r="K9" s="32">
        <f t="shared" si="3"/>
        <v>8.8098700000000036</v>
      </c>
      <c r="L9" s="29">
        <v>48</v>
      </c>
      <c r="M9" s="33">
        <f t="shared" si="6"/>
        <v>0.52083333333333337</v>
      </c>
      <c r="N9" s="29">
        <v>65</v>
      </c>
      <c r="O9" s="34">
        <f t="shared" ref="O9:P9" si="17">D9/7</f>
        <v>3.5714285714285716</v>
      </c>
      <c r="P9" s="34">
        <f t="shared" si="17"/>
        <v>0.14285714285714285</v>
      </c>
      <c r="Q9" s="29">
        <f t="shared" si="8"/>
        <v>17</v>
      </c>
      <c r="R9" s="29"/>
      <c r="S9" s="35">
        <v>1.23119777158774</v>
      </c>
      <c r="T9" s="28">
        <v>160</v>
      </c>
      <c r="U9" s="36">
        <v>72</v>
      </c>
      <c r="V9" s="37" t="s">
        <v>661</v>
      </c>
      <c r="W9" s="28">
        <v>0</v>
      </c>
      <c r="X9" s="38">
        <f t="shared" si="9"/>
        <v>0</v>
      </c>
      <c r="Y9" s="39">
        <f t="shared" si="10"/>
        <v>0</v>
      </c>
      <c r="Z9" s="28">
        <v>0</v>
      </c>
      <c r="AA9" s="28" t="s">
        <v>34</v>
      </c>
      <c r="AB9" s="40">
        <f t="shared" si="11"/>
        <v>-0.69</v>
      </c>
      <c r="AC9" s="41">
        <v>0.16800000000000001</v>
      </c>
      <c r="AD9" s="39">
        <f t="shared" si="12"/>
        <v>-5.7959999999999994</v>
      </c>
      <c r="AE9" s="39">
        <v>-6.56</v>
      </c>
      <c r="AF9" s="39">
        <v>-10.09507</v>
      </c>
      <c r="AG9" s="39">
        <v>0</v>
      </c>
    </row>
    <row r="10" spans="1:33" ht="15.75" customHeight="1" x14ac:dyDescent="0.2">
      <c r="A10" s="28" t="s">
        <v>46</v>
      </c>
      <c r="B10" s="28" t="s">
        <v>47</v>
      </c>
      <c r="C10" s="15">
        <f t="shared" si="4"/>
        <v>30.578888888888894</v>
      </c>
      <c r="D10" s="29">
        <v>18</v>
      </c>
      <c r="E10" s="29">
        <v>0</v>
      </c>
      <c r="F10" s="30">
        <v>550.42000000000007</v>
      </c>
      <c r="G10" s="30">
        <v>-0.47000000000000003</v>
      </c>
      <c r="H10" s="31">
        <f t="shared" si="1"/>
        <v>8.5389339050179853E-4</v>
      </c>
      <c r="I10" s="31">
        <f t="shared" si="2"/>
        <v>0.29690530867337672</v>
      </c>
      <c r="J10" s="32">
        <f t="shared" si="5"/>
        <v>163.42262000000002</v>
      </c>
      <c r="K10" s="32">
        <f t="shared" si="3"/>
        <v>9.0790344444444457</v>
      </c>
      <c r="L10" s="29">
        <v>76</v>
      </c>
      <c r="M10" s="33">
        <f t="shared" si="6"/>
        <v>0.23684210526315788</v>
      </c>
      <c r="N10" s="29">
        <v>44</v>
      </c>
      <c r="O10" s="34">
        <f t="shared" ref="O10:P10" si="18">D10/7</f>
        <v>2.5714285714285716</v>
      </c>
      <c r="P10" s="34">
        <f t="shared" si="18"/>
        <v>0</v>
      </c>
      <c r="Q10" s="29">
        <f t="shared" si="8"/>
        <v>17</v>
      </c>
      <c r="R10" s="29"/>
      <c r="S10" s="35">
        <v>1.3934681181959501</v>
      </c>
      <c r="T10" s="28">
        <v>160</v>
      </c>
      <c r="U10" s="36">
        <v>72</v>
      </c>
      <c r="V10" s="37" t="s">
        <v>662</v>
      </c>
      <c r="W10" s="28">
        <v>0</v>
      </c>
      <c r="X10" s="38">
        <f t="shared" si="9"/>
        <v>0</v>
      </c>
      <c r="Y10" s="39">
        <f t="shared" si="10"/>
        <v>0</v>
      </c>
      <c r="Z10" s="28">
        <v>0</v>
      </c>
      <c r="AA10" s="28" t="s">
        <v>34</v>
      </c>
      <c r="AB10" s="40">
        <f t="shared" si="11"/>
        <v>-0.69</v>
      </c>
      <c r="AC10" s="41">
        <v>0.16800000000000001</v>
      </c>
      <c r="AD10" s="39">
        <f t="shared" si="12"/>
        <v>-4.1731199999999999</v>
      </c>
      <c r="AE10" s="39">
        <v>-6.56</v>
      </c>
      <c r="AF10" s="39">
        <v>-10.09507</v>
      </c>
      <c r="AG10" s="39">
        <v>0</v>
      </c>
    </row>
    <row r="11" spans="1:33" ht="15.75" customHeight="1" x14ac:dyDescent="0.2">
      <c r="A11" s="28" t="s">
        <v>48</v>
      </c>
      <c r="B11" s="28" t="s">
        <v>663</v>
      </c>
      <c r="C11" s="15">
        <f t="shared" si="4"/>
        <v>31.00764705882353</v>
      </c>
      <c r="D11" s="29">
        <v>17</v>
      </c>
      <c r="E11" s="29">
        <v>0</v>
      </c>
      <c r="F11" s="30">
        <v>527.13</v>
      </c>
      <c r="G11" s="30">
        <v>-0.30000000000000004</v>
      </c>
      <c r="H11" s="31">
        <f t="shared" si="1"/>
        <v>5.6911957202208192E-4</v>
      </c>
      <c r="I11" s="31">
        <f t="shared" si="2"/>
        <v>0.30482619088270452</v>
      </c>
      <c r="J11" s="32">
        <f t="shared" si="5"/>
        <v>160.68303000000003</v>
      </c>
      <c r="K11" s="32">
        <f t="shared" si="3"/>
        <v>9.4519429411764726</v>
      </c>
      <c r="L11" s="29">
        <v>56</v>
      </c>
      <c r="M11" s="33">
        <f t="shared" si="6"/>
        <v>0.30357142857142855</v>
      </c>
      <c r="N11" s="29">
        <v>29</v>
      </c>
      <c r="O11" s="34">
        <f t="shared" ref="O11:P11" si="19">D11/7</f>
        <v>2.4285714285714284</v>
      </c>
      <c r="P11" s="34">
        <f t="shared" si="19"/>
        <v>0</v>
      </c>
      <c r="Q11" s="29">
        <f t="shared" si="8"/>
        <v>11</v>
      </c>
      <c r="R11" s="29"/>
      <c r="S11" s="35">
        <v>1.4853195164075901</v>
      </c>
      <c r="T11" s="28">
        <v>160</v>
      </c>
      <c r="U11" s="36">
        <v>72</v>
      </c>
      <c r="V11" s="37" t="s">
        <v>662</v>
      </c>
      <c r="W11" s="28">
        <v>0</v>
      </c>
      <c r="X11" s="38">
        <f t="shared" si="9"/>
        <v>0</v>
      </c>
      <c r="Y11" s="39">
        <f t="shared" si="10"/>
        <v>0</v>
      </c>
      <c r="Z11" s="28">
        <v>0</v>
      </c>
      <c r="AA11" s="28" t="s">
        <v>34</v>
      </c>
      <c r="AB11" s="40">
        <f t="shared" si="11"/>
        <v>-0.69</v>
      </c>
      <c r="AC11" s="41">
        <v>0.16800000000000001</v>
      </c>
      <c r="AD11" s="39">
        <f t="shared" si="12"/>
        <v>-3.9412799999999999</v>
      </c>
      <c r="AE11" s="39">
        <v>-6.56</v>
      </c>
      <c r="AF11" s="39">
        <v>-10.09507</v>
      </c>
      <c r="AG11" s="39">
        <v>0</v>
      </c>
    </row>
    <row r="12" spans="1:33" ht="15.75" customHeight="1" x14ac:dyDescent="0.2">
      <c r="A12" s="28" t="s">
        <v>49</v>
      </c>
      <c r="B12" s="28" t="s">
        <v>652</v>
      </c>
      <c r="C12" s="15">
        <f t="shared" si="4"/>
        <v>31.552</v>
      </c>
      <c r="D12" s="29">
        <v>5</v>
      </c>
      <c r="E12" s="29">
        <v>0</v>
      </c>
      <c r="F12" s="30">
        <v>157.76</v>
      </c>
      <c r="G12" s="30">
        <v>-0.08</v>
      </c>
      <c r="H12" s="31">
        <f t="shared" si="1"/>
        <v>5.0709939148073022E-4</v>
      </c>
      <c r="I12" s="31">
        <f t="shared" si="2"/>
        <v>0.31428403904665303</v>
      </c>
      <c r="J12" s="32">
        <f t="shared" si="5"/>
        <v>49.581449999999975</v>
      </c>
      <c r="K12" s="32">
        <f t="shared" si="3"/>
        <v>9.9162899999999947</v>
      </c>
      <c r="L12" s="29">
        <v>39</v>
      </c>
      <c r="M12" s="33">
        <f t="shared" si="6"/>
        <v>0.12820512820512819</v>
      </c>
      <c r="N12" s="29">
        <v>20</v>
      </c>
      <c r="O12" s="34">
        <f t="shared" ref="O12:P12" si="20">D12/7</f>
        <v>0.7142857142857143</v>
      </c>
      <c r="P12" s="34">
        <f t="shared" si="20"/>
        <v>0</v>
      </c>
      <c r="Q12" s="29">
        <f t="shared" si="8"/>
        <v>28</v>
      </c>
      <c r="R12" s="29"/>
      <c r="S12" s="35">
        <v>1.6247582205029001</v>
      </c>
      <c r="T12" s="28">
        <v>160</v>
      </c>
      <c r="U12" s="36">
        <v>72</v>
      </c>
      <c r="V12" s="37" t="s">
        <v>664</v>
      </c>
      <c r="W12" s="28">
        <v>0</v>
      </c>
      <c r="X12" s="38">
        <f t="shared" si="9"/>
        <v>0</v>
      </c>
      <c r="Y12" s="39">
        <f t="shared" si="10"/>
        <v>0</v>
      </c>
      <c r="Z12" s="28">
        <v>0</v>
      </c>
      <c r="AA12" s="28" t="s">
        <v>34</v>
      </c>
      <c r="AB12" s="40">
        <f t="shared" si="11"/>
        <v>-0.69</v>
      </c>
      <c r="AC12" s="41">
        <v>0.16800000000000001</v>
      </c>
      <c r="AD12" s="39">
        <f t="shared" si="12"/>
        <v>-1.1592</v>
      </c>
      <c r="AE12" s="39">
        <v>-6.56</v>
      </c>
      <c r="AF12" s="39">
        <v>-10.09507</v>
      </c>
      <c r="AG12" s="39">
        <v>0</v>
      </c>
    </row>
    <row r="13" spans="1:33" ht="15.75" customHeight="1" x14ac:dyDescent="0.2">
      <c r="A13" s="28" t="s">
        <v>50</v>
      </c>
      <c r="B13" s="28" t="s">
        <v>47</v>
      </c>
      <c r="C13" s="15">
        <f t="shared" si="4"/>
        <v>31.49</v>
      </c>
      <c r="D13" s="29">
        <v>6</v>
      </c>
      <c r="E13" s="29">
        <v>0</v>
      </c>
      <c r="F13" s="32">
        <v>188.94</v>
      </c>
      <c r="G13" s="30">
        <v>0</v>
      </c>
      <c r="H13" s="31">
        <f t="shared" si="1"/>
        <v>0</v>
      </c>
      <c r="I13" s="31">
        <f t="shared" si="2"/>
        <v>0.30976786281359159</v>
      </c>
      <c r="J13" s="32">
        <f t="shared" si="5"/>
        <v>58.527539999999995</v>
      </c>
      <c r="K13" s="32">
        <f t="shared" si="3"/>
        <v>9.7545899999999985</v>
      </c>
      <c r="L13" s="29">
        <v>25</v>
      </c>
      <c r="M13" s="33">
        <f t="shared" si="6"/>
        <v>0.24</v>
      </c>
      <c r="N13" s="29">
        <v>15</v>
      </c>
      <c r="O13" s="34">
        <f t="shared" ref="O13:P13" si="21">D13/7</f>
        <v>0.8571428571428571</v>
      </c>
      <c r="P13" s="34">
        <f t="shared" si="21"/>
        <v>0</v>
      </c>
      <c r="Q13" s="29">
        <f t="shared" si="8"/>
        <v>17</v>
      </c>
      <c r="R13" s="29"/>
      <c r="S13" s="35">
        <v>1.65130260521042</v>
      </c>
      <c r="T13" s="28">
        <v>160</v>
      </c>
      <c r="U13" s="36">
        <v>72</v>
      </c>
      <c r="V13" s="37" t="s">
        <v>665</v>
      </c>
      <c r="W13" s="28">
        <v>0</v>
      </c>
      <c r="X13" s="38">
        <f t="shared" si="9"/>
        <v>0</v>
      </c>
      <c r="Y13" s="39">
        <f t="shared" si="10"/>
        <v>0</v>
      </c>
      <c r="Z13" s="28">
        <v>0</v>
      </c>
      <c r="AA13" s="28" t="s">
        <v>34</v>
      </c>
      <c r="AB13" s="40">
        <f t="shared" si="11"/>
        <v>-0.69</v>
      </c>
      <c r="AC13" s="41">
        <v>0.16800000000000001</v>
      </c>
      <c r="AD13" s="39">
        <f t="shared" si="12"/>
        <v>-1.3910399999999998</v>
      </c>
      <c r="AE13" s="39">
        <v>-6.56</v>
      </c>
      <c r="AF13" s="39">
        <v>-10.22007</v>
      </c>
      <c r="AG13" s="39">
        <v>0</v>
      </c>
    </row>
    <row r="14" spans="1:33" ht="15.75" customHeight="1" x14ac:dyDescent="0.2">
      <c r="A14" s="28" t="s">
        <v>51</v>
      </c>
      <c r="B14" s="28" t="s">
        <v>52</v>
      </c>
      <c r="C14" s="15">
        <f t="shared" si="4"/>
        <v>30.990000000000006</v>
      </c>
      <c r="D14" s="29">
        <v>13</v>
      </c>
      <c r="E14" s="29">
        <v>0</v>
      </c>
      <c r="F14" s="32">
        <v>402.87000000000006</v>
      </c>
      <c r="G14" s="30">
        <v>-0.08</v>
      </c>
      <c r="H14" s="31">
        <f t="shared" si="1"/>
        <v>1.9857522277657802E-4</v>
      </c>
      <c r="I14" s="31">
        <f t="shared" si="2"/>
        <v>0.30085305433514553</v>
      </c>
      <c r="J14" s="32">
        <f t="shared" si="5"/>
        <v>121.20467000000009</v>
      </c>
      <c r="K14" s="32">
        <f t="shared" si="3"/>
        <v>9.3234361538461616</v>
      </c>
      <c r="L14" s="29">
        <v>47</v>
      </c>
      <c r="M14" s="33">
        <f t="shared" si="6"/>
        <v>0.27659574468085107</v>
      </c>
      <c r="N14" s="29">
        <v>3</v>
      </c>
      <c r="O14" s="34">
        <f t="shared" ref="O14:P14" si="22">D14/7</f>
        <v>1.8571428571428572</v>
      </c>
      <c r="P14" s="34">
        <f t="shared" si="22"/>
        <v>0</v>
      </c>
      <c r="Q14" s="29">
        <f t="shared" si="8"/>
        <v>1</v>
      </c>
      <c r="R14" s="29"/>
      <c r="S14" s="35">
        <v>1.93969849246231</v>
      </c>
      <c r="T14" s="28">
        <v>160</v>
      </c>
      <c r="U14" s="36">
        <v>72</v>
      </c>
      <c r="V14" s="37" t="s">
        <v>665</v>
      </c>
      <c r="W14" s="28">
        <v>0</v>
      </c>
      <c r="X14" s="38">
        <f t="shared" si="9"/>
        <v>0</v>
      </c>
      <c r="Y14" s="39">
        <f t="shared" si="10"/>
        <v>0</v>
      </c>
      <c r="Z14" s="28">
        <v>0</v>
      </c>
      <c r="AA14" s="28" t="s">
        <v>34</v>
      </c>
      <c r="AB14" s="40">
        <f t="shared" si="11"/>
        <v>-0.69</v>
      </c>
      <c r="AC14" s="41">
        <v>0.16800000000000001</v>
      </c>
      <c r="AD14" s="39">
        <f t="shared" si="12"/>
        <v>-3.0139199999999997</v>
      </c>
      <c r="AE14" s="39">
        <v>-6.56</v>
      </c>
      <c r="AF14" s="39">
        <v>-10.22007</v>
      </c>
      <c r="AG14" s="39">
        <v>0</v>
      </c>
    </row>
    <row r="15" spans="1:33" ht="15.75" customHeight="1" x14ac:dyDescent="0.2">
      <c r="A15" s="28" t="s">
        <v>53</v>
      </c>
      <c r="B15" s="28"/>
      <c r="C15" s="15">
        <f t="shared" si="4"/>
        <v>30.99</v>
      </c>
      <c r="D15" s="29">
        <v>2</v>
      </c>
      <c r="E15" s="29">
        <v>0</v>
      </c>
      <c r="F15" s="32">
        <v>61.98</v>
      </c>
      <c r="G15" s="30">
        <v>0</v>
      </c>
      <c r="H15" s="31">
        <f t="shared" si="1"/>
        <v>0</v>
      </c>
      <c r="I15" s="31">
        <f t="shared" si="2"/>
        <v>0.30105162955792186</v>
      </c>
      <c r="J15" s="32">
        <f t="shared" si="5"/>
        <v>18.659179999999996</v>
      </c>
      <c r="K15" s="32">
        <f t="shared" si="3"/>
        <v>9.3295899999999978</v>
      </c>
      <c r="L15" s="29">
        <v>5</v>
      </c>
      <c r="M15" s="33">
        <f t="shared" si="6"/>
        <v>0.4</v>
      </c>
      <c r="N15" s="29">
        <v>0</v>
      </c>
      <c r="O15" s="34">
        <f t="shared" ref="O15:P15" si="23">D15/7</f>
        <v>0.2857142857142857</v>
      </c>
      <c r="P15" s="34">
        <f t="shared" si="23"/>
        <v>0</v>
      </c>
      <c r="Q15" s="29">
        <f t="shared" si="8"/>
        <v>0</v>
      </c>
      <c r="R15" s="29"/>
      <c r="S15" s="35">
        <v>2.14942528735632</v>
      </c>
      <c r="T15" s="28">
        <v>552</v>
      </c>
      <c r="U15" s="36">
        <v>72</v>
      </c>
      <c r="V15" s="37" t="s">
        <v>666</v>
      </c>
      <c r="W15" s="28">
        <v>0</v>
      </c>
      <c r="X15" s="38">
        <f t="shared" si="9"/>
        <v>0</v>
      </c>
      <c r="Y15" s="39">
        <f t="shared" si="10"/>
        <v>0</v>
      </c>
      <c r="Z15" s="28">
        <v>0</v>
      </c>
      <c r="AA15" s="28" t="s">
        <v>34</v>
      </c>
      <c r="AB15" s="40">
        <f t="shared" si="11"/>
        <v>-0.69</v>
      </c>
      <c r="AC15" s="41">
        <v>0.16800000000000001</v>
      </c>
      <c r="AD15" s="39">
        <f t="shared" si="12"/>
        <v>-0.46367999999999998</v>
      </c>
      <c r="AE15" s="39">
        <v>-6.56</v>
      </c>
      <c r="AF15" s="39">
        <v>-10.22007</v>
      </c>
      <c r="AG15" s="39">
        <v>0</v>
      </c>
    </row>
    <row r="16" spans="1:33" ht="15.75" customHeight="1" x14ac:dyDescent="0.2">
      <c r="A16" s="28" t="s">
        <v>54</v>
      </c>
      <c r="B16" s="28" t="s">
        <v>667</v>
      </c>
      <c r="C16" s="15">
        <f t="shared" si="4"/>
        <v>30.99</v>
      </c>
      <c r="D16" s="29">
        <v>1</v>
      </c>
      <c r="E16" s="29">
        <v>0</v>
      </c>
      <c r="F16" s="32">
        <v>30.99</v>
      </c>
      <c r="G16" s="30">
        <v>0</v>
      </c>
      <c r="H16" s="31">
        <f t="shared" si="1"/>
        <v>0</v>
      </c>
      <c r="I16" s="31">
        <f t="shared" si="2"/>
        <v>0.30105162955792186</v>
      </c>
      <c r="J16" s="32">
        <f t="shared" si="5"/>
        <v>9.3295899999999978</v>
      </c>
      <c r="K16" s="32">
        <f t="shared" si="3"/>
        <v>9.3295899999999978</v>
      </c>
      <c r="L16" s="29">
        <v>0</v>
      </c>
      <c r="M16" s="33" t="str">
        <f t="shared" si="6"/>
        <v>-</v>
      </c>
      <c r="N16" s="29">
        <v>71</v>
      </c>
      <c r="O16" s="34">
        <f t="shared" ref="O16:P16" si="24">D16/7</f>
        <v>0.14285714285714285</v>
      </c>
      <c r="P16" s="34">
        <f t="shared" si="24"/>
        <v>0</v>
      </c>
      <c r="Q16" s="29">
        <f t="shared" si="8"/>
        <v>497</v>
      </c>
      <c r="R16" s="29"/>
      <c r="S16" s="35">
        <v>1.9002624671916</v>
      </c>
      <c r="T16" s="28">
        <v>480</v>
      </c>
      <c r="U16" s="36">
        <v>88</v>
      </c>
      <c r="V16" s="37" t="s">
        <v>668</v>
      </c>
      <c r="W16" s="28">
        <v>0</v>
      </c>
      <c r="X16" s="38">
        <f t="shared" si="9"/>
        <v>0</v>
      </c>
      <c r="Y16" s="39">
        <f t="shared" si="10"/>
        <v>0</v>
      </c>
      <c r="Z16" s="28">
        <v>0</v>
      </c>
      <c r="AA16" s="28" t="s">
        <v>34</v>
      </c>
      <c r="AB16" s="40">
        <f t="shared" si="11"/>
        <v>-0.69</v>
      </c>
      <c r="AC16" s="41">
        <v>0.16800000000000001</v>
      </c>
      <c r="AD16" s="39">
        <f t="shared" si="12"/>
        <v>-0.23183999999999999</v>
      </c>
      <c r="AE16" s="39">
        <v>-6.56</v>
      </c>
      <c r="AF16" s="39">
        <v>-10.22007</v>
      </c>
      <c r="AG16" s="39">
        <v>0</v>
      </c>
    </row>
    <row r="17" spans="1:33" ht="15.75" customHeight="1" x14ac:dyDescent="0.2">
      <c r="A17" s="28" t="s">
        <v>55</v>
      </c>
      <c r="B17" s="28" t="s">
        <v>669</v>
      </c>
      <c r="C17" s="15">
        <f t="shared" si="4"/>
        <v>31.178095238095246</v>
      </c>
      <c r="D17" s="29">
        <v>21</v>
      </c>
      <c r="E17" s="29">
        <v>0</v>
      </c>
      <c r="F17" s="32">
        <v>654.74000000000012</v>
      </c>
      <c r="G17" s="30">
        <v>-0.08</v>
      </c>
      <c r="H17" s="31">
        <f t="shared" si="1"/>
        <v>1.2218590585575951E-4</v>
      </c>
      <c r="I17" s="31">
        <f t="shared" si="2"/>
        <v>0.31103444115221313</v>
      </c>
      <c r="J17" s="32">
        <f t="shared" si="5"/>
        <v>203.64669000000006</v>
      </c>
      <c r="K17" s="32">
        <f t="shared" si="3"/>
        <v>9.6974614285714313</v>
      </c>
      <c r="L17" s="29">
        <v>43</v>
      </c>
      <c r="M17" s="33">
        <f t="shared" si="6"/>
        <v>0.48837209302325579</v>
      </c>
      <c r="N17" s="29">
        <v>51</v>
      </c>
      <c r="O17" s="34">
        <f t="shared" ref="O17:P17" si="25">D17/7</f>
        <v>3</v>
      </c>
      <c r="P17" s="34">
        <f t="shared" si="25"/>
        <v>0</v>
      </c>
      <c r="Q17" s="29">
        <f t="shared" si="8"/>
        <v>17</v>
      </c>
      <c r="R17" s="29"/>
      <c r="S17" s="35">
        <v>2.1301775147928899</v>
      </c>
      <c r="T17" s="28">
        <v>480</v>
      </c>
      <c r="U17" s="36">
        <v>88</v>
      </c>
      <c r="V17" s="37" t="s">
        <v>670</v>
      </c>
      <c r="W17" s="28">
        <v>0</v>
      </c>
      <c r="X17" s="38">
        <f t="shared" si="9"/>
        <v>0</v>
      </c>
      <c r="Y17" s="39">
        <f t="shared" si="10"/>
        <v>0</v>
      </c>
      <c r="Z17" s="28">
        <v>0</v>
      </c>
      <c r="AA17" s="28" t="s">
        <v>34</v>
      </c>
      <c r="AB17" s="40">
        <f t="shared" si="11"/>
        <v>-0.69</v>
      </c>
      <c r="AC17" s="41">
        <v>0.16800000000000001</v>
      </c>
      <c r="AD17" s="39">
        <f t="shared" si="12"/>
        <v>-4.8686400000000001</v>
      </c>
      <c r="AE17" s="39">
        <v>-6.56</v>
      </c>
      <c r="AF17" s="39">
        <v>-10.00827</v>
      </c>
      <c r="AG17" s="39">
        <v>0</v>
      </c>
    </row>
    <row r="18" spans="1:33" ht="15.75" customHeight="1" x14ac:dyDescent="0.2">
      <c r="A18" s="28" t="s">
        <v>56</v>
      </c>
      <c r="B18" s="28" t="s">
        <v>671</v>
      </c>
      <c r="C18" s="15">
        <f t="shared" si="4"/>
        <v>31.686785714285715</v>
      </c>
      <c r="D18" s="29">
        <v>28</v>
      </c>
      <c r="E18" s="29">
        <v>0</v>
      </c>
      <c r="F18" s="32">
        <v>887.23</v>
      </c>
      <c r="G18" s="30">
        <v>0</v>
      </c>
      <c r="H18" s="31">
        <f t="shared" si="1"/>
        <v>0</v>
      </c>
      <c r="I18" s="31">
        <f t="shared" si="2"/>
        <v>0.31980706243026047</v>
      </c>
      <c r="J18" s="32">
        <f t="shared" si="5"/>
        <v>283.74241999999998</v>
      </c>
      <c r="K18" s="32">
        <f t="shared" si="3"/>
        <v>10.133657857142856</v>
      </c>
      <c r="L18" s="29">
        <v>84</v>
      </c>
      <c r="M18" s="33">
        <f t="shared" si="6"/>
        <v>0.33333333333333331</v>
      </c>
      <c r="N18" s="29">
        <v>22</v>
      </c>
      <c r="O18" s="34">
        <f t="shared" ref="O18:P18" si="26">D18/7</f>
        <v>4</v>
      </c>
      <c r="P18" s="34">
        <f t="shared" si="26"/>
        <v>0</v>
      </c>
      <c r="Q18" s="29">
        <f t="shared" si="8"/>
        <v>5</v>
      </c>
      <c r="R18" s="29"/>
      <c r="S18" s="35">
        <v>3.0322580645161201</v>
      </c>
      <c r="T18" s="28">
        <v>480</v>
      </c>
      <c r="U18" s="36">
        <v>88</v>
      </c>
      <c r="V18" s="37" t="s">
        <v>672</v>
      </c>
      <c r="W18" s="28">
        <v>0</v>
      </c>
      <c r="X18" s="38">
        <f t="shared" si="9"/>
        <v>0</v>
      </c>
      <c r="Y18" s="39">
        <f t="shared" si="10"/>
        <v>0</v>
      </c>
      <c r="Z18" s="28">
        <v>0</v>
      </c>
      <c r="AA18" s="28" t="s">
        <v>34</v>
      </c>
      <c r="AB18" s="40">
        <f t="shared" si="11"/>
        <v>-0.69</v>
      </c>
      <c r="AC18" s="41">
        <v>0.16800000000000001</v>
      </c>
      <c r="AD18" s="39">
        <f t="shared" si="12"/>
        <v>-6.4915199999999995</v>
      </c>
      <c r="AE18" s="39">
        <v>-6.56</v>
      </c>
      <c r="AF18" s="39">
        <v>-10.00827</v>
      </c>
      <c r="AG18" s="39">
        <v>0</v>
      </c>
    </row>
    <row r="19" spans="1:33" ht="15.75" customHeight="1" x14ac:dyDescent="0.2">
      <c r="A19" s="28" t="s">
        <v>57</v>
      </c>
      <c r="B19" s="28" t="s">
        <v>52</v>
      </c>
      <c r="C19" s="15">
        <f t="shared" si="4"/>
        <v>34.542352941176475</v>
      </c>
      <c r="D19" s="29">
        <v>17</v>
      </c>
      <c r="E19" s="29">
        <v>1</v>
      </c>
      <c r="F19" s="32">
        <v>587.22</v>
      </c>
      <c r="G19" s="30">
        <v>0</v>
      </c>
      <c r="H19" s="31">
        <f t="shared" si="1"/>
        <v>0</v>
      </c>
      <c r="I19" s="31">
        <f t="shared" si="2"/>
        <v>0.35056171537072989</v>
      </c>
      <c r="J19" s="32">
        <f t="shared" si="5"/>
        <v>205.85685050000001</v>
      </c>
      <c r="K19" s="32">
        <f t="shared" si="3"/>
        <v>12.1092265</v>
      </c>
      <c r="L19" s="29">
        <v>48</v>
      </c>
      <c r="M19" s="33">
        <f t="shared" si="6"/>
        <v>0.35416666666666669</v>
      </c>
      <c r="N19" s="29">
        <v>6</v>
      </c>
      <c r="O19" s="34">
        <f t="shared" ref="O19:P19" si="27">D19/7</f>
        <v>2.4285714285714284</v>
      </c>
      <c r="P19" s="34">
        <f t="shared" si="27"/>
        <v>0.14285714285714285</v>
      </c>
      <c r="Q19" s="29">
        <f t="shared" si="8"/>
        <v>2</v>
      </c>
      <c r="R19" s="29"/>
      <c r="S19" s="35">
        <v>3.76</v>
      </c>
      <c r="T19" s="28">
        <v>480</v>
      </c>
      <c r="U19" s="36">
        <v>88</v>
      </c>
      <c r="V19" s="37" t="s">
        <v>673</v>
      </c>
      <c r="W19" s="28">
        <v>0</v>
      </c>
      <c r="X19" s="38">
        <f t="shared" si="9"/>
        <v>0</v>
      </c>
      <c r="Y19" s="39">
        <f t="shared" si="10"/>
        <v>0</v>
      </c>
      <c r="Z19" s="28">
        <v>0</v>
      </c>
      <c r="AA19" s="28" t="s">
        <v>34</v>
      </c>
      <c r="AB19" s="40">
        <f t="shared" si="11"/>
        <v>-0.69</v>
      </c>
      <c r="AC19" s="41">
        <v>0.16800000000000001</v>
      </c>
      <c r="AD19" s="39">
        <f t="shared" si="12"/>
        <v>-3.9412799999999999</v>
      </c>
      <c r="AE19" s="39">
        <v>-6.56</v>
      </c>
      <c r="AF19" s="39">
        <v>-10.4599335</v>
      </c>
      <c r="AG19" s="39">
        <v>0</v>
      </c>
    </row>
    <row r="20" spans="1:33" ht="15.75" customHeight="1" x14ac:dyDescent="0.2">
      <c r="A20" s="28" t="s">
        <v>58</v>
      </c>
      <c r="B20" s="28" t="s">
        <v>674</v>
      </c>
      <c r="C20" s="15">
        <f t="shared" si="4"/>
        <v>32.99</v>
      </c>
      <c r="D20" s="29">
        <v>5</v>
      </c>
      <c r="E20" s="29">
        <v>0</v>
      </c>
      <c r="F20" s="32">
        <v>164.95000000000002</v>
      </c>
      <c r="G20" s="30">
        <v>-0.08</v>
      </c>
      <c r="H20" s="31">
        <f t="shared" si="1"/>
        <v>4.8499545316762653E-4</v>
      </c>
      <c r="I20" s="31">
        <f t="shared" si="2"/>
        <v>0.32657552288572295</v>
      </c>
      <c r="J20" s="32">
        <f t="shared" si="5"/>
        <v>53.868632500000004</v>
      </c>
      <c r="K20" s="32">
        <f t="shared" si="3"/>
        <v>10.7737265</v>
      </c>
      <c r="L20" s="29">
        <v>14</v>
      </c>
      <c r="M20" s="33">
        <f t="shared" si="6"/>
        <v>0.35714285714285715</v>
      </c>
      <c r="N20" s="29">
        <v>0</v>
      </c>
      <c r="O20" s="34">
        <f t="shared" ref="O20:P20" si="28">D20/7</f>
        <v>0.7142857142857143</v>
      </c>
      <c r="P20" s="34">
        <f t="shared" si="28"/>
        <v>0</v>
      </c>
      <c r="Q20" s="29">
        <f t="shared" si="8"/>
        <v>0</v>
      </c>
      <c r="R20" s="29"/>
      <c r="S20" s="35" t="e">
        <v>#N/A</v>
      </c>
      <c r="T20" s="28">
        <v>480</v>
      </c>
      <c r="U20" s="36">
        <v>88</v>
      </c>
      <c r="V20" s="37" t="s">
        <v>673</v>
      </c>
      <c r="W20" s="28">
        <v>0</v>
      </c>
      <c r="X20" s="38">
        <f t="shared" si="9"/>
        <v>0</v>
      </c>
      <c r="Y20" s="39">
        <f t="shared" si="10"/>
        <v>0</v>
      </c>
      <c r="Z20" s="28">
        <v>0</v>
      </c>
      <c r="AA20" s="28" t="s">
        <v>34</v>
      </c>
      <c r="AB20" s="40">
        <f t="shared" si="11"/>
        <v>-0.69</v>
      </c>
      <c r="AC20" s="41">
        <v>0.16800000000000001</v>
      </c>
      <c r="AD20" s="39">
        <f t="shared" si="12"/>
        <v>-1.1592</v>
      </c>
      <c r="AE20" s="39">
        <v>-6.56</v>
      </c>
      <c r="AF20" s="39">
        <v>-10.4599335</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88</v>
      </c>
      <c r="O21" s="34">
        <f t="shared" ref="O21:P21" si="29">D21/7</f>
        <v>0</v>
      </c>
      <c r="P21" s="34">
        <f t="shared" si="29"/>
        <v>0</v>
      </c>
      <c r="Q21" s="29" t="e">
        <f t="shared" si="8"/>
        <v>#DIV/0!</v>
      </c>
      <c r="R21" s="29"/>
      <c r="S21" s="35">
        <v>2.4242424242424199</v>
      </c>
      <c r="T21" s="28">
        <v>304</v>
      </c>
      <c r="U21" s="36">
        <v>120</v>
      </c>
      <c r="V21" s="37" t="s">
        <v>647</v>
      </c>
      <c r="W21" s="28">
        <v>0</v>
      </c>
      <c r="X21" s="38">
        <f t="shared" si="9"/>
        <v>0</v>
      </c>
      <c r="Y21" s="39">
        <f t="shared" si="10"/>
        <v>0</v>
      </c>
      <c r="Z21" s="28">
        <v>0</v>
      </c>
      <c r="AA21" s="28" t="s">
        <v>34</v>
      </c>
      <c r="AB21" s="40">
        <f t="shared" si="11"/>
        <v>-0.69</v>
      </c>
      <c r="AC21" s="41">
        <v>0.16800000000000001</v>
      </c>
      <c r="AD21" s="39">
        <f t="shared" si="12"/>
        <v>0</v>
      </c>
      <c r="AE21" s="39">
        <v>-6.56</v>
      </c>
      <c r="AF21" s="39">
        <v>-10.4599335</v>
      </c>
      <c r="AG21" s="39">
        <v>0</v>
      </c>
    </row>
    <row r="22" spans="1:33" ht="15.75" customHeight="1" x14ac:dyDescent="0.2">
      <c r="A22" s="28" t="s">
        <v>60</v>
      </c>
      <c r="B22" s="28" t="s">
        <v>675</v>
      </c>
      <c r="C22" s="15">
        <f t="shared" si="4"/>
        <v>32.99</v>
      </c>
      <c r="D22" s="29">
        <v>25</v>
      </c>
      <c r="E22" s="29">
        <v>2</v>
      </c>
      <c r="F22" s="30">
        <v>824.75000000000011</v>
      </c>
      <c r="G22" s="30">
        <v>-7.0000000000000007E-2</v>
      </c>
      <c r="H22" s="31">
        <f t="shared" si="1"/>
        <v>8.4874204304334641E-5</v>
      </c>
      <c r="I22" s="31">
        <f t="shared" si="2"/>
        <v>0.32697564413458619</v>
      </c>
      <c r="J22" s="32">
        <f t="shared" si="5"/>
        <v>269.67316249999999</v>
      </c>
      <c r="K22" s="32">
        <f t="shared" si="3"/>
        <v>10.7869265</v>
      </c>
      <c r="L22" s="29">
        <v>57</v>
      </c>
      <c r="M22" s="33">
        <f t="shared" si="6"/>
        <v>0.43859649122807015</v>
      </c>
      <c r="N22" s="29">
        <v>62</v>
      </c>
      <c r="O22" s="34">
        <f t="shared" ref="O22:P22" si="30">D22/7</f>
        <v>3.5714285714285716</v>
      </c>
      <c r="P22" s="34">
        <f t="shared" si="30"/>
        <v>0.2857142857142857</v>
      </c>
      <c r="Q22" s="29">
        <f t="shared" si="8"/>
        <v>16</v>
      </c>
      <c r="R22" s="29"/>
      <c r="S22" s="35">
        <v>3.1155778894472301</v>
      </c>
      <c r="T22" s="28">
        <v>304</v>
      </c>
      <c r="U22" s="36">
        <v>120</v>
      </c>
      <c r="V22" s="37" t="s">
        <v>647</v>
      </c>
      <c r="W22" s="28">
        <v>0</v>
      </c>
      <c r="X22" s="38">
        <f t="shared" si="9"/>
        <v>0</v>
      </c>
      <c r="Y22" s="39">
        <f t="shared" si="10"/>
        <v>0</v>
      </c>
      <c r="Z22" s="28">
        <v>0</v>
      </c>
      <c r="AA22" s="28" t="s">
        <v>34</v>
      </c>
      <c r="AB22" s="40">
        <f t="shared" si="11"/>
        <v>-0.69</v>
      </c>
      <c r="AC22" s="41">
        <v>0.16800000000000001</v>
      </c>
      <c r="AD22" s="39">
        <f t="shared" si="12"/>
        <v>-5.7959999999999994</v>
      </c>
      <c r="AE22" s="39">
        <v>-6.56</v>
      </c>
      <c r="AF22" s="39">
        <v>-10.4599335</v>
      </c>
      <c r="AG22" s="39">
        <v>0</v>
      </c>
    </row>
    <row r="23" spans="1:33" ht="15.75" customHeight="1" x14ac:dyDescent="0.2">
      <c r="A23" s="28" t="s">
        <v>62</v>
      </c>
      <c r="B23" s="28" t="s">
        <v>676</v>
      </c>
      <c r="C23" s="15">
        <f t="shared" si="4"/>
        <v>36.771794871794889</v>
      </c>
      <c r="D23" s="29">
        <v>39</v>
      </c>
      <c r="E23" s="29">
        <v>3</v>
      </c>
      <c r="F23" s="32">
        <v>1434.1000000000006</v>
      </c>
      <c r="G23" s="30">
        <v>0</v>
      </c>
      <c r="H23" s="31">
        <f t="shared" si="1"/>
        <v>0</v>
      </c>
      <c r="I23" s="31">
        <f t="shared" si="2"/>
        <v>0.38084222404295415</v>
      </c>
      <c r="J23" s="32">
        <f t="shared" si="5"/>
        <v>546.16583350000076</v>
      </c>
      <c r="K23" s="32">
        <f t="shared" si="3"/>
        <v>14.00425214102566</v>
      </c>
      <c r="L23" s="29">
        <v>89</v>
      </c>
      <c r="M23" s="33">
        <f t="shared" si="6"/>
        <v>0.43820224719101125</v>
      </c>
      <c r="N23" s="29">
        <v>28</v>
      </c>
      <c r="O23" s="34">
        <f t="shared" ref="O23:P23" si="31">D23/7</f>
        <v>5.5714285714285712</v>
      </c>
      <c r="P23" s="34">
        <f t="shared" si="31"/>
        <v>0.42857142857142855</v>
      </c>
      <c r="Q23" s="29">
        <f t="shared" si="8"/>
        <v>4</v>
      </c>
      <c r="R23" s="29"/>
      <c r="S23" s="35">
        <v>5.7391304347826004</v>
      </c>
      <c r="T23" s="28">
        <v>304</v>
      </c>
      <c r="U23" s="36" t="s">
        <v>33</v>
      </c>
      <c r="V23" s="37" t="s">
        <v>649</v>
      </c>
      <c r="W23" s="28">
        <v>0</v>
      </c>
      <c r="X23" s="38">
        <f t="shared" si="9"/>
        <v>0</v>
      </c>
      <c r="Y23" s="39">
        <f t="shared" si="10"/>
        <v>0</v>
      </c>
      <c r="Z23" s="28">
        <v>0</v>
      </c>
      <c r="AA23" s="28" t="s">
        <v>34</v>
      </c>
      <c r="AB23" s="40">
        <f t="shared" si="11"/>
        <v>-0.69</v>
      </c>
      <c r="AC23" s="41">
        <v>0.16800000000000001</v>
      </c>
      <c r="AD23" s="39">
        <f t="shared" si="12"/>
        <v>-9.04176</v>
      </c>
      <c r="AE23" s="39">
        <v>-6.56</v>
      </c>
      <c r="AF23" s="39">
        <v>-10.4599335</v>
      </c>
      <c r="AG23" s="39">
        <v>0</v>
      </c>
    </row>
    <row r="24" spans="1:33" ht="15.75" customHeight="1" x14ac:dyDescent="0.2">
      <c r="A24" s="28" t="s">
        <v>64</v>
      </c>
      <c r="B24" s="28" t="s">
        <v>52</v>
      </c>
      <c r="C24" s="15">
        <f t="shared" si="4"/>
        <v>38.212631578947381</v>
      </c>
      <c r="D24" s="29">
        <v>19</v>
      </c>
      <c r="E24" s="29">
        <v>1</v>
      </c>
      <c r="F24" s="32">
        <v>726.04000000000019</v>
      </c>
      <c r="G24" s="32">
        <v>0</v>
      </c>
      <c r="H24" s="31">
        <f t="shared" si="1"/>
        <v>0</v>
      </c>
      <c r="I24" s="31">
        <f t="shared" si="2"/>
        <v>0.39853217935650942</v>
      </c>
      <c r="J24" s="32">
        <f t="shared" si="5"/>
        <v>289.35030350000017</v>
      </c>
      <c r="K24" s="32">
        <f t="shared" si="3"/>
        <v>15.228963342105272</v>
      </c>
      <c r="L24" s="29">
        <v>39</v>
      </c>
      <c r="M24" s="33">
        <f t="shared" si="6"/>
        <v>0.48717948717948717</v>
      </c>
      <c r="N24" s="29">
        <v>0</v>
      </c>
      <c r="O24" s="34">
        <f t="shared" ref="O24:P24" si="32">D24/7</f>
        <v>2.7142857142857144</v>
      </c>
      <c r="P24" s="34">
        <f t="shared" si="32"/>
        <v>0.14285714285714285</v>
      </c>
      <c r="Q24" s="29">
        <f t="shared" si="8"/>
        <v>0</v>
      </c>
      <c r="R24" s="29"/>
      <c r="S24" s="35">
        <v>12.8</v>
      </c>
      <c r="T24" s="28">
        <v>304</v>
      </c>
      <c r="U24" s="36" t="s">
        <v>33</v>
      </c>
      <c r="V24" s="37" t="s">
        <v>649</v>
      </c>
      <c r="W24" s="28">
        <v>0</v>
      </c>
      <c r="X24" s="38">
        <f t="shared" si="9"/>
        <v>0</v>
      </c>
      <c r="Y24" s="39">
        <f t="shared" si="10"/>
        <v>0</v>
      </c>
      <c r="Z24" s="28">
        <v>0</v>
      </c>
      <c r="AA24" s="28" t="s">
        <v>34</v>
      </c>
      <c r="AB24" s="40">
        <f t="shared" si="11"/>
        <v>-0.69</v>
      </c>
      <c r="AC24" s="41">
        <v>0.16800000000000001</v>
      </c>
      <c r="AD24" s="39">
        <f t="shared" si="12"/>
        <v>-4.40496</v>
      </c>
      <c r="AE24" s="39">
        <v>-6.56</v>
      </c>
      <c r="AF24" s="39">
        <v>-10.4599335</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304</v>
      </c>
      <c r="U25" s="36">
        <v>120</v>
      </c>
      <c r="V25" s="37" t="s">
        <v>651</v>
      </c>
      <c r="W25" s="14">
        <v>0</v>
      </c>
      <c r="X25" s="38">
        <f t="shared" si="9"/>
        <v>0</v>
      </c>
      <c r="Y25" s="39">
        <f t="shared" si="10"/>
        <v>0</v>
      </c>
      <c r="Z25" s="14">
        <v>0</v>
      </c>
      <c r="AA25" s="28" t="s">
        <v>34</v>
      </c>
      <c r="AB25" s="40">
        <f t="shared" si="11"/>
        <v>-0.69</v>
      </c>
      <c r="AC25" s="41">
        <v>0.16800000000000001</v>
      </c>
      <c r="AD25" s="39">
        <f t="shared" si="12"/>
        <v>0</v>
      </c>
      <c r="AE25" s="39">
        <v>-6.56</v>
      </c>
      <c r="AF25" s="39">
        <v>-10.46</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664</v>
      </c>
      <c r="U26" s="36">
        <v>120</v>
      </c>
      <c r="V26" s="37" t="s">
        <v>651</v>
      </c>
      <c r="W26" s="14">
        <v>0</v>
      </c>
      <c r="X26" s="38">
        <f t="shared" si="9"/>
        <v>0</v>
      </c>
      <c r="Y26" s="39">
        <f t="shared" si="10"/>
        <v>0</v>
      </c>
      <c r="Z26" s="14">
        <v>0</v>
      </c>
      <c r="AA26" s="28" t="s">
        <v>34</v>
      </c>
      <c r="AB26" s="40">
        <f t="shared" si="11"/>
        <v>-0.69</v>
      </c>
      <c r="AC26" s="41">
        <v>0.16800000000000001</v>
      </c>
      <c r="AD26" s="39">
        <f t="shared" si="12"/>
        <v>0</v>
      </c>
      <c r="AE26" s="25">
        <v>-6.56</v>
      </c>
      <c r="AF26" s="25">
        <v>-10.5086835</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664</v>
      </c>
      <c r="U27" s="36">
        <v>120</v>
      </c>
      <c r="V27" s="37" t="s">
        <v>651</v>
      </c>
      <c r="W27" s="14">
        <v>0</v>
      </c>
      <c r="X27" s="38">
        <f t="shared" si="9"/>
        <v>0</v>
      </c>
      <c r="Y27" s="39">
        <f t="shared" si="10"/>
        <v>0</v>
      </c>
      <c r="Z27" s="14">
        <v>0</v>
      </c>
      <c r="AA27" s="28" t="s">
        <v>34</v>
      </c>
      <c r="AB27" s="40">
        <f t="shared" si="11"/>
        <v>-0.69</v>
      </c>
      <c r="AC27" s="41">
        <v>0.16800000000000001</v>
      </c>
      <c r="AD27" s="39">
        <f t="shared" si="12"/>
        <v>0</v>
      </c>
      <c r="AE27" s="25">
        <v>-6.56</v>
      </c>
      <c r="AF27" s="25">
        <v>-10.00827</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664</v>
      </c>
      <c r="U28" s="36">
        <v>120</v>
      </c>
      <c r="V28" s="37" t="s">
        <v>654</v>
      </c>
      <c r="W28" s="14">
        <v>0</v>
      </c>
      <c r="X28" s="38">
        <f t="shared" si="9"/>
        <v>0</v>
      </c>
      <c r="Y28" s="39">
        <f t="shared" si="10"/>
        <v>0</v>
      </c>
      <c r="Z28" s="14">
        <v>0</v>
      </c>
      <c r="AA28" s="28" t="s">
        <v>34</v>
      </c>
      <c r="AB28" s="40">
        <f t="shared" si="11"/>
        <v>-0.69</v>
      </c>
      <c r="AC28" s="41">
        <v>0.16800000000000001</v>
      </c>
      <c r="AD28" s="39">
        <f t="shared" si="12"/>
        <v>0</v>
      </c>
      <c r="AE28" s="25">
        <v>-6.56</v>
      </c>
      <c r="AF28" s="25">
        <v>-10.00827</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768</v>
      </c>
      <c r="U29" s="36">
        <v>120</v>
      </c>
      <c r="V29" s="37" t="s">
        <v>677</v>
      </c>
      <c r="W29" s="14">
        <v>0</v>
      </c>
      <c r="X29" s="38">
        <f t="shared" si="9"/>
        <v>0</v>
      </c>
      <c r="Y29" s="39">
        <f t="shared" si="10"/>
        <v>0</v>
      </c>
      <c r="Z29" s="14">
        <v>0</v>
      </c>
      <c r="AA29" s="28" t="s">
        <v>34</v>
      </c>
      <c r="AB29" s="40">
        <f t="shared" si="11"/>
        <v>-0.69</v>
      </c>
      <c r="AC29" s="41">
        <v>0.16800000000000001</v>
      </c>
      <c r="AD29" s="39">
        <f t="shared" si="12"/>
        <v>0</v>
      </c>
      <c r="AE29" s="39">
        <v>-6.56</v>
      </c>
      <c r="AF29" s="25">
        <v>-10.00827</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648</v>
      </c>
      <c r="U30" s="36">
        <v>104</v>
      </c>
      <c r="V30" s="37" t="s">
        <v>678</v>
      </c>
      <c r="W30" s="14">
        <v>0</v>
      </c>
      <c r="X30" s="38">
        <f t="shared" si="9"/>
        <v>0</v>
      </c>
      <c r="Y30" s="39">
        <f t="shared" si="10"/>
        <v>0</v>
      </c>
      <c r="Z30" s="14">
        <v>0</v>
      </c>
      <c r="AA30" s="28" t="s">
        <v>34</v>
      </c>
      <c r="AB30" s="40">
        <f t="shared" si="11"/>
        <v>-0.69</v>
      </c>
      <c r="AC30" s="41">
        <v>0.16800000000000001</v>
      </c>
      <c r="AD30" s="39">
        <f t="shared" si="12"/>
        <v>0</v>
      </c>
      <c r="AE30" s="25">
        <v>-6.56</v>
      </c>
      <c r="AF30" s="25">
        <v>-9.5116506135937495</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120</v>
      </c>
      <c r="O31" s="34">
        <f t="shared" ref="O31:P32" si="39">D31/7</f>
        <v>0</v>
      </c>
      <c r="P31" s="34">
        <f t="shared" si="39"/>
        <v>0</v>
      </c>
      <c r="Q31" s="29" t="e">
        <f t="shared" si="8"/>
        <v>#DIV/0!</v>
      </c>
      <c r="R31" s="29"/>
      <c r="S31" s="21">
        <v>2.0847457627118602</v>
      </c>
      <c r="T31" s="14">
        <v>80</v>
      </c>
      <c r="U31" s="22">
        <v>104</v>
      </c>
      <c r="V31" s="1" t="s">
        <v>947</v>
      </c>
      <c r="W31" s="14">
        <v>0</v>
      </c>
      <c r="X31" s="38">
        <f t="shared" si="9"/>
        <v>0</v>
      </c>
      <c r="Y31" s="39">
        <f t="shared" si="10"/>
        <v>0</v>
      </c>
      <c r="Z31" s="14">
        <v>0</v>
      </c>
      <c r="AA31" s="14" t="s">
        <v>34</v>
      </c>
      <c r="AB31" s="40">
        <f t="shared" si="11"/>
        <v>-0.69</v>
      </c>
      <c r="AC31" s="27">
        <v>0.16800000000000001</v>
      </c>
      <c r="AD31" s="39">
        <f t="shared" si="12"/>
        <v>0</v>
      </c>
      <c r="AE31" s="43">
        <v>-6.56</v>
      </c>
      <c r="AF31" s="43">
        <v>-9.5116506135937495</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120</v>
      </c>
      <c r="O32" s="34">
        <f t="shared" si="39"/>
        <v>0</v>
      </c>
      <c r="P32" s="34">
        <f t="shared" si="39"/>
        <v>0</v>
      </c>
      <c r="Q32" s="29" t="e">
        <f t="shared" si="8"/>
        <v>#DIV/0!</v>
      </c>
      <c r="R32" s="29" t="str">
        <f ca="1">IFERROR(VLOOKUP($B$2,IMPORTRANGE("https://docs.google.com/spreadsheets/d/1KiWZV1ko8G7lnRucBRBd29jj3Be6ltMfljMDqzOkQmI/edit#gid=1381463014","Lookup!A:F"),6,FALSE),"")</f>
        <v/>
      </c>
      <c r="S32" s="54">
        <v>2.4596273291925468</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0.16800000000000001</v>
      </c>
      <c r="AD32" s="39">
        <f t="shared" si="12"/>
        <v>0</v>
      </c>
      <c r="AE32" s="58">
        <v>-6.56</v>
      </c>
      <c r="AF32" s="58">
        <v>-9.5116506135937495</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53.332031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Gauge Automotive Wire - 10 Roll Assortment Pack -100 Ft of Copper Clad Aluminum Primary Wire per Roll")</f>
        <v>16 Gauge Automotive Wire - 10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Info!B1:BJ5000""),2,FALSE),"""")"),"B07QJZFLKK")</f>
        <v>B07QJZFLKK</v>
      </c>
      <c r="B2" s="49" t="s">
        <v>679</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91.5" customHeight="1" x14ac:dyDescent="0.2">
      <c r="A3" s="76" t="s">
        <v>30</v>
      </c>
      <c r="B3" s="77"/>
      <c r="C3" s="47">
        <f>((AE32+AF32)/0.85)*-1</f>
        <v>21.877625705882355</v>
      </c>
      <c r="D3" s="5">
        <f>SUM(D4:D99634)</f>
        <v>237</v>
      </c>
      <c r="E3" s="5"/>
      <c r="F3" s="6">
        <f t="shared" ref="F3:G3" si="0">SUM(F4:F99634)</f>
        <v>9641.3799999999974</v>
      </c>
      <c r="G3" s="6">
        <f t="shared" si="0"/>
        <v>-91.439999999999984</v>
      </c>
      <c r="H3" s="7">
        <f t="shared" ref="H3:H32" si="1">G3/F3*-1</f>
        <v>9.4841194932675614E-3</v>
      </c>
      <c r="I3" s="8">
        <f t="shared" ref="I3:I32" si="2">J3/F3</f>
        <v>0.35765886011006942</v>
      </c>
      <c r="J3" s="6">
        <f>SUM(J4:J99634)</f>
        <v>3448.3249806880203</v>
      </c>
      <c r="K3" s="6">
        <f t="shared" ref="K3:K32" si="3">J3/D3</f>
        <v>14.549894433282786</v>
      </c>
      <c r="L3" s="5"/>
      <c r="M3" s="9"/>
      <c r="N3" s="10"/>
      <c r="O3" s="5" t="str">
        <f ca="1">IFERROR(__xludf.DUMMYFUNCTION("IFERROR(VLOOKUP(B2,IMPORTRANGE(""https://docs.google.com/spreadsheets/d/1N8jvpEHDVkurDv7NrPxwI3eH6hQsvtb1QltGNCalRjU/edit#gid=865736387"",""Compiled Sheet!a1:g5000""),2,FALSE),"""")"),"3 - March
2 - April
4 - May
3 - June
3 - July
3 - Aug
3 - Sept
3 - Oct
2 - Nov
2 - Dec
2 - Jan
2 - Feb")</f>
        <v>3 - March
2 - April
4 - May
3 - June
3 - July
3 - Aug
3 - Sept
3 - Oct
2 - Nov
2 - Dec
2 -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11</v>
      </c>
      <c r="X3" s="7">
        <f>W3/D3</f>
        <v>4.6413502109704644E-2</v>
      </c>
      <c r="Y3" s="6"/>
      <c r="Z3" s="5"/>
      <c r="AA3" s="5"/>
      <c r="AB3" s="5"/>
      <c r="AC3" s="5"/>
      <c r="AD3" s="6">
        <f>SUM(AD4:AD99634)</f>
        <v>-48.262634045682042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Info!B2:BZ7000""),37,FALSE)),"""")*-1"),-12.01598185)</f>
        <v>-12.015981849999999</v>
      </c>
      <c r="AG3" s="6">
        <f>SUM(AG4:AG99634)</f>
        <v>0</v>
      </c>
    </row>
    <row r="4" spans="1:33" ht="15.75" customHeight="1" x14ac:dyDescent="0.2">
      <c r="A4" s="14" t="s">
        <v>31</v>
      </c>
      <c r="B4" s="14" t="s">
        <v>581</v>
      </c>
      <c r="C4" s="15">
        <f t="shared" ref="C4:C32" si="4">IFERROR(F4/D4," - ")</f>
        <v>41.596363636363634</v>
      </c>
      <c r="D4" s="16">
        <v>22</v>
      </c>
      <c r="E4" s="16">
        <v>1</v>
      </c>
      <c r="F4" s="17">
        <v>915.11999999999989</v>
      </c>
      <c r="G4" s="17">
        <v>-36.569999999999993</v>
      </c>
      <c r="H4" s="18">
        <f t="shared" si="1"/>
        <v>3.9961972200367166E-2</v>
      </c>
      <c r="I4" s="18">
        <f t="shared" si="2"/>
        <v>0.34484115450764286</v>
      </c>
      <c r="J4" s="17">
        <f t="shared" ref="J4:J32" si="5">F4*0.85+G4+AF4*D4+D4*AE4+AG4+AD4</f>
        <v>315.57103731303408</v>
      </c>
      <c r="K4" s="17">
        <f t="shared" si="3"/>
        <v>14.344138059683367</v>
      </c>
      <c r="L4" s="16">
        <v>44</v>
      </c>
      <c r="M4" s="19">
        <f t="shared" ref="M4:M32" si="6">IFERROR(D4/L4,"-")</f>
        <v>0.5</v>
      </c>
      <c r="N4" s="16">
        <v>125</v>
      </c>
      <c r="O4" s="20">
        <f t="shared" ref="O4:P4" si="7">D4/7</f>
        <v>3.1428571428571428</v>
      </c>
      <c r="P4" s="20">
        <f t="shared" si="7"/>
        <v>0.14285714285714285</v>
      </c>
      <c r="Q4" s="16">
        <f t="shared" ref="Q4:Q32" si="8">ROUNDDOWN(N4/(O4+P4),0)</f>
        <v>38</v>
      </c>
      <c r="R4" s="16"/>
      <c r="S4" s="21">
        <v>0.91946308724832204</v>
      </c>
      <c r="T4" s="14">
        <v>189</v>
      </c>
      <c r="U4" s="22" t="s">
        <v>33</v>
      </c>
      <c r="V4" s="23" t="s">
        <v>33</v>
      </c>
      <c r="W4" s="14">
        <v>2</v>
      </c>
      <c r="X4" s="24">
        <f t="shared" ref="X4:X32" si="9">IFERROR(W4/D4,0)</f>
        <v>9.0909090909090912E-2</v>
      </c>
      <c r="Y4" s="25">
        <f t="shared" ref="Y4:Y32" si="10">IFERROR(G4/(W4+Z4)*-1,0)</f>
        <v>9.1424999999999983</v>
      </c>
      <c r="Z4" s="14">
        <v>2</v>
      </c>
      <c r="AA4" s="2" t="s">
        <v>34</v>
      </c>
      <c r="AB4" s="26">
        <f t="shared" ref="AB4:AB32" si="11">IF(OR(AA4="UsLargeStandardSize",AA4="UsSmallStandardSize"),-0.69,-0.48)</f>
        <v>-0.69</v>
      </c>
      <c r="AC4" s="27">
        <v>0.14755497685185187</v>
      </c>
      <c r="AD4" s="25">
        <f t="shared" ref="AD4:AD32" si="12">IFERROR(AB4*AC4*D4*2,0)</f>
        <v>-4.4797690972222224</v>
      </c>
      <c r="AE4" s="25">
        <v>-6.56</v>
      </c>
      <c r="AF4" s="25">
        <v>-12.586872435897437</v>
      </c>
      <c r="AG4" s="25">
        <v>0</v>
      </c>
    </row>
    <row r="5" spans="1:33" ht="15.75" customHeight="1" x14ac:dyDescent="0.2">
      <c r="A5" s="28" t="s">
        <v>35</v>
      </c>
      <c r="B5" s="28" t="s">
        <v>316</v>
      </c>
      <c r="C5" s="15">
        <f t="shared" si="4"/>
        <v>38.053571428571438</v>
      </c>
      <c r="D5" s="29">
        <v>14</v>
      </c>
      <c r="E5" s="29">
        <v>0</v>
      </c>
      <c r="F5" s="30">
        <v>532.75000000000011</v>
      </c>
      <c r="G5" s="30">
        <v>-26.549999999999997</v>
      </c>
      <c r="H5" s="31">
        <f t="shared" si="1"/>
        <v>4.9835757860159535E-2</v>
      </c>
      <c r="I5" s="31">
        <f t="shared" si="2"/>
        <v>0.29165128189233741</v>
      </c>
      <c r="J5" s="32">
        <f t="shared" si="5"/>
        <v>155.37722042814278</v>
      </c>
      <c r="K5" s="32">
        <f t="shared" si="3"/>
        <v>11.098372887724484</v>
      </c>
      <c r="L5" s="29">
        <v>60</v>
      </c>
      <c r="M5" s="33">
        <f t="shared" si="6"/>
        <v>0.23333333333333334</v>
      </c>
      <c r="N5" s="29">
        <v>109</v>
      </c>
      <c r="O5" s="34">
        <f t="shared" ref="O5:P5" si="13">D5/7</f>
        <v>2</v>
      </c>
      <c r="P5" s="34">
        <f t="shared" si="13"/>
        <v>0</v>
      </c>
      <c r="Q5" s="29">
        <f t="shared" si="8"/>
        <v>54</v>
      </c>
      <c r="R5" s="29"/>
      <c r="S5" s="35">
        <v>1.1627056672760501</v>
      </c>
      <c r="T5" s="28">
        <v>189</v>
      </c>
      <c r="U5" s="36" t="s">
        <v>33</v>
      </c>
      <c r="V5" s="37" t="s">
        <v>33</v>
      </c>
      <c r="W5" s="28">
        <v>2</v>
      </c>
      <c r="X5" s="38">
        <f t="shared" si="9"/>
        <v>0.14285714285714285</v>
      </c>
      <c r="Y5" s="39">
        <f t="shared" si="10"/>
        <v>13.274999999999999</v>
      </c>
      <c r="Z5" s="28">
        <v>0</v>
      </c>
      <c r="AA5" s="28" t="s">
        <v>34</v>
      </c>
      <c r="AB5" s="40">
        <f t="shared" si="11"/>
        <v>-0.69</v>
      </c>
      <c r="AC5" s="41">
        <v>0.14772595596755506</v>
      </c>
      <c r="AD5" s="39">
        <f t="shared" si="12"/>
        <v>-2.8540654692931633</v>
      </c>
      <c r="AE5" s="39">
        <v>-6.56</v>
      </c>
      <c r="AF5" s="39">
        <v>-12.586872435897437</v>
      </c>
      <c r="AG5" s="39">
        <v>0</v>
      </c>
    </row>
    <row r="6" spans="1:33" ht="15.75" customHeight="1" x14ac:dyDescent="0.2">
      <c r="A6" s="28" t="s">
        <v>37</v>
      </c>
      <c r="B6" s="28" t="s">
        <v>441</v>
      </c>
      <c r="C6" s="15">
        <f t="shared" si="4"/>
        <v>38.184705882352944</v>
      </c>
      <c r="D6" s="29">
        <v>17</v>
      </c>
      <c r="E6" s="29">
        <v>0</v>
      </c>
      <c r="F6" s="30">
        <v>649.14</v>
      </c>
      <c r="G6" s="30">
        <v>-21.08</v>
      </c>
      <c r="H6" s="31">
        <f t="shared" si="1"/>
        <v>3.2473734479465138E-2</v>
      </c>
      <c r="I6" s="31">
        <f t="shared" si="2"/>
        <v>0.31076582683673654</v>
      </c>
      <c r="J6" s="32">
        <f t="shared" si="5"/>
        <v>201.73052883279914</v>
      </c>
      <c r="K6" s="32">
        <f t="shared" si="3"/>
        <v>11.866501696047008</v>
      </c>
      <c r="L6" s="29">
        <v>59</v>
      </c>
      <c r="M6" s="33">
        <f t="shared" si="6"/>
        <v>0.28813559322033899</v>
      </c>
      <c r="N6" s="29">
        <v>91</v>
      </c>
      <c r="O6" s="34">
        <f t="shared" ref="O6:P6" si="14">D6/7</f>
        <v>2.4285714285714284</v>
      </c>
      <c r="P6" s="34">
        <f t="shared" si="14"/>
        <v>0</v>
      </c>
      <c r="Q6" s="29">
        <f t="shared" si="8"/>
        <v>37</v>
      </c>
      <c r="R6" s="29"/>
      <c r="S6" s="35">
        <v>1.44032921810699</v>
      </c>
      <c r="T6" s="28">
        <v>189</v>
      </c>
      <c r="U6" s="36" t="s">
        <v>33</v>
      </c>
      <c r="V6" s="37" t="s">
        <v>39</v>
      </c>
      <c r="W6" s="28">
        <v>3</v>
      </c>
      <c r="X6" s="38">
        <f t="shared" si="9"/>
        <v>0.17647058823529413</v>
      </c>
      <c r="Y6" s="39">
        <f t="shared" si="10"/>
        <v>5.27</v>
      </c>
      <c r="Z6" s="28">
        <v>1</v>
      </c>
      <c r="AA6" s="28" t="s">
        <v>34</v>
      </c>
      <c r="AB6" s="40">
        <f t="shared" si="11"/>
        <v>-0.69</v>
      </c>
      <c r="AC6" s="41">
        <v>0.14755497685185187</v>
      </c>
      <c r="AD6" s="39">
        <f t="shared" si="12"/>
        <v>-3.4616397569444448</v>
      </c>
      <c r="AE6" s="39">
        <v>-6.56</v>
      </c>
      <c r="AF6" s="39">
        <v>-12.586872435897437</v>
      </c>
      <c r="AG6" s="39">
        <v>0</v>
      </c>
    </row>
    <row r="7" spans="1:33" ht="15.75" customHeight="1" x14ac:dyDescent="0.2">
      <c r="A7" s="28" t="s">
        <v>40</v>
      </c>
      <c r="B7" s="28" t="s">
        <v>47</v>
      </c>
      <c r="C7" s="15">
        <f t="shared" si="4"/>
        <v>38.051818181818184</v>
      </c>
      <c r="D7" s="29">
        <v>11</v>
      </c>
      <c r="E7" s="29">
        <v>0</v>
      </c>
      <c r="F7" s="30">
        <v>418.57000000000005</v>
      </c>
      <c r="G7" s="30">
        <v>-3.65</v>
      </c>
      <c r="H7" s="31">
        <f t="shared" si="1"/>
        <v>8.7201662804309906E-3</v>
      </c>
      <c r="I7" s="31">
        <f t="shared" si="2"/>
        <v>0.3327496444000218</v>
      </c>
      <c r="J7" s="32">
        <f t="shared" si="5"/>
        <v>139.27901865651714</v>
      </c>
      <c r="K7" s="32">
        <f t="shared" si="3"/>
        <v>12.661728968774286</v>
      </c>
      <c r="L7" s="29">
        <v>52</v>
      </c>
      <c r="M7" s="33">
        <f t="shared" si="6"/>
        <v>0.21153846153846154</v>
      </c>
      <c r="N7" s="29">
        <v>78</v>
      </c>
      <c r="O7" s="34">
        <f t="shared" ref="O7:P7" si="15">D7/7</f>
        <v>1.5714285714285714</v>
      </c>
      <c r="P7" s="34">
        <f t="shared" si="15"/>
        <v>0</v>
      </c>
      <c r="Q7" s="29">
        <f t="shared" si="8"/>
        <v>49</v>
      </c>
      <c r="R7" s="29"/>
      <c r="S7" s="35">
        <v>1.7246049661399501</v>
      </c>
      <c r="T7" s="28">
        <v>189</v>
      </c>
      <c r="U7" s="36" t="s">
        <v>33</v>
      </c>
      <c r="V7" s="37" t="s">
        <v>39</v>
      </c>
      <c r="W7" s="28">
        <v>0</v>
      </c>
      <c r="X7" s="38">
        <f t="shared" si="9"/>
        <v>0</v>
      </c>
      <c r="Y7" s="39">
        <f t="shared" si="10"/>
        <v>0</v>
      </c>
      <c r="Z7" s="28">
        <v>0</v>
      </c>
      <c r="AA7" s="28" t="s">
        <v>34</v>
      </c>
      <c r="AB7" s="40">
        <f t="shared" si="11"/>
        <v>-0.69</v>
      </c>
      <c r="AC7" s="41">
        <v>0.14755497685185187</v>
      </c>
      <c r="AD7" s="39">
        <f t="shared" si="12"/>
        <v>-2.2398845486111112</v>
      </c>
      <c r="AE7" s="39">
        <v>-6.56</v>
      </c>
      <c r="AF7" s="39">
        <v>-12.586872435897437</v>
      </c>
      <c r="AG7" s="39">
        <v>0</v>
      </c>
    </row>
    <row r="8" spans="1:33" ht="15.75" customHeight="1" x14ac:dyDescent="0.2">
      <c r="A8" s="28" t="s">
        <v>42</v>
      </c>
      <c r="B8" s="28" t="s">
        <v>680</v>
      </c>
      <c r="C8" s="15">
        <f t="shared" si="4"/>
        <v>37.99</v>
      </c>
      <c r="D8" s="29">
        <v>7</v>
      </c>
      <c r="E8" s="29">
        <v>0</v>
      </c>
      <c r="F8" s="30">
        <v>265.93</v>
      </c>
      <c r="G8" s="30">
        <v>-0.32999999999999996</v>
      </c>
      <c r="H8" s="31">
        <f t="shared" si="1"/>
        <v>1.2409280637761815E-3</v>
      </c>
      <c r="I8" s="31">
        <f t="shared" si="2"/>
        <v>0.33931906488027347</v>
      </c>
      <c r="J8" s="32">
        <f t="shared" si="5"/>
        <v>90.235118923611125</v>
      </c>
      <c r="K8" s="32">
        <f t="shared" si="3"/>
        <v>12.89073127480159</v>
      </c>
      <c r="L8" s="29">
        <v>36</v>
      </c>
      <c r="M8" s="33">
        <f t="shared" si="6"/>
        <v>0.19444444444444445</v>
      </c>
      <c r="N8" s="29">
        <v>71</v>
      </c>
      <c r="O8" s="34">
        <f t="shared" ref="O8:P8" si="16">D8/7</f>
        <v>1</v>
      </c>
      <c r="P8" s="34">
        <f t="shared" si="16"/>
        <v>0</v>
      </c>
      <c r="Q8" s="29">
        <f t="shared" si="8"/>
        <v>71</v>
      </c>
      <c r="R8" s="29"/>
      <c r="S8" s="35">
        <v>1.18805970149253</v>
      </c>
      <c r="T8" s="28">
        <v>189</v>
      </c>
      <c r="U8" s="36">
        <v>105</v>
      </c>
      <c r="V8" s="37" t="s">
        <v>681</v>
      </c>
      <c r="W8" s="28">
        <v>1</v>
      </c>
      <c r="X8" s="38">
        <f t="shared" si="9"/>
        <v>0.14285714285714285</v>
      </c>
      <c r="Y8" s="39">
        <f t="shared" si="10"/>
        <v>0.32999999999999996</v>
      </c>
      <c r="Z8" s="28">
        <v>0</v>
      </c>
      <c r="AA8" s="28" t="s">
        <v>34</v>
      </c>
      <c r="AB8" s="40">
        <f t="shared" si="11"/>
        <v>-0.69</v>
      </c>
      <c r="AC8" s="41">
        <v>0.14755497685185187</v>
      </c>
      <c r="AD8" s="39">
        <f t="shared" si="12"/>
        <v>-1.425381076388889</v>
      </c>
      <c r="AE8" s="39">
        <v>-6.56</v>
      </c>
      <c r="AF8" s="39">
        <v>-12.59</v>
      </c>
      <c r="AG8" s="39">
        <v>0</v>
      </c>
    </row>
    <row r="9" spans="1:33" ht="15.75" customHeight="1" x14ac:dyDescent="0.2">
      <c r="A9" s="28" t="s">
        <v>44</v>
      </c>
      <c r="B9" s="28" t="s">
        <v>213</v>
      </c>
      <c r="C9" s="15">
        <f t="shared" si="4"/>
        <v>39.00454545454545</v>
      </c>
      <c r="D9" s="29">
        <v>22</v>
      </c>
      <c r="E9" s="29">
        <v>1</v>
      </c>
      <c r="F9" s="30">
        <v>858.09999999999991</v>
      </c>
      <c r="G9" s="30">
        <v>-0.89</v>
      </c>
      <c r="H9" s="31">
        <f t="shared" si="1"/>
        <v>1.0371751544109079E-3</v>
      </c>
      <c r="I9" s="31">
        <f t="shared" si="2"/>
        <v>0.3455382608499929</v>
      </c>
      <c r="J9" s="32">
        <f t="shared" si="5"/>
        <v>296.50638163537889</v>
      </c>
      <c r="K9" s="32">
        <f t="shared" si="3"/>
        <v>13.477562801608132</v>
      </c>
      <c r="L9" s="29">
        <v>59</v>
      </c>
      <c r="M9" s="33">
        <f t="shared" si="6"/>
        <v>0.3728813559322034</v>
      </c>
      <c r="N9" s="29">
        <v>52</v>
      </c>
      <c r="O9" s="34">
        <f t="shared" ref="O9:P9" si="17">D9/7</f>
        <v>3.1428571428571428</v>
      </c>
      <c r="P9" s="34">
        <f t="shared" si="17"/>
        <v>0.14285714285714285</v>
      </c>
      <c r="Q9" s="29">
        <f t="shared" si="8"/>
        <v>15</v>
      </c>
      <c r="R9" s="29"/>
      <c r="S9" s="35">
        <v>1.3311688311688299</v>
      </c>
      <c r="T9" s="28">
        <v>189</v>
      </c>
      <c r="U9" s="36">
        <v>105</v>
      </c>
      <c r="V9" s="37" t="s">
        <v>682</v>
      </c>
      <c r="W9" s="28">
        <v>0</v>
      </c>
      <c r="X9" s="38">
        <f t="shared" si="9"/>
        <v>0</v>
      </c>
      <c r="Y9" s="39">
        <f t="shared" si="10"/>
        <v>0</v>
      </c>
      <c r="Z9" s="28">
        <v>0</v>
      </c>
      <c r="AA9" s="28" t="s">
        <v>34</v>
      </c>
      <c r="AB9" s="40">
        <f t="shared" si="11"/>
        <v>-0.69</v>
      </c>
      <c r="AC9" s="41">
        <v>0.14755497685185187</v>
      </c>
      <c r="AD9" s="39">
        <f t="shared" si="12"/>
        <v>-4.4797690972222224</v>
      </c>
      <c r="AE9" s="39">
        <v>-6.56</v>
      </c>
      <c r="AF9" s="39">
        <v>-12.8722204212454</v>
      </c>
      <c r="AG9" s="39">
        <v>0</v>
      </c>
    </row>
    <row r="10" spans="1:33" ht="15.75" customHeight="1" x14ac:dyDescent="0.2">
      <c r="A10" s="28" t="s">
        <v>46</v>
      </c>
      <c r="B10" s="28" t="s">
        <v>47</v>
      </c>
      <c r="C10" s="15">
        <f t="shared" si="4"/>
        <v>39.69</v>
      </c>
      <c r="D10" s="29">
        <v>12</v>
      </c>
      <c r="E10" s="29">
        <v>0</v>
      </c>
      <c r="F10" s="30">
        <v>476.28</v>
      </c>
      <c r="G10" s="30">
        <v>-0.43000000000000005</v>
      </c>
      <c r="H10" s="31">
        <f t="shared" si="1"/>
        <v>9.0283026790963315E-4</v>
      </c>
      <c r="I10" s="31">
        <f t="shared" si="2"/>
        <v>0.3543668525413381</v>
      </c>
      <c r="J10" s="32">
        <f t="shared" si="5"/>
        <v>168.7778445283885</v>
      </c>
      <c r="K10" s="32">
        <f t="shared" si="3"/>
        <v>14.064820377365708</v>
      </c>
      <c r="L10" s="29">
        <v>30</v>
      </c>
      <c r="M10" s="33">
        <f t="shared" si="6"/>
        <v>0.4</v>
      </c>
      <c r="N10" s="29">
        <v>38</v>
      </c>
      <c r="O10" s="34">
        <f t="shared" ref="O10:P10" si="18">D10/7</f>
        <v>1.7142857142857142</v>
      </c>
      <c r="P10" s="34">
        <f t="shared" si="18"/>
        <v>0</v>
      </c>
      <c r="Q10" s="29">
        <f t="shared" si="8"/>
        <v>22</v>
      </c>
      <c r="R10" s="29"/>
      <c r="S10" s="35">
        <v>1.4981273408239699</v>
      </c>
      <c r="T10" s="28">
        <v>189</v>
      </c>
      <c r="U10" s="36">
        <v>105</v>
      </c>
      <c r="V10" s="37" t="s">
        <v>683</v>
      </c>
      <c r="W10" s="28">
        <v>2</v>
      </c>
      <c r="X10" s="38">
        <f t="shared" si="9"/>
        <v>0.16666666666666666</v>
      </c>
      <c r="Y10" s="39">
        <f t="shared" si="10"/>
        <v>0.14333333333333334</v>
      </c>
      <c r="Z10" s="28">
        <v>1</v>
      </c>
      <c r="AA10" s="28" t="s">
        <v>34</v>
      </c>
      <c r="AB10" s="40">
        <f t="shared" si="11"/>
        <v>-0.69</v>
      </c>
      <c r="AC10" s="41">
        <v>0.14755497685185187</v>
      </c>
      <c r="AD10" s="39">
        <f t="shared" si="12"/>
        <v>-2.4435104166666668</v>
      </c>
      <c r="AE10" s="39">
        <v>-6.56</v>
      </c>
      <c r="AF10" s="39">
        <v>-12.8722204212454</v>
      </c>
      <c r="AG10" s="39">
        <v>0</v>
      </c>
    </row>
    <row r="11" spans="1:33" ht="15.75" customHeight="1" x14ac:dyDescent="0.2">
      <c r="A11" s="28" t="s">
        <v>48</v>
      </c>
      <c r="B11" s="28" t="s">
        <v>684</v>
      </c>
      <c r="C11" s="15">
        <f t="shared" si="4"/>
        <v>40.105714285714285</v>
      </c>
      <c r="D11" s="29">
        <v>14</v>
      </c>
      <c r="E11" s="29">
        <v>2</v>
      </c>
      <c r="F11" s="30">
        <v>561.48</v>
      </c>
      <c r="G11" s="30">
        <v>-0.21000000000000002</v>
      </c>
      <c r="H11" s="31">
        <f t="shared" si="1"/>
        <v>3.7401154092754862E-4</v>
      </c>
      <c r="I11" s="31">
        <f t="shared" si="2"/>
        <v>0.36002377992054324</v>
      </c>
      <c r="J11" s="32">
        <f t="shared" si="5"/>
        <v>202.14615194978663</v>
      </c>
      <c r="K11" s="32">
        <f t="shared" si="3"/>
        <v>14.439010853556187</v>
      </c>
      <c r="L11" s="29">
        <v>32</v>
      </c>
      <c r="M11" s="33">
        <f t="shared" si="6"/>
        <v>0.4375</v>
      </c>
      <c r="N11" s="29">
        <v>21</v>
      </c>
      <c r="O11" s="34">
        <f t="shared" ref="O11:P11" si="19">D11/7</f>
        <v>2</v>
      </c>
      <c r="P11" s="34">
        <f t="shared" si="19"/>
        <v>0.2857142857142857</v>
      </c>
      <c r="Q11" s="29">
        <f t="shared" si="8"/>
        <v>9</v>
      </c>
      <c r="R11" s="29"/>
      <c r="S11" s="35">
        <v>1.6050420168067201</v>
      </c>
      <c r="T11" s="28">
        <v>189</v>
      </c>
      <c r="U11" s="36">
        <v>105</v>
      </c>
      <c r="V11" s="37" t="s">
        <v>683</v>
      </c>
      <c r="W11" s="28">
        <v>0</v>
      </c>
      <c r="X11" s="38">
        <f t="shared" si="9"/>
        <v>0</v>
      </c>
      <c r="Y11" s="39">
        <f t="shared" si="10"/>
        <v>0</v>
      </c>
      <c r="Z11" s="28">
        <v>0</v>
      </c>
      <c r="AA11" s="28" t="s">
        <v>34</v>
      </c>
      <c r="AB11" s="40">
        <f t="shared" si="11"/>
        <v>-0.69</v>
      </c>
      <c r="AC11" s="41">
        <v>0.14755497685185187</v>
      </c>
      <c r="AD11" s="39">
        <f t="shared" si="12"/>
        <v>-2.850762152777778</v>
      </c>
      <c r="AE11" s="39">
        <v>-6.56</v>
      </c>
      <c r="AF11" s="39">
        <v>-12.8722204212454</v>
      </c>
      <c r="AG11" s="39">
        <v>0</v>
      </c>
    </row>
    <row r="12" spans="1:33" ht="15.75" customHeight="1" x14ac:dyDescent="0.2">
      <c r="A12" s="28" t="s">
        <v>49</v>
      </c>
      <c r="B12" s="28" t="s">
        <v>47</v>
      </c>
      <c r="C12" s="15">
        <f t="shared" si="4"/>
        <v>41.025999999999996</v>
      </c>
      <c r="D12" s="29">
        <v>5</v>
      </c>
      <c r="E12" s="29">
        <v>3</v>
      </c>
      <c r="F12" s="30">
        <v>205.13</v>
      </c>
      <c r="G12" s="30">
        <v>-0.11</v>
      </c>
      <c r="H12" s="31">
        <f t="shared" si="1"/>
        <v>5.3624530785355631E-4</v>
      </c>
      <c r="I12" s="31">
        <f t="shared" si="2"/>
        <v>0.37084418931163271</v>
      </c>
      <c r="J12" s="32">
        <f t="shared" si="5"/>
        <v>76.071268553495216</v>
      </c>
      <c r="K12" s="32">
        <f t="shared" si="3"/>
        <v>15.214253710699044</v>
      </c>
      <c r="L12" s="29">
        <v>26</v>
      </c>
      <c r="M12" s="33">
        <f t="shared" si="6"/>
        <v>0.19230769230769232</v>
      </c>
      <c r="N12" s="29">
        <v>16</v>
      </c>
      <c r="O12" s="34">
        <f t="shared" ref="O12:P12" si="20">D12/7</f>
        <v>0.7142857142857143</v>
      </c>
      <c r="P12" s="34">
        <f t="shared" si="20"/>
        <v>0.42857142857142855</v>
      </c>
      <c r="Q12" s="29">
        <f t="shared" si="8"/>
        <v>14</v>
      </c>
      <c r="R12" s="29"/>
      <c r="S12" s="35">
        <v>1.76635514018691</v>
      </c>
      <c r="T12" s="28">
        <v>189</v>
      </c>
      <c r="U12" s="36">
        <v>105</v>
      </c>
      <c r="V12" s="37" t="s">
        <v>685</v>
      </c>
      <c r="W12" s="28">
        <v>0</v>
      </c>
      <c r="X12" s="38">
        <f t="shared" si="9"/>
        <v>0</v>
      </c>
      <c r="Y12" s="39">
        <f t="shared" si="10"/>
        <v>0</v>
      </c>
      <c r="Z12" s="28">
        <v>0</v>
      </c>
      <c r="AA12" s="28" t="s">
        <v>34</v>
      </c>
      <c r="AB12" s="40">
        <f t="shared" si="11"/>
        <v>-0.69</v>
      </c>
      <c r="AC12" s="41">
        <v>0.14755497685185187</v>
      </c>
      <c r="AD12" s="39">
        <f t="shared" si="12"/>
        <v>-1.0181293402777778</v>
      </c>
      <c r="AE12" s="39">
        <v>-6.56</v>
      </c>
      <c r="AF12" s="39">
        <v>-12.8722204212454</v>
      </c>
      <c r="AG12" s="39">
        <v>0</v>
      </c>
    </row>
    <row r="13" spans="1:33" ht="15.75" customHeight="1" x14ac:dyDescent="0.2">
      <c r="A13" s="28" t="s">
        <v>50</v>
      </c>
      <c r="B13" s="28" t="s">
        <v>686</v>
      </c>
      <c r="C13" s="15">
        <f t="shared" si="4"/>
        <v>40.99</v>
      </c>
      <c r="D13" s="29">
        <v>4</v>
      </c>
      <c r="E13" s="29">
        <v>6</v>
      </c>
      <c r="F13" s="32">
        <v>163.96</v>
      </c>
      <c r="G13" s="30">
        <v>-0.08</v>
      </c>
      <c r="H13" s="31">
        <f t="shared" si="1"/>
        <v>4.8792388387411563E-4</v>
      </c>
      <c r="I13" s="31">
        <f t="shared" si="2"/>
        <v>0.36680825958809338</v>
      </c>
      <c r="J13" s="32">
        <f t="shared" si="5"/>
        <v>60.141882242063794</v>
      </c>
      <c r="K13" s="32">
        <f t="shared" si="3"/>
        <v>15.035470560515948</v>
      </c>
      <c r="L13" s="29">
        <v>18</v>
      </c>
      <c r="M13" s="33">
        <f t="shared" si="6"/>
        <v>0.22222222222222221</v>
      </c>
      <c r="N13" s="29">
        <v>2</v>
      </c>
      <c r="O13" s="34">
        <f t="shared" ref="O13:P13" si="21">D13/7</f>
        <v>0.5714285714285714</v>
      </c>
      <c r="P13" s="34">
        <f t="shared" si="21"/>
        <v>0.8571428571428571</v>
      </c>
      <c r="Q13" s="29">
        <f t="shared" si="8"/>
        <v>1</v>
      </c>
      <c r="R13" s="29"/>
      <c r="S13" s="35">
        <v>1.8271604938271599</v>
      </c>
      <c r="T13" s="28">
        <v>189</v>
      </c>
      <c r="U13" s="36">
        <v>105</v>
      </c>
      <c r="V13" s="37" t="s">
        <v>687</v>
      </c>
      <c r="W13" s="28">
        <v>0</v>
      </c>
      <c r="X13" s="38">
        <f t="shared" si="9"/>
        <v>0</v>
      </c>
      <c r="Y13" s="39">
        <f t="shared" si="10"/>
        <v>0</v>
      </c>
      <c r="Z13" s="28">
        <v>0</v>
      </c>
      <c r="AA13" s="28" t="s">
        <v>34</v>
      </c>
      <c r="AB13" s="40">
        <f t="shared" si="11"/>
        <v>-0.69</v>
      </c>
      <c r="AC13" s="41">
        <v>0.14755497685185187</v>
      </c>
      <c r="AD13" s="39">
        <f t="shared" si="12"/>
        <v>-0.8145034722222223</v>
      </c>
      <c r="AE13" s="39">
        <v>-6.56</v>
      </c>
      <c r="AF13" s="39">
        <v>-13.0224035714285</v>
      </c>
      <c r="AG13" s="39">
        <v>0</v>
      </c>
    </row>
    <row r="14" spans="1:33" ht="15.75" customHeight="1" x14ac:dyDescent="0.2">
      <c r="A14" s="28" t="s">
        <v>51</v>
      </c>
      <c r="B14" s="28" t="s">
        <v>52</v>
      </c>
      <c r="C14" s="15">
        <f t="shared" si="4"/>
        <v>40.99</v>
      </c>
      <c r="D14" s="29">
        <v>1</v>
      </c>
      <c r="E14" s="29">
        <v>0</v>
      </c>
      <c r="F14" s="32">
        <v>40.99</v>
      </c>
      <c r="G14" s="30">
        <v>-0.06</v>
      </c>
      <c r="H14" s="31">
        <f t="shared" si="1"/>
        <v>1.4637716516223468E-3</v>
      </c>
      <c r="I14" s="31">
        <f t="shared" si="2"/>
        <v>0.36583241182034515</v>
      </c>
      <c r="J14" s="32">
        <f t="shared" si="5"/>
        <v>14.995470560515949</v>
      </c>
      <c r="K14" s="32">
        <f t="shared" si="3"/>
        <v>14.995470560515949</v>
      </c>
      <c r="L14" s="29">
        <v>9</v>
      </c>
      <c r="M14" s="33">
        <f t="shared" si="6"/>
        <v>0.1111111111111111</v>
      </c>
      <c r="N14" s="29">
        <v>0</v>
      </c>
      <c r="O14" s="34">
        <f t="shared" ref="O14:P14" si="22">D14/7</f>
        <v>0.14285714285714285</v>
      </c>
      <c r="P14" s="34">
        <f t="shared" si="22"/>
        <v>0</v>
      </c>
      <c r="Q14" s="29">
        <f t="shared" si="8"/>
        <v>0</v>
      </c>
      <c r="R14" s="29"/>
      <c r="S14" s="35">
        <v>2.1333333333333302</v>
      </c>
      <c r="T14" s="28">
        <v>189</v>
      </c>
      <c r="U14" s="36">
        <v>105</v>
      </c>
      <c r="V14" s="37" t="s">
        <v>687</v>
      </c>
      <c r="W14" s="28">
        <v>0</v>
      </c>
      <c r="X14" s="38">
        <f t="shared" si="9"/>
        <v>0</v>
      </c>
      <c r="Y14" s="39">
        <f t="shared" si="10"/>
        <v>0</v>
      </c>
      <c r="Z14" s="28">
        <v>0</v>
      </c>
      <c r="AA14" s="28" t="s">
        <v>34</v>
      </c>
      <c r="AB14" s="40">
        <f t="shared" si="11"/>
        <v>-0.69</v>
      </c>
      <c r="AC14" s="41">
        <v>0.14755497685185187</v>
      </c>
      <c r="AD14" s="39">
        <f t="shared" si="12"/>
        <v>-0.20362586805555558</v>
      </c>
      <c r="AE14" s="39">
        <v>-6.56</v>
      </c>
      <c r="AF14" s="39">
        <v>-13.0224035714285</v>
      </c>
      <c r="AG14" s="39">
        <v>0</v>
      </c>
    </row>
    <row r="15" spans="1:33" ht="15.75" customHeight="1" x14ac:dyDescent="0.2">
      <c r="A15" s="28" t="s">
        <v>53</v>
      </c>
      <c r="B15" s="28"/>
      <c r="C15" s="15">
        <f t="shared" si="4"/>
        <v>40.99</v>
      </c>
      <c r="D15" s="29">
        <v>1</v>
      </c>
      <c r="E15" s="29">
        <v>0</v>
      </c>
      <c r="F15" s="32">
        <v>40.99</v>
      </c>
      <c r="G15" s="30">
        <v>0</v>
      </c>
      <c r="H15" s="31">
        <f t="shared" si="1"/>
        <v>0</v>
      </c>
      <c r="I15" s="31">
        <f t="shared" si="2"/>
        <v>0.36729618347196757</v>
      </c>
      <c r="J15" s="32">
        <f t="shared" si="5"/>
        <v>15.055470560515952</v>
      </c>
      <c r="K15" s="32">
        <f t="shared" si="3"/>
        <v>15.055470560515952</v>
      </c>
      <c r="L15" s="29">
        <v>2</v>
      </c>
      <c r="M15" s="33">
        <f t="shared" si="6"/>
        <v>0.5</v>
      </c>
      <c r="N15" s="29">
        <v>0</v>
      </c>
      <c r="O15" s="34">
        <f t="shared" ref="O15:P15" si="23">D15/7</f>
        <v>0.14285714285714285</v>
      </c>
      <c r="P15" s="34">
        <f t="shared" si="23"/>
        <v>0</v>
      </c>
      <c r="Q15" s="29">
        <f t="shared" si="8"/>
        <v>0</v>
      </c>
      <c r="R15" s="29"/>
      <c r="S15" s="35">
        <v>2.2815884476534198</v>
      </c>
      <c r="T15" s="28">
        <v>574</v>
      </c>
      <c r="U15" s="36">
        <v>105</v>
      </c>
      <c r="V15" s="37" t="s">
        <v>688</v>
      </c>
      <c r="W15" s="28">
        <v>0</v>
      </c>
      <c r="X15" s="38">
        <f t="shared" si="9"/>
        <v>0</v>
      </c>
      <c r="Y15" s="39">
        <f t="shared" si="10"/>
        <v>0</v>
      </c>
      <c r="Z15" s="28">
        <v>0</v>
      </c>
      <c r="AA15" s="28" t="s">
        <v>34</v>
      </c>
      <c r="AB15" s="40">
        <f t="shared" si="11"/>
        <v>-0.69</v>
      </c>
      <c r="AC15" s="41">
        <v>0.14755497685185187</v>
      </c>
      <c r="AD15" s="39">
        <f t="shared" si="12"/>
        <v>-0.20362586805555558</v>
      </c>
      <c r="AE15" s="39">
        <v>-6.56</v>
      </c>
      <c r="AF15" s="39">
        <v>-13.0224035714285</v>
      </c>
      <c r="AG15" s="39">
        <v>0</v>
      </c>
    </row>
    <row r="16" spans="1:33" ht="15.75" customHeight="1" x14ac:dyDescent="0.2">
      <c r="A16" s="28" t="s">
        <v>54</v>
      </c>
      <c r="B16" s="28" t="s">
        <v>689</v>
      </c>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104</v>
      </c>
      <c r="O16" s="34">
        <f t="shared" ref="O16:P16" si="24">D16/7</f>
        <v>0</v>
      </c>
      <c r="P16" s="34">
        <f t="shared" si="24"/>
        <v>0</v>
      </c>
      <c r="Q16" s="29" t="e">
        <f t="shared" si="8"/>
        <v>#DIV/0!</v>
      </c>
      <c r="R16" s="29"/>
      <c r="S16" s="35">
        <v>1.6914285714285699</v>
      </c>
      <c r="T16" s="28">
        <v>469</v>
      </c>
      <c r="U16" s="36">
        <v>84</v>
      </c>
      <c r="V16" s="37" t="s">
        <v>690</v>
      </c>
      <c r="W16" s="28">
        <v>0</v>
      </c>
      <c r="X16" s="38">
        <f t="shared" si="9"/>
        <v>0</v>
      </c>
      <c r="Y16" s="39">
        <f t="shared" si="10"/>
        <v>0</v>
      </c>
      <c r="Z16" s="28">
        <v>0</v>
      </c>
      <c r="AA16" s="28" t="e">
        <v>#N/A</v>
      </c>
      <c r="AB16" s="40" t="e">
        <f t="shared" si="11"/>
        <v>#N/A</v>
      </c>
      <c r="AC16" s="41" t="e">
        <v>#N/A</v>
      </c>
      <c r="AD16" s="39">
        <f t="shared" si="12"/>
        <v>0</v>
      </c>
      <c r="AE16" s="39">
        <v>0</v>
      </c>
      <c r="AF16" s="39">
        <v>-13.0224035714285</v>
      </c>
      <c r="AG16" s="39">
        <v>0</v>
      </c>
    </row>
    <row r="17" spans="1:33" ht="15.75" customHeight="1" x14ac:dyDescent="0.2">
      <c r="A17" s="28" t="s">
        <v>55</v>
      </c>
      <c r="B17" s="28" t="s">
        <v>691</v>
      </c>
      <c r="C17" s="15">
        <f t="shared" si="4"/>
        <v>40.120000000000005</v>
      </c>
      <c r="D17" s="29">
        <v>17</v>
      </c>
      <c r="E17" s="29">
        <v>1</v>
      </c>
      <c r="F17" s="32">
        <v>682.04000000000008</v>
      </c>
      <c r="G17" s="30">
        <v>-0.08</v>
      </c>
      <c r="H17" s="31">
        <f t="shared" si="1"/>
        <v>1.1729517330361855E-4</v>
      </c>
      <c r="I17" s="31">
        <f t="shared" si="2"/>
        <v>0.36347868091134106</v>
      </c>
      <c r="J17" s="32">
        <f t="shared" si="5"/>
        <v>247.90699952877108</v>
      </c>
      <c r="K17" s="32">
        <f t="shared" si="3"/>
        <v>14.582764678163004</v>
      </c>
      <c r="L17" s="29">
        <v>51</v>
      </c>
      <c r="M17" s="33">
        <f t="shared" si="6"/>
        <v>0.33333333333333331</v>
      </c>
      <c r="N17" s="29">
        <v>90</v>
      </c>
      <c r="O17" s="34">
        <f t="shared" ref="O17:P17" si="25">D17/7</f>
        <v>2.4285714285714284</v>
      </c>
      <c r="P17" s="34">
        <f t="shared" si="25"/>
        <v>0.14285714285714285</v>
      </c>
      <c r="Q17" s="29">
        <f t="shared" si="8"/>
        <v>35</v>
      </c>
      <c r="R17" s="29"/>
      <c r="S17" s="35">
        <v>1.7877813504823099</v>
      </c>
      <c r="T17" s="28">
        <v>469</v>
      </c>
      <c r="U17" s="36">
        <v>84</v>
      </c>
      <c r="V17" s="37" t="s">
        <v>692</v>
      </c>
      <c r="W17" s="28">
        <v>0</v>
      </c>
      <c r="X17" s="38">
        <f t="shared" si="9"/>
        <v>0</v>
      </c>
      <c r="Y17" s="39">
        <f t="shared" si="10"/>
        <v>0</v>
      </c>
      <c r="Z17" s="28">
        <v>0</v>
      </c>
      <c r="AA17" s="28" t="s">
        <v>34</v>
      </c>
      <c r="AB17" s="40">
        <f t="shared" si="11"/>
        <v>-0.69</v>
      </c>
      <c r="AC17" s="41">
        <v>0.14755497685185187</v>
      </c>
      <c r="AD17" s="39">
        <f t="shared" si="12"/>
        <v>-3.4616397569444448</v>
      </c>
      <c r="AE17" s="39">
        <v>-6.56</v>
      </c>
      <c r="AF17" s="39">
        <v>-12.7509035714285</v>
      </c>
      <c r="AG17" s="39">
        <v>0</v>
      </c>
    </row>
    <row r="18" spans="1:33" ht="15.75" customHeight="1" x14ac:dyDescent="0.2">
      <c r="A18" s="28" t="s">
        <v>56</v>
      </c>
      <c r="B18" s="28" t="s">
        <v>693</v>
      </c>
      <c r="C18" s="15">
        <f t="shared" si="4"/>
        <v>38.630909090909093</v>
      </c>
      <c r="D18" s="29">
        <v>22</v>
      </c>
      <c r="E18" s="29">
        <v>20</v>
      </c>
      <c r="F18" s="32">
        <v>849.88000000000011</v>
      </c>
      <c r="G18" s="30">
        <v>-0.16</v>
      </c>
      <c r="H18" s="31">
        <f t="shared" si="1"/>
        <v>1.8826187226431964E-4</v>
      </c>
      <c r="I18" s="31">
        <f t="shared" si="2"/>
        <v>0.34465848394049842</v>
      </c>
      <c r="J18" s="32">
        <f t="shared" si="5"/>
        <v>292.91835233135083</v>
      </c>
      <c r="K18" s="32">
        <f t="shared" si="3"/>
        <v>13.314470560515947</v>
      </c>
      <c r="L18" s="29">
        <v>65</v>
      </c>
      <c r="M18" s="33">
        <f t="shared" si="6"/>
        <v>0.33846153846153848</v>
      </c>
      <c r="N18" s="29">
        <v>43</v>
      </c>
      <c r="O18" s="34">
        <f t="shared" ref="O18:P18" si="26">D18/7</f>
        <v>3.1428571428571428</v>
      </c>
      <c r="P18" s="34">
        <f t="shared" si="26"/>
        <v>2.8571428571428572</v>
      </c>
      <c r="Q18" s="29">
        <f t="shared" si="8"/>
        <v>7</v>
      </c>
      <c r="R18" s="29"/>
      <c r="S18" s="35">
        <v>2.9074074074073999</v>
      </c>
      <c r="T18" s="28">
        <v>469</v>
      </c>
      <c r="U18" s="36">
        <v>84</v>
      </c>
      <c r="V18" s="37" t="s">
        <v>694</v>
      </c>
      <c r="W18" s="28">
        <v>0</v>
      </c>
      <c r="X18" s="38">
        <f t="shared" si="9"/>
        <v>0</v>
      </c>
      <c r="Y18" s="39">
        <f t="shared" si="10"/>
        <v>0</v>
      </c>
      <c r="Z18" s="28">
        <v>0</v>
      </c>
      <c r="AA18" s="28" t="s">
        <v>34</v>
      </c>
      <c r="AB18" s="40">
        <f t="shared" si="11"/>
        <v>-0.69</v>
      </c>
      <c r="AC18" s="41">
        <v>0.14755497685185187</v>
      </c>
      <c r="AD18" s="39">
        <f t="shared" si="12"/>
        <v>-4.4797690972222224</v>
      </c>
      <c r="AE18" s="39">
        <v>-6.56</v>
      </c>
      <c r="AF18" s="39">
        <v>-12.7509035714285</v>
      </c>
      <c r="AG18" s="39">
        <v>0</v>
      </c>
    </row>
    <row r="19" spans="1:33" ht="15.75" customHeight="1" x14ac:dyDescent="0.2">
      <c r="A19" s="28" t="s">
        <v>57</v>
      </c>
      <c r="B19" s="28" t="s">
        <v>150</v>
      </c>
      <c r="C19" s="15">
        <f t="shared" si="4"/>
        <v>41.99</v>
      </c>
      <c r="D19" s="29">
        <v>7</v>
      </c>
      <c r="E19" s="29">
        <v>17</v>
      </c>
      <c r="F19" s="32">
        <v>293.93</v>
      </c>
      <c r="G19" s="30">
        <v>0</v>
      </c>
      <c r="H19" s="31">
        <f t="shared" si="1"/>
        <v>0</v>
      </c>
      <c r="I19" s="31">
        <f t="shared" si="2"/>
        <v>0.37146932151740586</v>
      </c>
      <c r="J19" s="32">
        <f t="shared" si="5"/>
        <v>109.18597767361111</v>
      </c>
      <c r="K19" s="32">
        <f t="shared" si="3"/>
        <v>15.597996810515872</v>
      </c>
      <c r="L19" s="29">
        <v>27</v>
      </c>
      <c r="M19" s="33">
        <f t="shared" si="6"/>
        <v>0.25925925925925924</v>
      </c>
      <c r="N19" s="29">
        <v>18</v>
      </c>
      <c r="O19" s="34">
        <f t="shared" ref="O19:P19" si="27">D19/7</f>
        <v>1</v>
      </c>
      <c r="P19" s="34">
        <f t="shared" si="27"/>
        <v>2.4285714285714284</v>
      </c>
      <c r="Q19" s="29">
        <f t="shared" si="8"/>
        <v>5</v>
      </c>
      <c r="R19" s="29"/>
      <c r="S19" s="35">
        <v>3.7456647398843899</v>
      </c>
      <c r="T19" s="28">
        <v>469</v>
      </c>
      <c r="U19" s="36">
        <v>84</v>
      </c>
      <c r="V19" s="37" t="s">
        <v>695</v>
      </c>
      <c r="W19" s="28">
        <v>0</v>
      </c>
      <c r="X19" s="38">
        <f t="shared" si="9"/>
        <v>0</v>
      </c>
      <c r="Y19" s="39">
        <f t="shared" si="10"/>
        <v>0</v>
      </c>
      <c r="Z19" s="28">
        <v>0</v>
      </c>
      <c r="AA19" s="28" t="s">
        <v>34</v>
      </c>
      <c r="AB19" s="40">
        <f t="shared" si="11"/>
        <v>-0.69</v>
      </c>
      <c r="AC19" s="41">
        <v>0.14755497685185187</v>
      </c>
      <c r="AD19" s="39">
        <f t="shared" si="12"/>
        <v>-1.425381076388889</v>
      </c>
      <c r="AE19" s="39">
        <v>-6.56</v>
      </c>
      <c r="AF19" s="39">
        <v>-13.329877321428574</v>
      </c>
      <c r="AG19" s="39">
        <v>0</v>
      </c>
    </row>
    <row r="20" spans="1:33" ht="15.75" customHeight="1" x14ac:dyDescent="0.2">
      <c r="A20" s="28" t="s">
        <v>58</v>
      </c>
      <c r="B20" s="28" t="s">
        <v>150</v>
      </c>
      <c r="C20" s="15">
        <f t="shared" si="4"/>
        <v>41.99</v>
      </c>
      <c r="D20" s="29">
        <v>4</v>
      </c>
      <c r="E20" s="29">
        <v>8</v>
      </c>
      <c r="F20" s="32">
        <v>167.96</v>
      </c>
      <c r="G20" s="30">
        <v>-0.28000000000000003</v>
      </c>
      <c r="H20" s="31">
        <f t="shared" si="1"/>
        <v>1.6670635865682307E-3</v>
      </c>
      <c r="I20" s="31">
        <f t="shared" si="2"/>
        <v>0.36980225793083749</v>
      </c>
      <c r="J20" s="32">
        <f t="shared" si="5"/>
        <v>62.111987242063471</v>
      </c>
      <c r="K20" s="32">
        <f t="shared" si="3"/>
        <v>15.527996810515868</v>
      </c>
      <c r="L20" s="29">
        <v>44</v>
      </c>
      <c r="M20" s="33">
        <f t="shared" si="6"/>
        <v>9.0909090909090912E-2</v>
      </c>
      <c r="N20" s="29">
        <v>2</v>
      </c>
      <c r="O20" s="34">
        <f t="shared" ref="O20:P20" si="28">D20/7</f>
        <v>0.5714285714285714</v>
      </c>
      <c r="P20" s="34">
        <f t="shared" si="28"/>
        <v>1.1428571428571428</v>
      </c>
      <c r="Q20" s="29">
        <f t="shared" si="8"/>
        <v>1</v>
      </c>
      <c r="R20" s="29"/>
      <c r="S20" s="35">
        <v>6.1403508771929802</v>
      </c>
      <c r="T20" s="28">
        <v>469</v>
      </c>
      <c r="U20" s="36">
        <v>84</v>
      </c>
      <c r="V20" s="37" t="s">
        <v>695</v>
      </c>
      <c r="W20" s="28">
        <v>0</v>
      </c>
      <c r="X20" s="38">
        <f t="shared" si="9"/>
        <v>0</v>
      </c>
      <c r="Y20" s="39">
        <f t="shared" si="10"/>
        <v>0</v>
      </c>
      <c r="Z20" s="28">
        <v>0</v>
      </c>
      <c r="AA20" s="28" t="s">
        <v>34</v>
      </c>
      <c r="AB20" s="40">
        <f t="shared" si="11"/>
        <v>-0.69</v>
      </c>
      <c r="AC20" s="41">
        <v>0.14755497685185187</v>
      </c>
      <c r="AD20" s="39">
        <f t="shared" si="12"/>
        <v>-0.8145034722222223</v>
      </c>
      <c r="AE20" s="39">
        <v>-6.56</v>
      </c>
      <c r="AF20" s="39">
        <v>-13.329877321428574</v>
      </c>
      <c r="AG20" s="39">
        <v>0</v>
      </c>
    </row>
    <row r="21" spans="1:33" ht="15.75" customHeight="1" x14ac:dyDescent="0.2">
      <c r="A21" s="28" t="s">
        <v>59</v>
      </c>
      <c r="B21" s="28" t="s">
        <v>280</v>
      </c>
      <c r="C21" s="15">
        <f t="shared" si="4"/>
        <v>41.99</v>
      </c>
      <c r="D21" s="29">
        <v>8</v>
      </c>
      <c r="E21" s="29">
        <v>0</v>
      </c>
      <c r="F21" s="32">
        <v>335.92</v>
      </c>
      <c r="G21" s="30">
        <v>-0.14000000000000001</v>
      </c>
      <c r="H21" s="31">
        <f t="shared" si="1"/>
        <v>4.1676589664205768E-4</v>
      </c>
      <c r="I21" s="31">
        <f t="shared" si="2"/>
        <v>0.37105255562076372</v>
      </c>
      <c r="J21" s="32">
        <f t="shared" si="5"/>
        <v>124.64397448412696</v>
      </c>
      <c r="K21" s="32">
        <f t="shared" si="3"/>
        <v>15.58049681051587</v>
      </c>
      <c r="L21" s="29">
        <v>16</v>
      </c>
      <c r="M21" s="33">
        <f t="shared" si="6"/>
        <v>0.5</v>
      </c>
      <c r="N21" s="29">
        <v>81</v>
      </c>
      <c r="O21" s="34">
        <f t="shared" ref="O21:P21" si="29">D21/7</f>
        <v>1.1428571428571428</v>
      </c>
      <c r="P21" s="34">
        <f t="shared" si="29"/>
        <v>0</v>
      </c>
      <c r="Q21" s="29">
        <f t="shared" si="8"/>
        <v>70</v>
      </c>
      <c r="R21" s="29"/>
      <c r="S21" s="35">
        <v>2.48888888888888</v>
      </c>
      <c r="T21" s="28">
        <v>301</v>
      </c>
      <c r="U21" s="36">
        <v>119</v>
      </c>
      <c r="V21" s="37" t="s">
        <v>696</v>
      </c>
      <c r="W21" s="28">
        <v>0</v>
      </c>
      <c r="X21" s="38">
        <f t="shared" si="9"/>
        <v>0</v>
      </c>
      <c r="Y21" s="39">
        <f t="shared" si="10"/>
        <v>0</v>
      </c>
      <c r="Z21" s="28">
        <v>0</v>
      </c>
      <c r="AA21" s="28" t="s">
        <v>34</v>
      </c>
      <c r="AB21" s="40">
        <f t="shared" si="11"/>
        <v>-0.69</v>
      </c>
      <c r="AC21" s="41">
        <v>0.14755497685185187</v>
      </c>
      <c r="AD21" s="39">
        <f t="shared" si="12"/>
        <v>-1.6290069444444446</v>
      </c>
      <c r="AE21" s="39">
        <v>-6.56</v>
      </c>
      <c r="AF21" s="39">
        <v>-13.329877321428574</v>
      </c>
      <c r="AG21" s="39">
        <v>0</v>
      </c>
    </row>
    <row r="22" spans="1:33" ht="15.75" customHeight="1" x14ac:dyDescent="0.2">
      <c r="A22" s="28" t="s">
        <v>60</v>
      </c>
      <c r="B22" s="28" t="s">
        <v>697</v>
      </c>
      <c r="C22" s="15">
        <f t="shared" si="4"/>
        <v>42.327647058823537</v>
      </c>
      <c r="D22" s="29">
        <v>17</v>
      </c>
      <c r="E22" s="29">
        <v>12</v>
      </c>
      <c r="F22" s="30">
        <v>719.57000000000016</v>
      </c>
      <c r="G22" s="30">
        <v>-0.08</v>
      </c>
      <c r="H22" s="31">
        <f t="shared" si="1"/>
        <v>1.1117750878997177E-4</v>
      </c>
      <c r="I22" s="31">
        <f t="shared" si="2"/>
        <v>0.37517537665379302</v>
      </c>
      <c r="J22" s="32">
        <f t="shared" si="5"/>
        <v>269.9649457787699</v>
      </c>
      <c r="K22" s="32">
        <f t="shared" si="3"/>
        <v>15.880290928162935</v>
      </c>
      <c r="L22" s="29">
        <v>52</v>
      </c>
      <c r="M22" s="33">
        <f t="shared" si="6"/>
        <v>0.32692307692307693</v>
      </c>
      <c r="N22" s="29">
        <v>55</v>
      </c>
      <c r="O22" s="34">
        <f t="shared" ref="O22:P22" si="30">D22/7</f>
        <v>2.4285714285714284</v>
      </c>
      <c r="P22" s="34">
        <f t="shared" si="30"/>
        <v>1.7142857142857142</v>
      </c>
      <c r="Q22" s="29">
        <f t="shared" si="8"/>
        <v>13</v>
      </c>
      <c r="R22" s="29"/>
      <c r="S22" s="35">
        <v>3.625</v>
      </c>
      <c r="T22" s="28">
        <v>301</v>
      </c>
      <c r="U22" s="36">
        <v>119</v>
      </c>
      <c r="V22" s="37" t="s">
        <v>696</v>
      </c>
      <c r="W22" s="28">
        <v>0</v>
      </c>
      <c r="X22" s="38">
        <f t="shared" si="9"/>
        <v>0</v>
      </c>
      <c r="Y22" s="39">
        <f t="shared" si="10"/>
        <v>0</v>
      </c>
      <c r="Z22" s="28">
        <v>0</v>
      </c>
      <c r="AA22" s="28" t="s">
        <v>34</v>
      </c>
      <c r="AB22" s="40">
        <f t="shared" si="11"/>
        <v>-0.69</v>
      </c>
      <c r="AC22" s="41">
        <v>0.14755497685185187</v>
      </c>
      <c r="AD22" s="39">
        <f t="shared" si="12"/>
        <v>-3.4616397569444448</v>
      </c>
      <c r="AE22" s="39">
        <v>-6.56</v>
      </c>
      <c r="AF22" s="39">
        <v>-13.329877321428574</v>
      </c>
      <c r="AG22" s="39">
        <v>0</v>
      </c>
    </row>
    <row r="23" spans="1:33" ht="15.75" customHeight="1" x14ac:dyDescent="0.2">
      <c r="A23" s="28" t="s">
        <v>62</v>
      </c>
      <c r="B23" s="28" t="s">
        <v>698</v>
      </c>
      <c r="C23" s="15">
        <f t="shared" si="4"/>
        <v>44.977499999999999</v>
      </c>
      <c r="D23" s="29">
        <v>8</v>
      </c>
      <c r="E23" s="29">
        <v>11</v>
      </c>
      <c r="F23" s="32">
        <v>359.82</v>
      </c>
      <c r="G23" s="30">
        <v>-0.08</v>
      </c>
      <c r="H23" s="31">
        <f t="shared" si="1"/>
        <v>2.2233338891668056E-4</v>
      </c>
      <c r="I23" s="31">
        <f t="shared" si="2"/>
        <v>0.40303200067846962</v>
      </c>
      <c r="J23" s="32">
        <f t="shared" si="5"/>
        <v>145.01897448412694</v>
      </c>
      <c r="K23" s="32">
        <f t="shared" si="3"/>
        <v>18.127371810515868</v>
      </c>
      <c r="L23" s="29">
        <v>44</v>
      </c>
      <c r="M23" s="33">
        <f t="shared" si="6"/>
        <v>0.18181818181818182</v>
      </c>
      <c r="N23" s="29">
        <v>30</v>
      </c>
      <c r="O23" s="34">
        <f t="shared" ref="O23:P23" si="31">D23/7</f>
        <v>1.1428571428571428</v>
      </c>
      <c r="P23" s="34">
        <f t="shared" si="31"/>
        <v>1.5714285714285714</v>
      </c>
      <c r="Q23" s="29">
        <f t="shared" si="8"/>
        <v>11</v>
      </c>
      <c r="R23" s="29"/>
      <c r="S23" s="35">
        <v>6.7169811320754702</v>
      </c>
      <c r="T23" s="28">
        <v>301</v>
      </c>
      <c r="U23" s="36" t="s">
        <v>33</v>
      </c>
      <c r="V23" s="37" t="s">
        <v>699</v>
      </c>
      <c r="W23" s="28">
        <v>0</v>
      </c>
      <c r="X23" s="38">
        <f t="shared" si="9"/>
        <v>0</v>
      </c>
      <c r="Y23" s="39">
        <f t="shared" si="10"/>
        <v>0</v>
      </c>
      <c r="Z23" s="28">
        <v>0</v>
      </c>
      <c r="AA23" s="28" t="s">
        <v>34</v>
      </c>
      <c r="AB23" s="40">
        <f t="shared" si="11"/>
        <v>-0.69</v>
      </c>
      <c r="AC23" s="41">
        <v>0.14755497685185187</v>
      </c>
      <c r="AD23" s="39">
        <f t="shared" si="12"/>
        <v>-1.6290069444444446</v>
      </c>
      <c r="AE23" s="39">
        <v>-6.56</v>
      </c>
      <c r="AF23" s="39">
        <v>-13.329877321428574</v>
      </c>
      <c r="AG23" s="39">
        <v>0</v>
      </c>
    </row>
    <row r="24" spans="1:33" ht="15.75" customHeight="1" x14ac:dyDescent="0.2">
      <c r="A24" s="28" t="s">
        <v>64</v>
      </c>
      <c r="B24" s="28" t="s">
        <v>150</v>
      </c>
      <c r="C24" s="15">
        <f t="shared" si="4"/>
        <v>44.936666666666667</v>
      </c>
      <c r="D24" s="29">
        <v>3</v>
      </c>
      <c r="E24" s="29">
        <v>17</v>
      </c>
      <c r="F24" s="32">
        <v>134.81</v>
      </c>
      <c r="G24" s="32">
        <v>-0.14000000000000001</v>
      </c>
      <c r="H24" s="31">
        <f t="shared" si="1"/>
        <v>1.038498627698242E-3</v>
      </c>
      <c r="I24" s="31">
        <f t="shared" si="2"/>
        <v>0.4018098837738121</v>
      </c>
      <c r="J24" s="32">
        <f t="shared" si="5"/>
        <v>54.167990431547608</v>
      </c>
      <c r="K24" s="32">
        <f t="shared" si="3"/>
        <v>18.055996810515868</v>
      </c>
      <c r="L24" s="29">
        <v>34</v>
      </c>
      <c r="M24" s="33">
        <f t="shared" si="6"/>
        <v>8.8235294117647065E-2</v>
      </c>
      <c r="N24" s="29">
        <v>12</v>
      </c>
      <c r="O24" s="34">
        <f t="shared" ref="O24:P24" si="32">D24/7</f>
        <v>0.42857142857142855</v>
      </c>
      <c r="P24" s="34">
        <f t="shared" si="32"/>
        <v>2.4285714285714284</v>
      </c>
      <c r="Q24" s="29">
        <f t="shared" si="8"/>
        <v>4</v>
      </c>
      <c r="R24" s="29"/>
      <c r="S24" s="35">
        <v>12.709677419354801</v>
      </c>
      <c r="T24" s="28">
        <v>301</v>
      </c>
      <c r="U24" s="36" t="s">
        <v>33</v>
      </c>
      <c r="V24" s="37" t="s">
        <v>699</v>
      </c>
      <c r="W24" s="28">
        <v>0</v>
      </c>
      <c r="X24" s="38">
        <f t="shared" si="9"/>
        <v>0</v>
      </c>
      <c r="Y24" s="39">
        <f t="shared" si="10"/>
        <v>0</v>
      </c>
      <c r="Z24" s="28">
        <v>0</v>
      </c>
      <c r="AA24" s="28" t="s">
        <v>34</v>
      </c>
      <c r="AB24" s="40">
        <f t="shared" si="11"/>
        <v>-0.69</v>
      </c>
      <c r="AC24" s="41">
        <v>0.14755497685185187</v>
      </c>
      <c r="AD24" s="39">
        <f t="shared" si="12"/>
        <v>-0.6108776041666667</v>
      </c>
      <c r="AE24" s="39">
        <v>-6.56</v>
      </c>
      <c r="AF24" s="39">
        <v>-13.329877321428574</v>
      </c>
      <c r="AG24" s="39">
        <v>0</v>
      </c>
    </row>
    <row r="25" spans="1:33" ht="15.75" customHeight="1" x14ac:dyDescent="0.2">
      <c r="A25" s="28" t="s">
        <v>65</v>
      </c>
      <c r="B25" s="14"/>
      <c r="C25" s="15">
        <f t="shared" si="4"/>
        <v>46.347777777777779</v>
      </c>
      <c r="D25" s="29">
        <v>9</v>
      </c>
      <c r="E25" s="29">
        <v>1</v>
      </c>
      <c r="F25" s="32">
        <v>417.13</v>
      </c>
      <c r="G25" s="32">
        <v>-0.13</v>
      </c>
      <c r="H25" s="31">
        <f t="shared" si="1"/>
        <v>3.1165344137319305E-4</v>
      </c>
      <c r="I25" s="31">
        <f t="shared" si="2"/>
        <v>0.41614812453551647</v>
      </c>
      <c r="J25" s="32">
        <f t="shared" si="5"/>
        <v>173.5878671875</v>
      </c>
      <c r="K25" s="32">
        <f t="shared" si="3"/>
        <v>19.287540798611111</v>
      </c>
      <c r="L25" s="29">
        <v>23</v>
      </c>
      <c r="M25" s="33">
        <f t="shared" si="6"/>
        <v>0.39130434782608697</v>
      </c>
      <c r="N25" s="29">
        <v>6</v>
      </c>
      <c r="O25" s="34">
        <f t="shared" ref="O25:P25" si="33">D25/7</f>
        <v>1.2857142857142858</v>
      </c>
      <c r="P25" s="34">
        <f t="shared" si="33"/>
        <v>0.14285714285714285</v>
      </c>
      <c r="Q25" s="29">
        <f t="shared" si="8"/>
        <v>4</v>
      </c>
      <c r="R25" s="29"/>
      <c r="S25" s="35">
        <v>0</v>
      </c>
      <c r="T25" s="28">
        <v>301</v>
      </c>
      <c r="U25" s="36">
        <v>119</v>
      </c>
      <c r="V25" s="37" t="s">
        <v>700</v>
      </c>
      <c r="W25" s="14">
        <v>1</v>
      </c>
      <c r="X25" s="38">
        <f t="shared" si="9"/>
        <v>0.1111111111111111</v>
      </c>
      <c r="Y25" s="39">
        <f t="shared" si="10"/>
        <v>0.13</v>
      </c>
      <c r="Z25" s="14">
        <v>0</v>
      </c>
      <c r="AA25" s="28" t="s">
        <v>34</v>
      </c>
      <c r="AB25" s="40">
        <f t="shared" si="11"/>
        <v>-0.69</v>
      </c>
      <c r="AC25" s="41">
        <v>0.14755497685185187</v>
      </c>
      <c r="AD25" s="39">
        <f t="shared" si="12"/>
        <v>-1.8326328125000002</v>
      </c>
      <c r="AE25" s="39">
        <v>-6.56</v>
      </c>
      <c r="AF25" s="39">
        <v>-13.33</v>
      </c>
      <c r="AG25" s="39">
        <v>0</v>
      </c>
    </row>
    <row r="26" spans="1:33" ht="15.75" customHeight="1" x14ac:dyDescent="0.2">
      <c r="A26" s="14" t="s">
        <v>67</v>
      </c>
      <c r="B26" s="14" t="s">
        <v>52</v>
      </c>
      <c r="C26" s="15">
        <f t="shared" si="4"/>
        <v>45.99</v>
      </c>
      <c r="D26" s="16">
        <v>7</v>
      </c>
      <c r="E26" s="16">
        <v>0</v>
      </c>
      <c r="F26" s="17">
        <v>321.93</v>
      </c>
      <c r="G26" s="17">
        <v>-0.04</v>
      </c>
      <c r="H26" s="31">
        <f t="shared" si="1"/>
        <v>1.2425061348740409E-4</v>
      </c>
      <c r="I26" s="31">
        <f t="shared" si="2"/>
        <v>0.41169191337747663</v>
      </c>
      <c r="J26" s="32">
        <f t="shared" si="5"/>
        <v>132.53597767361106</v>
      </c>
      <c r="K26" s="32">
        <f t="shared" si="3"/>
        <v>18.933711096230152</v>
      </c>
      <c r="L26" s="16">
        <v>27</v>
      </c>
      <c r="M26" s="33">
        <f t="shared" si="6"/>
        <v>0.25925925925925924</v>
      </c>
      <c r="N26" s="16">
        <v>2</v>
      </c>
      <c r="O26" s="34">
        <f t="shared" ref="O26:P26" si="34">D26/7</f>
        <v>1</v>
      </c>
      <c r="P26" s="34">
        <f t="shared" si="34"/>
        <v>0</v>
      </c>
      <c r="Q26" s="29">
        <f t="shared" si="8"/>
        <v>2</v>
      </c>
      <c r="R26" s="29"/>
      <c r="S26" s="21">
        <v>4.2727272727272716</v>
      </c>
      <c r="T26" s="28">
        <v>707</v>
      </c>
      <c r="U26" s="36">
        <v>119</v>
      </c>
      <c r="V26" s="37" t="s">
        <v>700</v>
      </c>
      <c r="W26" s="14">
        <v>0</v>
      </c>
      <c r="X26" s="38">
        <f t="shared" si="9"/>
        <v>0</v>
      </c>
      <c r="Y26" s="39">
        <f t="shared" si="10"/>
        <v>0</v>
      </c>
      <c r="Z26" s="14">
        <v>0</v>
      </c>
      <c r="AA26" s="28" t="s">
        <v>34</v>
      </c>
      <c r="AB26" s="40">
        <f t="shared" si="11"/>
        <v>-0.69</v>
      </c>
      <c r="AC26" s="41">
        <v>0.14755497685185187</v>
      </c>
      <c r="AD26" s="39">
        <f t="shared" si="12"/>
        <v>-1.425381076388889</v>
      </c>
      <c r="AE26" s="25">
        <v>-6.56</v>
      </c>
      <c r="AF26" s="25">
        <v>-13.38844875</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1</v>
      </c>
      <c r="O27" s="34">
        <f t="shared" ref="O27:P27" si="35">D27/7</f>
        <v>0</v>
      </c>
      <c r="P27" s="34">
        <f t="shared" si="35"/>
        <v>0</v>
      </c>
      <c r="Q27" s="29" t="e">
        <f t="shared" si="8"/>
        <v>#DIV/0!</v>
      </c>
      <c r="R27" s="29"/>
      <c r="S27" s="21">
        <v>11.515151515151519</v>
      </c>
      <c r="T27" s="28">
        <v>707</v>
      </c>
      <c r="U27" s="36">
        <v>119</v>
      </c>
      <c r="V27" s="37" t="s">
        <v>700</v>
      </c>
      <c r="W27" s="14">
        <v>0</v>
      </c>
      <c r="X27" s="38">
        <f t="shared" si="9"/>
        <v>0</v>
      </c>
      <c r="Y27" s="39">
        <f t="shared" si="10"/>
        <v>0</v>
      </c>
      <c r="Z27" s="14">
        <v>0</v>
      </c>
      <c r="AA27" s="28" t="s">
        <v>34</v>
      </c>
      <c r="AB27" s="40">
        <f t="shared" si="11"/>
        <v>-0.69</v>
      </c>
      <c r="AC27" s="41">
        <v>0.14755497685185187</v>
      </c>
      <c r="AD27" s="39">
        <f t="shared" si="12"/>
        <v>0</v>
      </c>
      <c r="AE27" s="25">
        <v>-6.56</v>
      </c>
      <c r="AF27" s="25">
        <v>-12.7509035714285</v>
      </c>
      <c r="AG27" s="25">
        <v>0</v>
      </c>
    </row>
    <row r="28" spans="1:33" ht="15.75" customHeight="1" x14ac:dyDescent="0.2">
      <c r="A28" s="14" t="s">
        <v>71</v>
      </c>
      <c r="B28" s="14"/>
      <c r="C28" s="15">
        <f t="shared" si="4"/>
        <v>45.99</v>
      </c>
      <c r="D28" s="16">
        <v>1</v>
      </c>
      <c r="E28" s="16">
        <v>0</v>
      </c>
      <c r="F28" s="17">
        <v>45.99</v>
      </c>
      <c r="G28" s="17">
        <v>0</v>
      </c>
      <c r="H28" s="31">
        <f t="shared" si="1"/>
        <v>0</v>
      </c>
      <c r="I28" s="31">
        <f t="shared" si="2"/>
        <v>0.42567885541456718</v>
      </c>
      <c r="J28" s="32">
        <f t="shared" si="5"/>
        <v>19.576970560515946</v>
      </c>
      <c r="K28" s="32">
        <f t="shared" si="3"/>
        <v>19.576970560515946</v>
      </c>
      <c r="L28" s="16">
        <v>2</v>
      </c>
      <c r="M28" s="33">
        <f t="shared" si="6"/>
        <v>0.5</v>
      </c>
      <c r="N28" s="16">
        <v>0</v>
      </c>
      <c r="O28" s="34">
        <f t="shared" ref="O28:P28" si="36">D28/7</f>
        <v>0.14285714285714285</v>
      </c>
      <c r="P28" s="34">
        <f t="shared" si="36"/>
        <v>0</v>
      </c>
      <c r="Q28" s="29">
        <f t="shared" si="8"/>
        <v>0</v>
      </c>
      <c r="R28" s="29"/>
      <c r="S28" s="21">
        <v>0</v>
      </c>
      <c r="T28" s="28">
        <v>707</v>
      </c>
      <c r="U28" s="36">
        <v>119</v>
      </c>
      <c r="V28" s="37" t="s">
        <v>701</v>
      </c>
      <c r="W28" s="14">
        <v>0</v>
      </c>
      <c r="X28" s="38">
        <f t="shared" si="9"/>
        <v>0</v>
      </c>
      <c r="Y28" s="39">
        <f t="shared" si="10"/>
        <v>0</v>
      </c>
      <c r="Z28" s="14">
        <v>0</v>
      </c>
      <c r="AA28" s="28" t="s">
        <v>34</v>
      </c>
      <c r="AB28" s="40">
        <f t="shared" si="11"/>
        <v>-0.69</v>
      </c>
      <c r="AC28" s="41">
        <v>0.14755497685185187</v>
      </c>
      <c r="AD28" s="39">
        <f t="shared" si="12"/>
        <v>-0.20362586805555558</v>
      </c>
      <c r="AE28" s="25">
        <v>-6.56</v>
      </c>
      <c r="AF28" s="25">
        <v>-12.7509035714285</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826</v>
      </c>
      <c r="U29" s="36">
        <v>119</v>
      </c>
      <c r="V29" s="37" t="s">
        <v>702</v>
      </c>
      <c r="W29" s="14">
        <v>0</v>
      </c>
      <c r="X29" s="38">
        <f t="shared" si="9"/>
        <v>0</v>
      </c>
      <c r="Y29" s="39">
        <f t="shared" si="10"/>
        <v>0</v>
      </c>
      <c r="Z29" s="14">
        <v>0</v>
      </c>
      <c r="AA29" s="28" t="s">
        <v>34</v>
      </c>
      <c r="AB29" s="40">
        <f t="shared" si="11"/>
        <v>-0.69</v>
      </c>
      <c r="AC29" s="41">
        <v>0.14755497685185187</v>
      </c>
      <c r="AD29" s="39">
        <f t="shared" si="12"/>
        <v>0</v>
      </c>
      <c r="AE29" s="39">
        <v>-6.56</v>
      </c>
      <c r="AF29" s="25">
        <v>-12.7509035714285</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707</v>
      </c>
      <c r="U30" s="36">
        <v>119</v>
      </c>
      <c r="V30" s="37" t="s">
        <v>703</v>
      </c>
      <c r="W30" s="14">
        <v>0</v>
      </c>
      <c r="X30" s="38">
        <f t="shared" si="9"/>
        <v>0</v>
      </c>
      <c r="Y30" s="39">
        <f t="shared" si="10"/>
        <v>0</v>
      </c>
      <c r="Z30" s="14">
        <v>0</v>
      </c>
      <c r="AA30" s="28" t="s">
        <v>34</v>
      </c>
      <c r="AB30" s="40">
        <f t="shared" si="11"/>
        <v>-0.69</v>
      </c>
      <c r="AC30" s="41">
        <v>0.14755497685185187</v>
      </c>
      <c r="AD30" s="39">
        <f t="shared" si="12"/>
        <v>0</v>
      </c>
      <c r="AE30" s="25">
        <v>-6.56</v>
      </c>
      <c r="AF30" s="25">
        <v>-12.015981849999999</v>
      </c>
      <c r="AG30" s="25">
        <v>0</v>
      </c>
    </row>
    <row r="31" spans="1:33" ht="15.75" customHeight="1" x14ac:dyDescent="0.2">
      <c r="A31" s="14" t="s">
        <v>75</v>
      </c>
      <c r="B31" s="14"/>
      <c r="C31" s="15" t="str">
        <f t="shared" si="4"/>
        <v xml:space="preserve"> - </v>
      </c>
      <c r="D31" s="16">
        <v>0</v>
      </c>
      <c r="E31" s="16">
        <v>0</v>
      </c>
      <c r="F31" s="17">
        <v>0</v>
      </c>
      <c r="G31" s="42">
        <v>-0.03</v>
      </c>
      <c r="H31" s="31" t="e">
        <f t="shared" si="1"/>
        <v>#DIV/0!</v>
      </c>
      <c r="I31" s="31" t="e">
        <f t="shared" si="2"/>
        <v>#DIV/0!</v>
      </c>
      <c r="J31" s="32">
        <f t="shared" si="5"/>
        <v>-0.03</v>
      </c>
      <c r="K31" s="32" t="e">
        <f t="shared" si="3"/>
        <v>#DIV/0!</v>
      </c>
      <c r="L31" s="16">
        <v>0</v>
      </c>
      <c r="M31" s="33" t="str">
        <f t="shared" si="6"/>
        <v>-</v>
      </c>
      <c r="N31" s="16">
        <v>119</v>
      </c>
      <c r="O31" s="34">
        <f t="shared" ref="O31:P32" si="39">D31/7</f>
        <v>0</v>
      </c>
      <c r="P31" s="34">
        <f t="shared" si="39"/>
        <v>0</v>
      </c>
      <c r="Q31" s="29" t="e">
        <f t="shared" si="8"/>
        <v>#DIV/0!</v>
      </c>
      <c r="R31" s="29"/>
      <c r="S31" s="21">
        <v>2.4098360655737698</v>
      </c>
      <c r="T31" s="14">
        <v>63</v>
      </c>
      <c r="U31" s="22">
        <v>119</v>
      </c>
      <c r="V31" s="1" t="s">
        <v>946</v>
      </c>
      <c r="W31" s="14">
        <v>0</v>
      </c>
      <c r="X31" s="38">
        <f t="shared" si="9"/>
        <v>0</v>
      </c>
      <c r="Y31" s="39">
        <f t="shared" si="10"/>
        <v>0</v>
      </c>
      <c r="Z31" s="14">
        <v>0</v>
      </c>
      <c r="AA31" s="14" t="s">
        <v>34</v>
      </c>
      <c r="AB31" s="40">
        <f t="shared" si="11"/>
        <v>-0.69</v>
      </c>
      <c r="AC31" s="27">
        <v>0.14755497685185187</v>
      </c>
      <c r="AD31" s="39">
        <f t="shared" si="12"/>
        <v>0</v>
      </c>
      <c r="AE31" s="43">
        <v>-6.56</v>
      </c>
      <c r="AF31" s="43">
        <v>-12.015981850000001</v>
      </c>
      <c r="AG31" s="25">
        <v>0</v>
      </c>
    </row>
    <row r="32" spans="1:33" s="51" customFormat="1" ht="15.75" customHeight="1" x14ac:dyDescent="0.2">
      <c r="A32" s="51" t="s">
        <v>934</v>
      </c>
      <c r="C32" s="15">
        <f t="shared" si="4"/>
        <v>45.99</v>
      </c>
      <c r="D32" s="52">
        <v>4</v>
      </c>
      <c r="E32" s="52">
        <v>1</v>
      </c>
      <c r="F32" s="53">
        <v>183.96</v>
      </c>
      <c r="G32" s="53">
        <v>-0.32</v>
      </c>
      <c r="H32" s="31">
        <f t="shared" si="1"/>
        <v>1.7395085888236572E-3</v>
      </c>
      <c r="I32" s="31">
        <f t="shared" si="2"/>
        <v>0.43948450276026191</v>
      </c>
      <c r="J32" s="32">
        <f t="shared" si="5"/>
        <v>80.847569127777788</v>
      </c>
      <c r="K32" s="32">
        <f t="shared" si="3"/>
        <v>20.211892281944447</v>
      </c>
      <c r="L32" s="52">
        <v>54</v>
      </c>
      <c r="M32" s="33">
        <f t="shared" si="6"/>
        <v>7.407407407407407E-2</v>
      </c>
      <c r="N32" s="52">
        <v>116</v>
      </c>
      <c r="O32" s="34">
        <f t="shared" si="39"/>
        <v>0.5714285714285714</v>
      </c>
      <c r="P32" s="34">
        <f t="shared" si="39"/>
        <v>0.14285714285714285</v>
      </c>
      <c r="Q32" s="29">
        <f t="shared" si="8"/>
        <v>162</v>
      </c>
      <c r="R32" s="29" t="str">
        <f ca="1">IFERROR(VLOOKUP($B$2,IMPORTRANGE("https://docs.google.com/spreadsheets/d/1KiWZV1ko8G7lnRucBRBd29jj3Be6ltMfljMDqzOkQmI/edit#gid=1381463014","Lookup!A:F"),6,FALSE),"")</f>
        <v/>
      </c>
      <c r="S32" s="54">
        <v>2.7329192546583849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0.14755497685185187</v>
      </c>
      <c r="AD32" s="39">
        <f t="shared" si="12"/>
        <v>-0.8145034722222223</v>
      </c>
      <c r="AE32" s="58">
        <v>-6.58</v>
      </c>
      <c r="AF32" s="58">
        <v>-12.015981849999999</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71"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Gauge Primary Wire - 2 Roll Red &amp; Black Pack - 100 Ft of Copper Clad Aluminum Wire per Roll")</f>
        <v>16 Gauge Primary Wire - 2 Roll Red &amp; Black Pack - 100 Ft of Copper Clad Aluminum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Info!B1:BJ5000""),2,FALSE),"""")"),"B0851LSZRQ")</f>
        <v>B0851LSZRQ</v>
      </c>
      <c r="B2" s="49" t="s">
        <v>704</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78.75" customHeight="1" x14ac:dyDescent="0.2">
      <c r="A3" s="76" t="s">
        <v>30</v>
      </c>
      <c r="B3" s="77"/>
      <c r="C3" s="47">
        <f>((AE32+AF32)/0.85)*-1</f>
        <v>8.536736440716906</v>
      </c>
      <c r="D3" s="5">
        <f>SUM(D4:D99634)</f>
        <v>63</v>
      </c>
      <c r="E3" s="5"/>
      <c r="F3" s="6">
        <f t="shared" ref="F3:G3" si="0">SUM(F4:F99634)</f>
        <v>695.91</v>
      </c>
      <c r="G3" s="6">
        <f t="shared" si="0"/>
        <v>-154.24</v>
      </c>
      <c r="H3" s="7">
        <f t="shared" ref="H3:H32" si="1">G3/F3*-1</f>
        <v>0.22163785546981651</v>
      </c>
      <c r="I3" s="8">
        <f t="shared" ref="I3:I32" si="2">J3/F3</f>
        <v>-4.8866028481917456E-2</v>
      </c>
      <c r="J3" s="6">
        <f>SUM(J4:J99634)</f>
        <v>-34.006357880851176</v>
      </c>
      <c r="K3" s="6">
        <f t="shared" ref="K3:K32" si="3">J3/D3</f>
        <v>-0.53978345842620912</v>
      </c>
      <c r="L3" s="5"/>
      <c r="M3" s="9"/>
      <c r="N3" s="10"/>
      <c r="O3" s="5" t="str">
        <f ca="1">IFERROR(__xludf.DUMMYFUNCTION("IFERROR(VLOOKUP(B2,IMPORTRANGE(""https://docs.google.com/spreadsheets/d/1N8jvpEHDVkurDv7NrPxwI3eH6hQsvtb1QltGNCalRjU/edit#gid=865736387"",""Compiled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17</v>
      </c>
      <c r="X3" s="7">
        <f>W3/D3</f>
        <v>0.26984126984126983</v>
      </c>
      <c r="Y3" s="6"/>
      <c r="Z3" s="5"/>
      <c r="AA3" s="5"/>
      <c r="AB3" s="5"/>
      <c r="AC3" s="5"/>
      <c r="AD3" s="6">
        <f>SUM(AD4:AD99634)</f>
        <v>-3.2158978808511973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Info!B2:BZ7000""),37,FALSE)),"""")*-1"),-2.35622597460937)</f>
        <v>-2.3562259746093699</v>
      </c>
      <c r="AG3" s="6">
        <f>SUM(AG4:AG99634)</f>
        <v>0</v>
      </c>
    </row>
    <row r="4" spans="1:33" ht="1.5" customHeight="1" x14ac:dyDescent="0.2">
      <c r="A4" s="14" t="s">
        <v>31</v>
      </c>
      <c r="B4" s="14" t="s">
        <v>705</v>
      </c>
      <c r="C4" s="15">
        <f t="shared" ref="C4:C32" si="4">IFERROR(F4/D4," - ")</f>
        <v>15</v>
      </c>
      <c r="D4" s="16">
        <v>2</v>
      </c>
      <c r="E4" s="16">
        <v>0</v>
      </c>
      <c r="F4" s="17">
        <v>30</v>
      </c>
      <c r="G4" s="17">
        <v>0</v>
      </c>
      <c r="H4" s="18">
        <f t="shared" si="1"/>
        <v>0</v>
      </c>
      <c r="I4" s="18">
        <f t="shared" si="2"/>
        <v>0.35555055436538457</v>
      </c>
      <c r="J4" s="17">
        <f t="shared" ref="J4:J32" si="5">F4*0.85+G4+AF4*D4+D4*AE4+AG4+AD4</f>
        <v>10.666516630961537</v>
      </c>
      <c r="K4" s="17">
        <f t="shared" si="3"/>
        <v>5.3332583154807685</v>
      </c>
      <c r="L4" s="16">
        <v>0</v>
      </c>
      <c r="M4" s="19" t="str">
        <f t="shared" ref="M4:M32" si="6">IFERROR(D4/L4,"-")</f>
        <v>-</v>
      </c>
      <c r="N4" s="16">
        <v>72</v>
      </c>
      <c r="O4" s="20">
        <f t="shared" ref="O4:P4" si="7">D4/7</f>
        <v>0.2857142857142857</v>
      </c>
      <c r="P4" s="20">
        <f t="shared" si="7"/>
        <v>0</v>
      </c>
      <c r="Q4" s="16">
        <f t="shared" ref="Q4:Q32" si="8">ROUNDDOWN(N4/(O4+P4),0)</f>
        <v>252</v>
      </c>
      <c r="R4" s="16"/>
      <c r="S4" s="21">
        <v>0.76655052264808299</v>
      </c>
      <c r="T4" s="14">
        <v>0</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3.6988493055555557E-2</v>
      </c>
      <c r="AD4" s="25">
        <f t="shared" ref="AD4:AD32" si="12">IFERROR(AB4*AC4*D4*2,0)</f>
        <v>-0.10208824083333333</v>
      </c>
      <c r="AE4" s="25">
        <v>-4.9000000000000004</v>
      </c>
      <c r="AF4" s="25">
        <v>-2.4656975641025642</v>
      </c>
      <c r="AG4" s="25">
        <v>0</v>
      </c>
    </row>
    <row r="5" spans="1:33" ht="15.75" customHeight="1" x14ac:dyDescent="0.2">
      <c r="A5" s="28" t="s">
        <v>35</v>
      </c>
      <c r="B5" s="28" t="s">
        <v>706</v>
      </c>
      <c r="C5" s="15">
        <f t="shared" si="4"/>
        <v>15</v>
      </c>
      <c r="D5" s="29">
        <v>2</v>
      </c>
      <c r="E5" s="29">
        <v>0</v>
      </c>
      <c r="F5" s="30">
        <v>30</v>
      </c>
      <c r="G5" s="30">
        <v>0</v>
      </c>
      <c r="H5" s="31">
        <f t="shared" si="1"/>
        <v>0</v>
      </c>
      <c r="I5" s="31">
        <f t="shared" si="2"/>
        <v>0.35554661121201131</v>
      </c>
      <c r="J5" s="32">
        <f t="shared" si="5"/>
        <v>10.66639833636034</v>
      </c>
      <c r="K5" s="32">
        <f t="shared" si="3"/>
        <v>5.3331991681801698</v>
      </c>
      <c r="L5" s="29">
        <v>9</v>
      </c>
      <c r="M5" s="33">
        <f t="shared" si="6"/>
        <v>0.22222222222222221</v>
      </c>
      <c r="N5" s="29">
        <v>69</v>
      </c>
      <c r="O5" s="34">
        <f t="shared" ref="O5:P5" si="13">D5/7</f>
        <v>0.2857142857142857</v>
      </c>
      <c r="P5" s="34">
        <f t="shared" si="13"/>
        <v>0</v>
      </c>
      <c r="Q5" s="29">
        <f t="shared" si="8"/>
        <v>241</v>
      </c>
      <c r="R5" s="29"/>
      <c r="S5" s="35">
        <v>0.84057971014492705</v>
      </c>
      <c r="T5" s="28">
        <v>0</v>
      </c>
      <c r="U5" s="36" t="s">
        <v>33</v>
      </c>
      <c r="V5" s="37" t="s">
        <v>33</v>
      </c>
      <c r="W5" s="28">
        <v>0</v>
      </c>
      <c r="X5" s="38">
        <f t="shared" si="9"/>
        <v>0</v>
      </c>
      <c r="Y5" s="39">
        <f t="shared" si="10"/>
        <v>0</v>
      </c>
      <c r="Z5" s="28">
        <v>0</v>
      </c>
      <c r="AA5" s="28" t="s">
        <v>34</v>
      </c>
      <c r="AB5" s="40">
        <f t="shared" si="11"/>
        <v>-0.69</v>
      </c>
      <c r="AC5" s="41">
        <v>3.7031353418308231E-2</v>
      </c>
      <c r="AD5" s="39">
        <f t="shared" si="12"/>
        <v>-0.1022065354345307</v>
      </c>
      <c r="AE5" s="39">
        <v>-4.9000000000000004</v>
      </c>
      <c r="AF5" s="39">
        <v>-2.4656975641025642</v>
      </c>
      <c r="AG5" s="39">
        <v>0</v>
      </c>
    </row>
    <row r="6" spans="1:33" ht="15.75" customHeight="1" x14ac:dyDescent="0.2">
      <c r="A6" s="28" t="s">
        <v>37</v>
      </c>
      <c r="B6" s="28" t="s">
        <v>47</v>
      </c>
      <c r="C6" s="15">
        <f t="shared" si="4"/>
        <v>11.99</v>
      </c>
      <c r="D6" s="29">
        <v>4</v>
      </c>
      <c r="E6" s="29">
        <v>0</v>
      </c>
      <c r="F6" s="30">
        <v>47.96</v>
      </c>
      <c r="G6" s="30">
        <v>0</v>
      </c>
      <c r="H6" s="31">
        <f t="shared" si="1"/>
        <v>0</v>
      </c>
      <c r="I6" s="31">
        <f t="shared" si="2"/>
        <v>0.23142271188330013</v>
      </c>
      <c r="J6" s="32">
        <f t="shared" si="5"/>
        <v>11.099033261923074</v>
      </c>
      <c r="K6" s="32">
        <f t="shared" si="3"/>
        <v>2.7747583154807685</v>
      </c>
      <c r="L6" s="29">
        <v>8</v>
      </c>
      <c r="M6" s="33">
        <f t="shared" si="6"/>
        <v>0.5</v>
      </c>
      <c r="N6" s="29">
        <v>65</v>
      </c>
      <c r="O6" s="34">
        <f t="shared" ref="O6:P6" si="14">D6/7</f>
        <v>0.5714285714285714</v>
      </c>
      <c r="P6" s="34">
        <f t="shared" si="14"/>
        <v>0</v>
      </c>
      <c r="Q6" s="29">
        <f t="shared" si="8"/>
        <v>113</v>
      </c>
      <c r="R6" s="29"/>
      <c r="S6" s="35">
        <v>0.94382022471910099</v>
      </c>
      <c r="T6" s="28">
        <v>0</v>
      </c>
      <c r="U6" s="36" t="s">
        <v>33</v>
      </c>
      <c r="V6" s="37" t="s">
        <v>39</v>
      </c>
      <c r="W6" s="28">
        <v>0</v>
      </c>
      <c r="X6" s="38">
        <f t="shared" si="9"/>
        <v>0</v>
      </c>
      <c r="Y6" s="39">
        <f t="shared" si="10"/>
        <v>0</v>
      </c>
      <c r="Z6" s="28">
        <v>0</v>
      </c>
      <c r="AA6" s="28" t="s">
        <v>34</v>
      </c>
      <c r="AB6" s="40">
        <f t="shared" si="11"/>
        <v>-0.69</v>
      </c>
      <c r="AC6" s="41">
        <v>3.6988493055555557E-2</v>
      </c>
      <c r="AD6" s="39">
        <f t="shared" si="12"/>
        <v>-0.20417648166666666</v>
      </c>
      <c r="AE6" s="39">
        <v>-4.9000000000000004</v>
      </c>
      <c r="AF6" s="39">
        <v>-2.4656975641025642</v>
      </c>
      <c r="AG6" s="39">
        <v>0</v>
      </c>
    </row>
    <row r="7" spans="1:33" ht="15.75" customHeight="1" x14ac:dyDescent="0.2">
      <c r="A7" s="28" t="s">
        <v>40</v>
      </c>
      <c r="B7" s="28" t="s">
        <v>707</v>
      </c>
      <c r="C7" s="15" t="str">
        <f t="shared" si="4"/>
        <v xml:space="preserve"> - </v>
      </c>
      <c r="D7" s="29">
        <v>0</v>
      </c>
      <c r="E7" s="29">
        <v>4</v>
      </c>
      <c r="F7" s="30">
        <v>0</v>
      </c>
      <c r="G7" s="30">
        <v>0</v>
      </c>
      <c r="H7" s="31" t="e">
        <f t="shared" si="1"/>
        <v>#DIV/0!</v>
      </c>
      <c r="I7" s="31" t="e">
        <f t="shared" si="2"/>
        <v>#DIV/0!</v>
      </c>
      <c r="J7" s="32">
        <f t="shared" si="5"/>
        <v>0</v>
      </c>
      <c r="K7" s="32" t="e">
        <f t="shared" si="3"/>
        <v>#DIV/0!</v>
      </c>
      <c r="L7" s="29">
        <v>0</v>
      </c>
      <c r="M7" s="33" t="str">
        <f t="shared" si="6"/>
        <v>-</v>
      </c>
      <c r="N7" s="29">
        <v>61</v>
      </c>
      <c r="O7" s="34">
        <f t="shared" ref="O7:P7" si="15">D7/7</f>
        <v>0</v>
      </c>
      <c r="P7" s="34">
        <f t="shared" si="15"/>
        <v>0.5714285714285714</v>
      </c>
      <c r="Q7" s="29">
        <f t="shared" si="8"/>
        <v>106</v>
      </c>
      <c r="R7" s="29"/>
      <c r="S7" s="35">
        <v>1.0938775510204</v>
      </c>
      <c r="T7" s="28">
        <v>0</v>
      </c>
      <c r="U7" s="36" t="s">
        <v>33</v>
      </c>
      <c r="V7" s="37" t="s">
        <v>39</v>
      </c>
      <c r="W7" s="28">
        <v>0</v>
      </c>
      <c r="X7" s="38">
        <f t="shared" si="9"/>
        <v>0</v>
      </c>
      <c r="Y7" s="39">
        <f t="shared" si="10"/>
        <v>0</v>
      </c>
      <c r="Z7" s="28">
        <v>0</v>
      </c>
      <c r="AA7" s="28" t="s">
        <v>34</v>
      </c>
      <c r="AB7" s="40">
        <f t="shared" si="11"/>
        <v>-0.69</v>
      </c>
      <c r="AC7" s="41">
        <v>3.6988493055555557E-2</v>
      </c>
      <c r="AD7" s="39">
        <f t="shared" si="12"/>
        <v>0</v>
      </c>
      <c r="AE7" s="39">
        <v>-4.9000000000000004</v>
      </c>
      <c r="AF7" s="39">
        <v>-2.4656975641025642</v>
      </c>
      <c r="AG7" s="39">
        <v>0</v>
      </c>
    </row>
    <row r="8" spans="1:33" ht="15.75" customHeight="1" x14ac:dyDescent="0.2">
      <c r="A8" s="28" t="s">
        <v>42</v>
      </c>
      <c r="B8" s="28" t="s">
        <v>708</v>
      </c>
      <c r="C8" s="15">
        <f t="shared" si="4"/>
        <v>10.99</v>
      </c>
      <c r="D8" s="29">
        <v>3</v>
      </c>
      <c r="E8" s="29">
        <v>4</v>
      </c>
      <c r="F8" s="30">
        <v>32.97</v>
      </c>
      <c r="G8" s="30">
        <v>0</v>
      </c>
      <c r="H8" s="31">
        <f t="shared" si="1"/>
        <v>0</v>
      </c>
      <c r="I8" s="31">
        <f t="shared" si="2"/>
        <v>0.17474575792387015</v>
      </c>
      <c r="J8" s="32">
        <f t="shared" si="5"/>
        <v>5.7613676387499986</v>
      </c>
      <c r="K8" s="32">
        <f t="shared" si="3"/>
        <v>1.9204558795833329</v>
      </c>
      <c r="L8" s="29">
        <v>9</v>
      </c>
      <c r="M8" s="33">
        <f t="shared" si="6"/>
        <v>0.33333333333333331</v>
      </c>
      <c r="N8" s="29">
        <v>54</v>
      </c>
      <c r="O8" s="34">
        <f t="shared" ref="O8:P8" si="16">D8/7</f>
        <v>0.42857142857142855</v>
      </c>
      <c r="P8" s="34">
        <f t="shared" si="16"/>
        <v>0.5714285714285714</v>
      </c>
      <c r="Q8" s="29">
        <f t="shared" si="8"/>
        <v>54</v>
      </c>
      <c r="R8" s="29"/>
      <c r="S8" s="35">
        <v>0.81395348837209303</v>
      </c>
      <c r="T8" s="28">
        <v>0</v>
      </c>
      <c r="U8" s="36" t="s">
        <v>33</v>
      </c>
      <c r="V8" s="37" t="s">
        <v>33</v>
      </c>
      <c r="W8" s="28">
        <v>0</v>
      </c>
      <c r="X8" s="38">
        <f t="shared" si="9"/>
        <v>0</v>
      </c>
      <c r="Y8" s="39">
        <f t="shared" si="10"/>
        <v>0</v>
      </c>
      <c r="Z8" s="28">
        <v>0</v>
      </c>
      <c r="AA8" s="28" t="s">
        <v>34</v>
      </c>
      <c r="AB8" s="40">
        <f t="shared" si="11"/>
        <v>-0.69</v>
      </c>
      <c r="AC8" s="41">
        <v>3.6988493055555557E-2</v>
      </c>
      <c r="AD8" s="39">
        <f t="shared" si="12"/>
        <v>-0.15313236124999999</v>
      </c>
      <c r="AE8" s="39">
        <v>-4.9000000000000004</v>
      </c>
      <c r="AF8" s="39">
        <v>-2.4700000000000002</v>
      </c>
      <c r="AG8" s="39">
        <v>0</v>
      </c>
    </row>
    <row r="9" spans="1:33" ht="15.75" customHeight="1" x14ac:dyDescent="0.2">
      <c r="A9" s="28" t="s">
        <v>44</v>
      </c>
      <c r="B9" s="28" t="s">
        <v>709</v>
      </c>
      <c r="C9" s="15">
        <f t="shared" si="4"/>
        <v>11.99</v>
      </c>
      <c r="D9" s="29">
        <v>4</v>
      </c>
      <c r="E9" s="29">
        <v>0</v>
      </c>
      <c r="F9" s="30">
        <v>47.96</v>
      </c>
      <c r="G9" s="30">
        <v>0</v>
      </c>
      <c r="H9" s="31">
        <f t="shared" si="1"/>
        <v>0</v>
      </c>
      <c r="I9" s="31">
        <f t="shared" si="2"/>
        <v>0.2262167175718017</v>
      </c>
      <c r="J9" s="32">
        <f t="shared" si="5"/>
        <v>10.84935377474361</v>
      </c>
      <c r="K9" s="32">
        <f t="shared" si="3"/>
        <v>2.7123384436859026</v>
      </c>
      <c r="L9" s="29">
        <v>10</v>
      </c>
      <c r="M9" s="33">
        <f t="shared" si="6"/>
        <v>0.4</v>
      </c>
      <c r="N9" s="29">
        <v>50</v>
      </c>
      <c r="O9" s="34">
        <f t="shared" ref="O9:P9" si="17">D9/7</f>
        <v>0.5714285714285714</v>
      </c>
      <c r="P9" s="34">
        <f t="shared" si="17"/>
        <v>0</v>
      </c>
      <c r="Q9" s="29">
        <f t="shared" si="8"/>
        <v>87</v>
      </c>
      <c r="R9" s="29"/>
      <c r="S9" s="35">
        <v>0.90243902439024304</v>
      </c>
      <c r="T9" s="28">
        <v>0</v>
      </c>
      <c r="U9" s="36" t="s">
        <v>33</v>
      </c>
      <c r="V9" s="37" t="s">
        <v>33</v>
      </c>
      <c r="W9" s="28">
        <v>0</v>
      </c>
      <c r="X9" s="38">
        <f t="shared" si="9"/>
        <v>0</v>
      </c>
      <c r="Y9" s="39">
        <f t="shared" si="10"/>
        <v>0</v>
      </c>
      <c r="Z9" s="28">
        <v>0</v>
      </c>
      <c r="AA9" s="28" t="s">
        <v>34</v>
      </c>
      <c r="AB9" s="40">
        <f t="shared" si="11"/>
        <v>-0.69</v>
      </c>
      <c r="AC9" s="41">
        <v>3.6988493055555557E-2</v>
      </c>
      <c r="AD9" s="39">
        <f t="shared" si="12"/>
        <v>-0.20417648166666666</v>
      </c>
      <c r="AE9" s="39">
        <v>-4.9000000000000004</v>
      </c>
      <c r="AF9" s="39">
        <v>-2.5281174358974301</v>
      </c>
      <c r="AG9" s="39">
        <v>0</v>
      </c>
    </row>
    <row r="10" spans="1:33" ht="15.75" customHeight="1" x14ac:dyDescent="0.2">
      <c r="A10" s="28" t="s">
        <v>46</v>
      </c>
      <c r="B10" s="28"/>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50</v>
      </c>
      <c r="O10" s="34">
        <f t="shared" ref="O10:P10" si="18">D10/7</f>
        <v>0</v>
      </c>
      <c r="P10" s="34">
        <f t="shared" si="18"/>
        <v>0</v>
      </c>
      <c r="Q10" s="29" t="e">
        <f t="shared" si="8"/>
        <v>#DIV/0!</v>
      </c>
      <c r="R10" s="29"/>
      <c r="S10" s="35">
        <v>0.94043887147335403</v>
      </c>
      <c r="T10" s="28">
        <v>0</v>
      </c>
      <c r="U10" s="36" t="s">
        <v>33</v>
      </c>
      <c r="V10" s="37" t="s">
        <v>33</v>
      </c>
      <c r="W10" s="28">
        <v>0</v>
      </c>
      <c r="X10" s="38">
        <f t="shared" si="9"/>
        <v>0</v>
      </c>
      <c r="Y10" s="39">
        <f t="shared" si="10"/>
        <v>0</v>
      </c>
      <c r="Z10" s="28">
        <v>0</v>
      </c>
      <c r="AA10" s="28" t="s">
        <v>34</v>
      </c>
      <c r="AB10" s="40">
        <f t="shared" si="11"/>
        <v>-0.69</v>
      </c>
      <c r="AC10" s="41">
        <v>3.6988493055555557E-2</v>
      </c>
      <c r="AD10" s="39">
        <f t="shared" si="12"/>
        <v>0</v>
      </c>
      <c r="AE10" s="39">
        <v>-4.9000000000000004</v>
      </c>
      <c r="AF10" s="39">
        <v>-2.5281174358974301</v>
      </c>
      <c r="AG10" s="39">
        <v>0</v>
      </c>
    </row>
    <row r="11" spans="1:33" ht="15.75" customHeight="1" x14ac:dyDescent="0.2">
      <c r="A11" s="28" t="s">
        <v>48</v>
      </c>
      <c r="B11" s="28" t="s">
        <v>47</v>
      </c>
      <c r="C11" s="15">
        <f t="shared" si="4"/>
        <v>12.99</v>
      </c>
      <c r="D11" s="29">
        <v>1</v>
      </c>
      <c r="E11" s="29">
        <v>0</v>
      </c>
      <c r="F11" s="30">
        <v>12.99</v>
      </c>
      <c r="G11" s="30">
        <v>0</v>
      </c>
      <c r="H11" s="31">
        <f t="shared" si="1"/>
        <v>0</v>
      </c>
      <c r="I11" s="31">
        <f t="shared" si="2"/>
        <v>0.27423698565711335</v>
      </c>
      <c r="J11" s="32">
        <f t="shared" si="5"/>
        <v>3.5623384436859022</v>
      </c>
      <c r="K11" s="32">
        <f t="shared" si="3"/>
        <v>3.5623384436859022</v>
      </c>
      <c r="L11" s="29">
        <v>1</v>
      </c>
      <c r="M11" s="33">
        <f t="shared" si="6"/>
        <v>1</v>
      </c>
      <c r="N11" s="29">
        <v>48</v>
      </c>
      <c r="O11" s="34">
        <f t="shared" ref="O11:P11" si="19">D11/7</f>
        <v>0.14285714285714285</v>
      </c>
      <c r="P11" s="34">
        <f t="shared" si="19"/>
        <v>0</v>
      </c>
      <c r="Q11" s="29">
        <f t="shared" si="8"/>
        <v>336</v>
      </c>
      <c r="R11" s="29"/>
      <c r="S11" s="35">
        <v>0.85135135135135098</v>
      </c>
      <c r="T11" s="28">
        <v>0</v>
      </c>
      <c r="U11" s="36" t="s">
        <v>33</v>
      </c>
      <c r="V11" s="37" t="s">
        <v>33</v>
      </c>
      <c r="W11" s="28">
        <v>0</v>
      </c>
      <c r="X11" s="38">
        <f t="shared" si="9"/>
        <v>0</v>
      </c>
      <c r="Y11" s="39">
        <f t="shared" si="10"/>
        <v>0</v>
      </c>
      <c r="Z11" s="28">
        <v>0</v>
      </c>
      <c r="AA11" s="28" t="s">
        <v>34</v>
      </c>
      <c r="AB11" s="40">
        <f t="shared" si="11"/>
        <v>-0.69</v>
      </c>
      <c r="AC11" s="41">
        <v>3.6988493055555557E-2</v>
      </c>
      <c r="AD11" s="39">
        <f t="shared" si="12"/>
        <v>-5.1044120416666665E-2</v>
      </c>
      <c r="AE11" s="39">
        <v>-4.9000000000000004</v>
      </c>
      <c r="AF11" s="39">
        <v>-2.5281174358974301</v>
      </c>
      <c r="AG11" s="39">
        <v>0</v>
      </c>
    </row>
    <row r="12" spans="1:33" ht="15.75" customHeight="1" x14ac:dyDescent="0.2">
      <c r="A12" s="28" t="s">
        <v>49</v>
      </c>
      <c r="C12" s="15">
        <f t="shared" si="4"/>
        <v>12.323333333333332</v>
      </c>
      <c r="D12" s="29">
        <v>3</v>
      </c>
      <c r="E12" s="29">
        <v>0</v>
      </c>
      <c r="F12" s="30">
        <v>36.97</v>
      </c>
      <c r="G12" s="30">
        <v>0</v>
      </c>
      <c r="H12" s="31">
        <f t="shared" si="1"/>
        <v>0</v>
      </c>
      <c r="I12" s="31">
        <f t="shared" si="2"/>
        <v>0.24308940576298915</v>
      </c>
      <c r="J12" s="32">
        <f t="shared" si="5"/>
        <v>8.9870153310577088</v>
      </c>
      <c r="K12" s="32">
        <f t="shared" si="3"/>
        <v>2.9956717770192363</v>
      </c>
      <c r="L12" s="29">
        <v>8</v>
      </c>
      <c r="M12" s="33">
        <f t="shared" si="6"/>
        <v>0.375</v>
      </c>
      <c r="N12" s="29">
        <v>46</v>
      </c>
      <c r="O12" s="34">
        <f t="shared" ref="O12:P12" si="20">D12/7</f>
        <v>0.42857142857142855</v>
      </c>
      <c r="P12" s="34">
        <f t="shared" si="20"/>
        <v>0</v>
      </c>
      <c r="Q12" s="29">
        <f t="shared" si="8"/>
        <v>107</v>
      </c>
      <c r="R12" s="29"/>
      <c r="S12" s="35">
        <v>0.68613138686131303</v>
      </c>
      <c r="T12" s="28">
        <v>0</v>
      </c>
      <c r="U12" s="36" t="s">
        <v>33</v>
      </c>
      <c r="V12" s="37" t="s">
        <v>33</v>
      </c>
      <c r="W12" s="28">
        <v>0</v>
      </c>
      <c r="X12" s="38">
        <f t="shared" si="9"/>
        <v>0</v>
      </c>
      <c r="Y12" s="39">
        <f t="shared" si="10"/>
        <v>0</v>
      </c>
      <c r="Z12" s="28">
        <v>0</v>
      </c>
      <c r="AA12" s="28" t="s">
        <v>34</v>
      </c>
      <c r="AB12" s="40">
        <f t="shared" si="11"/>
        <v>-0.69</v>
      </c>
      <c r="AC12" s="41">
        <v>3.6988493055555557E-2</v>
      </c>
      <c r="AD12" s="39">
        <f t="shared" si="12"/>
        <v>-0.15313236124999999</v>
      </c>
      <c r="AE12" s="39">
        <v>-4.9000000000000004</v>
      </c>
      <c r="AF12" s="39">
        <v>-2.5281174358974301</v>
      </c>
      <c r="AG12" s="39">
        <v>0</v>
      </c>
    </row>
    <row r="13" spans="1:33" ht="15.75" customHeight="1" x14ac:dyDescent="0.2">
      <c r="A13" s="28" t="s">
        <v>50</v>
      </c>
      <c r="B13" s="28" t="s">
        <v>710</v>
      </c>
      <c r="C13" s="15">
        <f t="shared" si="4"/>
        <v>11.49</v>
      </c>
      <c r="D13" s="29">
        <v>1</v>
      </c>
      <c r="E13" s="29">
        <v>0</v>
      </c>
      <c r="F13" s="32">
        <v>11.49</v>
      </c>
      <c r="G13" s="30">
        <v>0</v>
      </c>
      <c r="H13" s="31">
        <f t="shared" si="1"/>
        <v>0</v>
      </c>
      <c r="I13" s="31">
        <f t="shared" si="2"/>
        <v>0.19621287028575574</v>
      </c>
      <c r="J13" s="32">
        <f t="shared" si="5"/>
        <v>2.2544858795833336</v>
      </c>
      <c r="K13" s="32">
        <f t="shared" si="3"/>
        <v>2.2544858795833336</v>
      </c>
      <c r="L13" s="29">
        <v>1</v>
      </c>
      <c r="M13" s="33">
        <f t="shared" si="6"/>
        <v>1</v>
      </c>
      <c r="N13" s="29">
        <v>45</v>
      </c>
      <c r="O13" s="34">
        <f t="shared" ref="O13:P13" si="21">D13/7</f>
        <v>0.14285714285714285</v>
      </c>
      <c r="P13" s="34">
        <f t="shared" si="21"/>
        <v>0</v>
      </c>
      <c r="Q13" s="29">
        <f t="shared" si="8"/>
        <v>315</v>
      </c>
      <c r="R13" s="29"/>
      <c r="S13" s="35">
        <v>0.602316602316602</v>
      </c>
      <c r="T13" s="28">
        <v>0</v>
      </c>
      <c r="U13" s="36" t="s">
        <v>33</v>
      </c>
      <c r="V13" s="37" t="s">
        <v>33</v>
      </c>
      <c r="W13" s="28">
        <v>0</v>
      </c>
      <c r="X13" s="38">
        <f t="shared" si="9"/>
        <v>0</v>
      </c>
      <c r="Y13" s="39">
        <f t="shared" si="10"/>
        <v>0</v>
      </c>
      <c r="Z13" s="28">
        <v>0</v>
      </c>
      <c r="AA13" s="28" t="s">
        <v>34</v>
      </c>
      <c r="AB13" s="40">
        <f t="shared" si="11"/>
        <v>-0.69</v>
      </c>
      <c r="AC13" s="41">
        <v>3.6988493055555557E-2</v>
      </c>
      <c r="AD13" s="39">
        <f t="shared" si="12"/>
        <v>-5.1044120416666665E-2</v>
      </c>
      <c r="AE13" s="39">
        <v>-4.9000000000000004</v>
      </c>
      <c r="AF13" s="39">
        <v>-2.5609700000000002</v>
      </c>
      <c r="AG13" s="39">
        <v>0</v>
      </c>
    </row>
    <row r="14" spans="1:33" ht="15.75" customHeight="1" x14ac:dyDescent="0.2">
      <c r="A14" s="28" t="s">
        <v>51</v>
      </c>
      <c r="B14" s="28" t="s">
        <v>711</v>
      </c>
      <c r="C14" s="15">
        <f t="shared" si="4"/>
        <v>11.49</v>
      </c>
      <c r="D14" s="29">
        <v>2</v>
      </c>
      <c r="E14" s="29">
        <v>0</v>
      </c>
      <c r="F14" s="32">
        <v>22.98</v>
      </c>
      <c r="G14" s="30">
        <v>-0.08</v>
      </c>
      <c r="H14" s="31">
        <f t="shared" si="1"/>
        <v>3.4812880765883376E-3</v>
      </c>
      <c r="I14" s="31">
        <f t="shared" si="2"/>
        <v>0.19273158220916747</v>
      </c>
      <c r="J14" s="32">
        <f t="shared" si="5"/>
        <v>4.4289717591666689</v>
      </c>
      <c r="K14" s="32">
        <f t="shared" si="3"/>
        <v>2.2144858795833344</v>
      </c>
      <c r="L14" s="29">
        <v>0</v>
      </c>
      <c r="M14" s="33" t="str">
        <f t="shared" si="6"/>
        <v>-</v>
      </c>
      <c r="N14" s="29">
        <v>45</v>
      </c>
      <c r="O14" s="34">
        <f t="shared" ref="O14:P14" si="22">D14/7</f>
        <v>0.2857142857142857</v>
      </c>
      <c r="P14" s="34">
        <f t="shared" si="22"/>
        <v>0</v>
      </c>
      <c r="Q14" s="29">
        <f t="shared" si="8"/>
        <v>157</v>
      </c>
      <c r="R14" s="29"/>
      <c r="S14" s="35">
        <v>0.54320987654320896</v>
      </c>
      <c r="T14" s="28">
        <v>0</v>
      </c>
      <c r="U14" s="36" t="s">
        <v>33</v>
      </c>
      <c r="V14" s="37" t="s">
        <v>33</v>
      </c>
      <c r="W14" s="28">
        <v>0</v>
      </c>
      <c r="X14" s="38">
        <f t="shared" si="9"/>
        <v>0</v>
      </c>
      <c r="Y14" s="39">
        <f t="shared" si="10"/>
        <v>0</v>
      </c>
      <c r="Z14" s="28">
        <v>0</v>
      </c>
      <c r="AA14" s="28" t="s">
        <v>34</v>
      </c>
      <c r="AB14" s="40">
        <f t="shared" si="11"/>
        <v>-0.69</v>
      </c>
      <c r="AC14" s="41">
        <v>3.6988493055555557E-2</v>
      </c>
      <c r="AD14" s="39">
        <f t="shared" si="12"/>
        <v>-0.10208824083333333</v>
      </c>
      <c r="AE14" s="39">
        <v>-4.9000000000000004</v>
      </c>
      <c r="AF14" s="39">
        <v>-2.5609700000000002</v>
      </c>
      <c r="AG14" s="39">
        <v>0</v>
      </c>
    </row>
    <row r="15" spans="1:33" ht="15.75" customHeight="1" x14ac:dyDescent="0.2">
      <c r="A15" s="28" t="s">
        <v>53</v>
      </c>
      <c r="B15" s="28" t="s">
        <v>712</v>
      </c>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43</v>
      </c>
      <c r="O15" s="34">
        <f t="shared" ref="O15:P15" si="23">D15/7</f>
        <v>0</v>
      </c>
      <c r="P15" s="34">
        <f t="shared" si="23"/>
        <v>0</v>
      </c>
      <c r="Q15" s="29" t="e">
        <f t="shared" si="8"/>
        <v>#DIV/0!</v>
      </c>
      <c r="R15" s="29"/>
      <c r="S15" s="35">
        <v>0.53679653679653605</v>
      </c>
      <c r="T15" s="28">
        <v>96</v>
      </c>
      <c r="U15" s="36" t="s">
        <v>33</v>
      </c>
      <c r="V15" s="37" t="s">
        <v>33</v>
      </c>
      <c r="W15" s="28">
        <v>0</v>
      </c>
      <c r="X15" s="38">
        <f t="shared" si="9"/>
        <v>0</v>
      </c>
      <c r="Y15" s="39">
        <f t="shared" si="10"/>
        <v>0</v>
      </c>
      <c r="Z15" s="28">
        <v>0</v>
      </c>
      <c r="AA15" s="28" t="s">
        <v>34</v>
      </c>
      <c r="AB15" s="40">
        <f t="shared" si="11"/>
        <v>-0.69</v>
      </c>
      <c r="AC15" s="41">
        <v>3.6988493055555557E-2</v>
      </c>
      <c r="AD15" s="39">
        <f t="shared" si="12"/>
        <v>0</v>
      </c>
      <c r="AE15" s="39">
        <v>-4.9000000000000004</v>
      </c>
      <c r="AF15" s="39">
        <v>-2.5609700000000002</v>
      </c>
      <c r="AG15" s="39">
        <v>0</v>
      </c>
    </row>
    <row r="16" spans="1:33" ht="15.75" customHeight="1" x14ac:dyDescent="0.2">
      <c r="A16" s="28" t="s">
        <v>54</v>
      </c>
      <c r="B16" s="28" t="s">
        <v>713</v>
      </c>
      <c r="C16" s="15">
        <f t="shared" si="4"/>
        <v>10.275714285714287</v>
      </c>
      <c r="D16" s="29">
        <v>7</v>
      </c>
      <c r="E16" s="29">
        <v>0</v>
      </c>
      <c r="F16" s="32">
        <v>71.930000000000007</v>
      </c>
      <c r="G16" s="30">
        <v>-68.39</v>
      </c>
      <c r="H16" s="31">
        <f t="shared" si="1"/>
        <v>0.95078548588905876</v>
      </c>
      <c r="I16" s="31">
        <f t="shared" si="2"/>
        <v>-0.8318309306675471</v>
      </c>
      <c r="J16" s="32">
        <f t="shared" si="5"/>
        <v>-59.833598842916672</v>
      </c>
      <c r="K16" s="32">
        <f t="shared" si="3"/>
        <v>-8.5476569775595248</v>
      </c>
      <c r="L16" s="29">
        <v>38</v>
      </c>
      <c r="M16" s="33">
        <f t="shared" si="6"/>
        <v>0.18421052631578946</v>
      </c>
      <c r="N16" s="29">
        <v>36</v>
      </c>
      <c r="O16" s="34">
        <f t="shared" ref="O16:P16" si="24">D16/7</f>
        <v>1</v>
      </c>
      <c r="P16" s="34">
        <f t="shared" si="24"/>
        <v>0</v>
      </c>
      <c r="Q16" s="29">
        <f t="shared" si="8"/>
        <v>36</v>
      </c>
      <c r="R16" s="29"/>
      <c r="S16" s="35">
        <v>0.67579908675799005</v>
      </c>
      <c r="T16" s="28">
        <v>96</v>
      </c>
      <c r="U16" s="36" t="s">
        <v>33</v>
      </c>
      <c r="V16" s="37" t="s">
        <v>33</v>
      </c>
      <c r="W16" s="28">
        <v>7</v>
      </c>
      <c r="X16" s="38">
        <f t="shared" si="9"/>
        <v>1</v>
      </c>
      <c r="Y16" s="39">
        <f t="shared" si="10"/>
        <v>8.5487500000000001</v>
      </c>
      <c r="Z16" s="28">
        <v>1</v>
      </c>
      <c r="AA16" s="28" t="s">
        <v>34</v>
      </c>
      <c r="AB16" s="40">
        <f t="shared" si="11"/>
        <v>-0.69</v>
      </c>
      <c r="AC16" s="41">
        <v>3.6988493055555557E-2</v>
      </c>
      <c r="AD16" s="39">
        <f t="shared" si="12"/>
        <v>-0.35730884291666665</v>
      </c>
      <c r="AE16" s="39">
        <v>-4.9000000000000004</v>
      </c>
      <c r="AF16" s="39">
        <v>-2.5609700000000002</v>
      </c>
      <c r="AG16" s="39">
        <v>0</v>
      </c>
    </row>
    <row r="17" spans="1:33" ht="15.75" customHeight="1" x14ac:dyDescent="0.2">
      <c r="A17" s="28" t="s">
        <v>55</v>
      </c>
      <c r="B17" s="28" t="s">
        <v>317</v>
      </c>
      <c r="C17" s="15">
        <f t="shared" si="4"/>
        <v>9.99</v>
      </c>
      <c r="D17" s="29">
        <v>16</v>
      </c>
      <c r="E17" s="29">
        <v>0</v>
      </c>
      <c r="F17" s="32">
        <v>159.84</v>
      </c>
      <c r="G17" s="30">
        <v>-71.399999999999991</v>
      </c>
      <c r="H17" s="31">
        <f t="shared" si="1"/>
        <v>0.44669669669669665</v>
      </c>
      <c r="I17" s="31">
        <f t="shared" si="2"/>
        <v>-0.34336477681848504</v>
      </c>
      <c r="J17" s="32">
        <f t="shared" si="5"/>
        <v>-54.883425926666654</v>
      </c>
      <c r="K17" s="32">
        <f t="shared" si="3"/>
        <v>-3.4302141204166658</v>
      </c>
      <c r="L17" s="29">
        <v>28</v>
      </c>
      <c r="M17" s="33">
        <f t="shared" si="6"/>
        <v>0.5714285714285714</v>
      </c>
      <c r="N17" s="29">
        <v>21</v>
      </c>
      <c r="O17" s="34">
        <f t="shared" ref="O17:P17" si="25">D17/7</f>
        <v>2.2857142857142856</v>
      </c>
      <c r="P17" s="34">
        <f t="shared" si="25"/>
        <v>0</v>
      </c>
      <c r="Q17" s="29">
        <f t="shared" si="8"/>
        <v>9</v>
      </c>
      <c r="R17" s="29"/>
      <c r="S17" s="35">
        <v>0.84313725490196001</v>
      </c>
      <c r="T17" s="28">
        <v>96</v>
      </c>
      <c r="U17" s="36" t="s">
        <v>33</v>
      </c>
      <c r="V17" s="37" t="s">
        <v>33</v>
      </c>
      <c r="W17" s="28">
        <v>10</v>
      </c>
      <c r="X17" s="38">
        <f t="shared" si="9"/>
        <v>0.625</v>
      </c>
      <c r="Y17" s="39">
        <f t="shared" si="10"/>
        <v>7.1399999999999988</v>
      </c>
      <c r="Z17" s="28">
        <v>0</v>
      </c>
      <c r="AA17" s="28" t="s">
        <v>34</v>
      </c>
      <c r="AB17" s="40">
        <f t="shared" si="11"/>
        <v>-0.69</v>
      </c>
      <c r="AC17" s="41">
        <v>3.6988493055555557E-2</v>
      </c>
      <c r="AD17" s="39">
        <f t="shared" si="12"/>
        <v>-0.81670592666666664</v>
      </c>
      <c r="AE17" s="39">
        <v>-4.9000000000000004</v>
      </c>
      <c r="AF17" s="39">
        <v>-2.5081699999999998</v>
      </c>
      <c r="AG17" s="39">
        <v>0</v>
      </c>
    </row>
    <row r="18" spans="1:33" ht="15.75" customHeight="1" x14ac:dyDescent="0.2">
      <c r="A18" s="28" t="s">
        <v>56</v>
      </c>
      <c r="B18" s="28" t="s">
        <v>47</v>
      </c>
      <c r="C18" s="15">
        <f t="shared" si="4"/>
        <v>10.74</v>
      </c>
      <c r="D18" s="29">
        <v>8</v>
      </c>
      <c r="E18" s="29">
        <v>2</v>
      </c>
      <c r="F18" s="32">
        <v>85.92</v>
      </c>
      <c r="G18" s="30">
        <v>-14.369999999999997</v>
      </c>
      <c r="H18" s="31">
        <f t="shared" si="1"/>
        <v>0.16724860335195527</v>
      </c>
      <c r="I18" s="31">
        <f t="shared" si="2"/>
        <v>-1.1775057766914985E-2</v>
      </c>
      <c r="J18" s="32">
        <f t="shared" si="5"/>
        <v>-1.0117129633333355</v>
      </c>
      <c r="K18" s="32">
        <f t="shared" si="3"/>
        <v>-0.12646412041666694</v>
      </c>
      <c r="L18" s="29">
        <v>20</v>
      </c>
      <c r="M18" s="33">
        <f t="shared" si="6"/>
        <v>0.4</v>
      </c>
      <c r="N18" s="29">
        <v>14</v>
      </c>
      <c r="O18" s="34">
        <f t="shared" ref="O18:P18" si="26">D18/7</f>
        <v>1.1428571428571428</v>
      </c>
      <c r="P18" s="34">
        <f t="shared" si="26"/>
        <v>0.2857142857142857</v>
      </c>
      <c r="Q18" s="29">
        <f t="shared" si="8"/>
        <v>9</v>
      </c>
      <c r="R18" s="29"/>
      <c r="S18" s="35">
        <v>1.2</v>
      </c>
      <c r="T18" s="28">
        <v>96</v>
      </c>
      <c r="U18" s="36" t="s">
        <v>33</v>
      </c>
      <c r="V18" s="37" t="s">
        <v>33</v>
      </c>
      <c r="W18" s="28">
        <v>0</v>
      </c>
      <c r="X18" s="38">
        <f t="shared" si="9"/>
        <v>0</v>
      </c>
      <c r="Y18" s="39">
        <f t="shared" si="10"/>
        <v>0</v>
      </c>
      <c r="Z18" s="28">
        <v>0</v>
      </c>
      <c r="AA18" s="28" t="s">
        <v>34</v>
      </c>
      <c r="AB18" s="40">
        <f t="shared" si="11"/>
        <v>-0.69</v>
      </c>
      <c r="AC18" s="41">
        <v>3.6988493055555557E-2</v>
      </c>
      <c r="AD18" s="39">
        <f t="shared" si="12"/>
        <v>-0.40835296333333332</v>
      </c>
      <c r="AE18" s="39">
        <v>-4.9000000000000004</v>
      </c>
      <c r="AF18" s="39">
        <v>-2.5081699999999998</v>
      </c>
      <c r="AG18" s="39">
        <v>0</v>
      </c>
    </row>
    <row r="19" spans="1:33" ht="15.75" customHeight="1" x14ac:dyDescent="0.2">
      <c r="A19" s="28" t="s">
        <v>57</v>
      </c>
      <c r="B19" s="28"/>
      <c r="C19" s="15">
        <f t="shared" si="4"/>
        <v>10.489999999999998</v>
      </c>
      <c r="D19" s="29">
        <v>10</v>
      </c>
      <c r="E19" s="29">
        <v>0</v>
      </c>
      <c r="F19" s="32">
        <v>104.89999999999998</v>
      </c>
      <c r="G19" s="30">
        <v>0</v>
      </c>
      <c r="H19" s="31">
        <f t="shared" si="1"/>
        <v>0</v>
      </c>
      <c r="I19" s="31">
        <f t="shared" si="2"/>
        <v>0.12818778642357778</v>
      </c>
      <c r="J19" s="32">
        <f t="shared" si="5"/>
        <v>13.446898795833308</v>
      </c>
      <c r="K19" s="32">
        <f t="shared" si="3"/>
        <v>1.3446898795833309</v>
      </c>
      <c r="L19" s="29">
        <v>23</v>
      </c>
      <c r="M19" s="33">
        <f t="shared" si="6"/>
        <v>0.43478260869565216</v>
      </c>
      <c r="N19" s="29">
        <v>0</v>
      </c>
      <c r="O19" s="34">
        <f t="shared" ref="O19:P19" si="27">D19/7</f>
        <v>1.4285714285714286</v>
      </c>
      <c r="P19" s="34">
        <f t="shared" si="27"/>
        <v>0</v>
      </c>
      <c r="Q19" s="29">
        <f t="shared" si="8"/>
        <v>0</v>
      </c>
      <c r="R19" s="29"/>
      <c r="S19" s="35">
        <v>1.4906832298136601</v>
      </c>
      <c r="T19" s="28">
        <v>96</v>
      </c>
      <c r="U19" s="36" t="s">
        <v>33</v>
      </c>
      <c r="V19" s="37" t="s">
        <v>33</v>
      </c>
      <c r="W19" s="28">
        <v>0</v>
      </c>
      <c r="X19" s="38">
        <f t="shared" si="9"/>
        <v>0</v>
      </c>
      <c r="Y19" s="39">
        <f t="shared" si="10"/>
        <v>0</v>
      </c>
      <c r="Z19" s="28">
        <v>0</v>
      </c>
      <c r="AA19" s="28" t="s">
        <v>34</v>
      </c>
      <c r="AB19" s="40">
        <f t="shared" si="11"/>
        <v>-0.69</v>
      </c>
      <c r="AC19" s="41">
        <v>3.6988493055555557E-2</v>
      </c>
      <c r="AD19" s="39">
        <f t="shared" si="12"/>
        <v>-0.51044120416666661</v>
      </c>
      <c r="AE19" s="39">
        <v>-4.9000000000000004</v>
      </c>
      <c r="AF19" s="39">
        <v>-2.6207660000000002</v>
      </c>
      <c r="AG19" s="39">
        <v>0</v>
      </c>
    </row>
    <row r="20" spans="1:33" ht="15.75" customHeight="1" x14ac:dyDescent="0.2">
      <c r="A20" s="28" t="s">
        <v>58</v>
      </c>
      <c r="B20" s="28" t="s">
        <v>52</v>
      </c>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96</v>
      </c>
      <c r="U20" s="36" t="s">
        <v>33</v>
      </c>
      <c r="V20" s="37" t="s">
        <v>33</v>
      </c>
      <c r="W20" s="28">
        <v>0</v>
      </c>
      <c r="X20" s="38">
        <f t="shared" si="9"/>
        <v>0</v>
      </c>
      <c r="Y20" s="39">
        <f t="shared" si="10"/>
        <v>0</v>
      </c>
      <c r="Z20" s="28">
        <v>0</v>
      </c>
      <c r="AA20" s="28" t="s">
        <v>34</v>
      </c>
      <c r="AB20" s="40">
        <f t="shared" si="11"/>
        <v>-0.69</v>
      </c>
      <c r="AC20" s="41">
        <v>3.6988493055555557E-2</v>
      </c>
      <c r="AD20" s="39">
        <f t="shared" si="12"/>
        <v>0</v>
      </c>
      <c r="AE20" s="39">
        <v>-4.9000000000000004</v>
      </c>
      <c r="AF20" s="39">
        <v>-2.6207660000000002</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96</v>
      </c>
      <c r="U21" s="36">
        <v>32</v>
      </c>
      <c r="V21" s="37" t="s">
        <v>714</v>
      </c>
      <c r="W21" s="28">
        <v>0</v>
      </c>
      <c r="X21" s="38">
        <f t="shared" si="9"/>
        <v>0</v>
      </c>
      <c r="Y21" s="39">
        <f t="shared" si="10"/>
        <v>0</v>
      </c>
      <c r="Z21" s="28">
        <v>0</v>
      </c>
      <c r="AA21" s="28" t="s">
        <v>34</v>
      </c>
      <c r="AB21" s="40">
        <f t="shared" si="11"/>
        <v>-0.69</v>
      </c>
      <c r="AC21" s="41">
        <v>3.6988493055555557E-2</v>
      </c>
      <c r="AD21" s="39">
        <f t="shared" si="12"/>
        <v>0</v>
      </c>
      <c r="AE21" s="39">
        <v>-4.9000000000000004</v>
      </c>
      <c r="AF21" s="39">
        <v>-2.6207660000000002</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96</v>
      </c>
      <c r="U22" s="36">
        <v>32</v>
      </c>
      <c r="V22" s="37" t="s">
        <v>714</v>
      </c>
      <c r="W22" s="28">
        <v>0</v>
      </c>
      <c r="X22" s="38">
        <f t="shared" si="9"/>
        <v>0</v>
      </c>
      <c r="Y22" s="39">
        <f t="shared" si="10"/>
        <v>0</v>
      </c>
      <c r="Z22" s="28">
        <v>0</v>
      </c>
      <c r="AA22" s="28" t="s">
        <v>34</v>
      </c>
      <c r="AB22" s="40">
        <f t="shared" si="11"/>
        <v>-0.69</v>
      </c>
      <c r="AC22" s="41">
        <v>3.6988493055555557E-2</v>
      </c>
      <c r="AD22" s="39">
        <f t="shared" si="12"/>
        <v>0</v>
      </c>
      <c r="AE22" s="39">
        <v>-4.9000000000000004</v>
      </c>
      <c r="AF22" s="39">
        <v>-2.6207660000000002</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96</v>
      </c>
      <c r="U23" s="36" t="s">
        <v>33</v>
      </c>
      <c r="V23" s="37" t="s">
        <v>715</v>
      </c>
      <c r="W23" s="28">
        <v>0</v>
      </c>
      <c r="X23" s="38">
        <f t="shared" si="9"/>
        <v>0</v>
      </c>
      <c r="Y23" s="39">
        <f t="shared" si="10"/>
        <v>0</v>
      </c>
      <c r="Z23" s="28">
        <v>0</v>
      </c>
      <c r="AA23" s="28" t="s">
        <v>34</v>
      </c>
      <c r="AB23" s="40">
        <f t="shared" si="11"/>
        <v>-0.69</v>
      </c>
      <c r="AC23" s="41">
        <v>3.6988493055555557E-2</v>
      </c>
      <c r="AD23" s="39">
        <f t="shared" si="12"/>
        <v>0</v>
      </c>
      <c r="AE23" s="39">
        <v>-4.9000000000000004</v>
      </c>
      <c r="AF23" s="39">
        <v>-2.6207660000000002</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96</v>
      </c>
      <c r="U24" s="36" t="s">
        <v>33</v>
      </c>
      <c r="V24" s="37" t="s">
        <v>715</v>
      </c>
      <c r="W24" s="28">
        <v>0</v>
      </c>
      <c r="X24" s="38">
        <f t="shared" si="9"/>
        <v>0</v>
      </c>
      <c r="Y24" s="39">
        <f t="shared" si="10"/>
        <v>0</v>
      </c>
      <c r="Z24" s="28">
        <v>0</v>
      </c>
      <c r="AA24" s="28" t="s">
        <v>34</v>
      </c>
      <c r="AB24" s="40">
        <f t="shared" si="11"/>
        <v>-0.69</v>
      </c>
      <c r="AC24" s="41">
        <v>3.6988493055555557E-2</v>
      </c>
      <c r="AD24" s="39">
        <f t="shared" si="12"/>
        <v>0</v>
      </c>
      <c r="AE24" s="39">
        <v>-4.9000000000000004</v>
      </c>
      <c r="AF24" s="39">
        <v>-2.6207660000000002</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96</v>
      </c>
      <c r="U25" s="36">
        <v>32</v>
      </c>
      <c r="V25" s="37" t="s">
        <v>716</v>
      </c>
      <c r="W25" s="14">
        <v>0</v>
      </c>
      <c r="X25" s="38">
        <f t="shared" si="9"/>
        <v>0</v>
      </c>
      <c r="Y25" s="39">
        <f t="shared" si="10"/>
        <v>0</v>
      </c>
      <c r="Z25" s="14">
        <v>0</v>
      </c>
      <c r="AA25" s="28" t="s">
        <v>34</v>
      </c>
      <c r="AB25" s="40">
        <f t="shared" si="11"/>
        <v>-0.69</v>
      </c>
      <c r="AC25" s="41">
        <v>3.6988493055555557E-2</v>
      </c>
      <c r="AD25" s="39">
        <f t="shared" si="12"/>
        <v>0</v>
      </c>
      <c r="AE25" s="39">
        <v>-4.9000000000000004</v>
      </c>
      <c r="AF25" s="39">
        <v>-2.62</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96</v>
      </c>
      <c r="U26" s="36">
        <v>32</v>
      </c>
      <c r="V26" s="37" t="s">
        <v>716</v>
      </c>
      <c r="W26" s="14">
        <v>0</v>
      </c>
      <c r="X26" s="38">
        <f t="shared" si="9"/>
        <v>0</v>
      </c>
      <c r="Y26" s="39">
        <f t="shared" si="10"/>
        <v>0</v>
      </c>
      <c r="Z26" s="14">
        <v>0</v>
      </c>
      <c r="AA26" s="28" t="s">
        <v>34</v>
      </c>
      <c r="AB26" s="40">
        <f t="shared" si="11"/>
        <v>-0.69</v>
      </c>
      <c r="AC26" s="41">
        <v>3.6988493055555557E-2</v>
      </c>
      <c r="AD26" s="39">
        <f t="shared" si="12"/>
        <v>0</v>
      </c>
      <c r="AE26" s="25">
        <v>-4.9000000000000004</v>
      </c>
      <c r="AF26" s="25">
        <v>-2.6335785</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96</v>
      </c>
      <c r="U27" s="36">
        <v>32</v>
      </c>
      <c r="V27" s="37" t="s">
        <v>716</v>
      </c>
      <c r="W27" s="14">
        <v>0</v>
      </c>
      <c r="X27" s="38">
        <f t="shared" si="9"/>
        <v>0</v>
      </c>
      <c r="Y27" s="39">
        <f t="shared" si="10"/>
        <v>0</v>
      </c>
      <c r="Z27" s="14">
        <v>0</v>
      </c>
      <c r="AA27" s="28" t="s">
        <v>34</v>
      </c>
      <c r="AB27" s="40">
        <f t="shared" si="11"/>
        <v>-0.69</v>
      </c>
      <c r="AC27" s="41">
        <v>3.6988493055555557E-2</v>
      </c>
      <c r="AD27" s="39">
        <f t="shared" si="12"/>
        <v>0</v>
      </c>
      <c r="AE27" s="25">
        <v>-4.9000000000000004</v>
      </c>
      <c r="AF27" s="25">
        <v>-2.5081699999999998</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96</v>
      </c>
      <c r="U28" s="36">
        <v>32</v>
      </c>
      <c r="V28" s="37" t="s">
        <v>717</v>
      </c>
      <c r="W28" s="14">
        <v>0</v>
      </c>
      <c r="X28" s="38">
        <f t="shared" si="9"/>
        <v>0</v>
      </c>
      <c r="Y28" s="39">
        <f t="shared" si="10"/>
        <v>0</v>
      </c>
      <c r="Z28" s="14">
        <v>0</v>
      </c>
      <c r="AA28" s="28" t="s">
        <v>34</v>
      </c>
      <c r="AB28" s="40">
        <f t="shared" si="11"/>
        <v>-0.69</v>
      </c>
      <c r="AC28" s="41">
        <v>3.6988493055555557E-2</v>
      </c>
      <c r="AD28" s="39">
        <f t="shared" si="12"/>
        <v>0</v>
      </c>
      <c r="AE28" s="25">
        <v>-4.9000000000000004</v>
      </c>
      <c r="AF28" s="25">
        <v>-2.5081699999999998</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128</v>
      </c>
      <c r="U29" s="36">
        <v>32</v>
      </c>
      <c r="V29" s="37" t="s">
        <v>718</v>
      </c>
      <c r="W29" s="14">
        <v>0</v>
      </c>
      <c r="X29" s="38">
        <f t="shared" si="9"/>
        <v>0</v>
      </c>
      <c r="Y29" s="39">
        <f t="shared" si="10"/>
        <v>0</v>
      </c>
      <c r="Z29" s="14">
        <v>0</v>
      </c>
      <c r="AA29" s="28" t="s">
        <v>34</v>
      </c>
      <c r="AB29" s="40">
        <f t="shared" si="11"/>
        <v>-0.69</v>
      </c>
      <c r="AC29" s="41">
        <v>3.6988493055555557E-2</v>
      </c>
      <c r="AD29" s="39">
        <f t="shared" si="12"/>
        <v>0</v>
      </c>
      <c r="AE29" s="39">
        <v>-4.9000000000000004</v>
      </c>
      <c r="AF29" s="25">
        <v>-2.5081699999999998</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96</v>
      </c>
      <c r="U30" s="36">
        <v>32</v>
      </c>
      <c r="V30" s="37" t="s">
        <v>719</v>
      </c>
      <c r="W30" s="14">
        <v>0</v>
      </c>
      <c r="X30" s="38">
        <f t="shared" si="9"/>
        <v>0</v>
      </c>
      <c r="Y30" s="39">
        <f t="shared" si="10"/>
        <v>0</v>
      </c>
      <c r="Z30" s="14">
        <v>0</v>
      </c>
      <c r="AA30" s="28" t="s">
        <v>34</v>
      </c>
      <c r="AB30" s="40">
        <f t="shared" si="11"/>
        <v>-0.69</v>
      </c>
      <c r="AC30" s="41">
        <v>3.6988493055555557E-2</v>
      </c>
      <c r="AD30" s="39">
        <f t="shared" si="12"/>
        <v>0</v>
      </c>
      <c r="AE30" s="25">
        <v>-4.9000000000000004</v>
      </c>
      <c r="AF30" s="25">
        <v>-2.3562259746093699</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32</v>
      </c>
      <c r="O31" s="34">
        <f t="shared" ref="O31:P32" si="39">D31/7</f>
        <v>0</v>
      </c>
      <c r="P31" s="34">
        <f t="shared" si="39"/>
        <v>0</v>
      </c>
      <c r="Q31" s="29" t="e">
        <f t="shared" si="8"/>
        <v>#DIV/0!</v>
      </c>
      <c r="R31" s="29"/>
      <c r="S31" s="21">
        <v>1.27659574468085</v>
      </c>
      <c r="T31" s="14">
        <v>32</v>
      </c>
      <c r="U31" s="22">
        <v>32</v>
      </c>
      <c r="V31" s="1" t="s">
        <v>945</v>
      </c>
      <c r="W31" s="14">
        <v>0</v>
      </c>
      <c r="X31" s="38">
        <f t="shared" si="9"/>
        <v>0</v>
      </c>
      <c r="Y31" s="39">
        <f t="shared" si="10"/>
        <v>0</v>
      </c>
      <c r="Z31" s="14">
        <v>0</v>
      </c>
      <c r="AA31" s="14" t="s">
        <v>34</v>
      </c>
      <c r="AB31" s="40">
        <f t="shared" si="11"/>
        <v>-0.69</v>
      </c>
      <c r="AC31" s="27">
        <v>3.6988493055555557E-2</v>
      </c>
      <c r="AD31" s="39">
        <f t="shared" si="12"/>
        <v>0</v>
      </c>
      <c r="AE31" s="43">
        <v>-4.9000000000000004</v>
      </c>
      <c r="AF31" s="43">
        <v>-2.3562259746093752</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32</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3.6988493055555557E-2</v>
      </c>
      <c r="AD32" s="39">
        <f t="shared" si="12"/>
        <v>0</v>
      </c>
      <c r="AE32" s="58">
        <v>-4.9000000000000004</v>
      </c>
      <c r="AF32" s="58">
        <v>-2.3562259746093699</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C197" s="45"/>
      <c r="D197" s="45"/>
      <c r="E197" s="45"/>
      <c r="F197" s="45"/>
      <c r="G197" s="45"/>
      <c r="H197" s="45"/>
      <c r="I197" s="45"/>
      <c r="J197" s="45"/>
      <c r="K197" s="45"/>
      <c r="L197" s="45"/>
      <c r="M197" s="45"/>
      <c r="N197" s="45"/>
      <c r="O197" s="45"/>
      <c r="P197" s="45"/>
      <c r="Q197" s="45"/>
      <c r="R197" s="45"/>
      <c r="S197" s="21"/>
    </row>
    <row r="198" spans="1:33" ht="15.75" customHeight="1" x14ac:dyDescent="0.2">
      <c r="C198" s="45"/>
      <c r="D198" s="45"/>
      <c r="E198" s="45"/>
      <c r="F198" s="45"/>
      <c r="G198" s="45"/>
      <c r="H198" s="45"/>
      <c r="I198" s="45"/>
      <c r="J198" s="45"/>
      <c r="K198" s="45"/>
      <c r="L198" s="45"/>
      <c r="M198" s="45"/>
      <c r="N198" s="45"/>
      <c r="O198" s="45"/>
      <c r="P198" s="45"/>
      <c r="Q198" s="45"/>
      <c r="R198" s="45"/>
      <c r="S198" s="21"/>
    </row>
    <row r="199" spans="1:33" ht="15.75" customHeight="1" x14ac:dyDescent="0.2">
      <c r="C199" s="45"/>
      <c r="D199" s="45"/>
      <c r="E199" s="45"/>
      <c r="F199" s="45"/>
      <c r="G199" s="45"/>
      <c r="H199" s="45"/>
      <c r="I199" s="45"/>
      <c r="J199" s="45"/>
      <c r="K199" s="45"/>
      <c r="L199" s="45"/>
      <c r="M199" s="45"/>
      <c r="N199" s="45"/>
      <c r="O199" s="45"/>
      <c r="P199" s="45"/>
      <c r="Q199" s="45"/>
      <c r="R199" s="45"/>
      <c r="S199" s="21"/>
    </row>
    <row r="200" spans="1:33" ht="15.75" customHeight="1" x14ac:dyDescent="0.2">
      <c r="C200" s="45"/>
      <c r="D200" s="45"/>
      <c r="E200" s="45"/>
      <c r="F200" s="45"/>
      <c r="G200" s="45"/>
      <c r="H200" s="45"/>
      <c r="I200" s="45"/>
      <c r="J200" s="45"/>
      <c r="K200" s="45"/>
      <c r="L200" s="45"/>
      <c r="M200" s="45"/>
      <c r="N200" s="45"/>
      <c r="O200" s="45"/>
      <c r="P200" s="45"/>
      <c r="Q200" s="45"/>
      <c r="R200" s="45"/>
      <c r="S200" s="21"/>
    </row>
    <row r="201" spans="1:33" ht="15.75" customHeight="1" x14ac:dyDescent="0.2">
      <c r="C201" s="45"/>
      <c r="D201" s="45"/>
      <c r="E201" s="45"/>
      <c r="F201" s="45"/>
      <c r="G201" s="45"/>
      <c r="H201" s="45"/>
      <c r="I201" s="45"/>
      <c r="J201" s="45"/>
      <c r="K201" s="45"/>
      <c r="L201" s="45"/>
      <c r="M201" s="45"/>
      <c r="N201" s="45"/>
      <c r="O201" s="45"/>
      <c r="P201" s="45"/>
      <c r="Q201" s="45"/>
      <c r="R201" s="45"/>
      <c r="S201" s="21"/>
    </row>
    <row r="202" spans="1:33" ht="15.75" customHeight="1" x14ac:dyDescent="0.2">
      <c r="C202" s="45"/>
      <c r="D202" s="45"/>
      <c r="E202" s="45"/>
      <c r="F202" s="45"/>
      <c r="G202" s="45"/>
      <c r="H202" s="45"/>
      <c r="I202" s="45"/>
      <c r="J202" s="45"/>
      <c r="K202" s="45"/>
      <c r="L202" s="45"/>
      <c r="M202" s="45"/>
      <c r="N202" s="45"/>
      <c r="O202" s="45"/>
      <c r="P202" s="45"/>
      <c r="Q202" s="45"/>
      <c r="R202" s="45"/>
      <c r="S202" s="21"/>
    </row>
    <row r="203" spans="1:33" ht="15.75" customHeight="1" x14ac:dyDescent="0.2">
      <c r="C203" s="45"/>
      <c r="D203" s="45"/>
      <c r="E203" s="45"/>
      <c r="F203" s="45"/>
      <c r="G203" s="45"/>
      <c r="H203" s="45"/>
      <c r="I203" s="45"/>
      <c r="J203" s="45"/>
      <c r="K203" s="45"/>
      <c r="L203" s="45"/>
      <c r="M203" s="45"/>
      <c r="N203" s="45"/>
      <c r="O203" s="45"/>
      <c r="P203" s="45"/>
      <c r="Q203" s="45"/>
      <c r="R203" s="45"/>
      <c r="S203" s="21"/>
    </row>
    <row r="204" spans="1:33" ht="15.75" customHeight="1" x14ac:dyDescent="0.2">
      <c r="C204" s="45"/>
      <c r="D204" s="45"/>
      <c r="E204" s="45"/>
      <c r="F204" s="45"/>
      <c r="G204" s="45"/>
      <c r="H204" s="45"/>
      <c r="I204" s="45"/>
      <c r="J204" s="45"/>
      <c r="K204" s="45"/>
      <c r="L204" s="45"/>
      <c r="M204" s="45"/>
      <c r="N204" s="45"/>
      <c r="O204" s="45"/>
      <c r="P204" s="45"/>
      <c r="Q204" s="45"/>
      <c r="R204" s="45"/>
      <c r="S204" s="21"/>
    </row>
    <row r="205" spans="1:33" ht="15.75" customHeight="1" x14ac:dyDescent="0.2">
      <c r="C205" s="45"/>
      <c r="D205" s="45"/>
      <c r="E205" s="45"/>
      <c r="F205" s="45"/>
      <c r="G205" s="45"/>
      <c r="H205" s="45"/>
      <c r="I205" s="45"/>
      <c r="J205" s="45"/>
      <c r="K205" s="45"/>
      <c r="L205" s="45"/>
      <c r="M205" s="45"/>
      <c r="N205" s="45"/>
      <c r="O205" s="45"/>
      <c r="P205" s="45"/>
      <c r="Q205" s="45"/>
      <c r="R205" s="45"/>
      <c r="S205" s="21"/>
    </row>
    <row r="206" spans="1:33" ht="15.75" customHeight="1" x14ac:dyDescent="0.2">
      <c r="C206" s="45"/>
      <c r="D206" s="45"/>
      <c r="E206" s="45"/>
      <c r="F206" s="45"/>
      <c r="G206" s="45"/>
      <c r="H206" s="45"/>
      <c r="I206" s="45"/>
      <c r="J206" s="45"/>
      <c r="K206" s="45"/>
      <c r="L206" s="45"/>
      <c r="M206" s="45"/>
      <c r="N206" s="45"/>
      <c r="O206" s="45"/>
      <c r="P206" s="45"/>
      <c r="Q206" s="45"/>
      <c r="R206" s="45"/>
      <c r="S206" s="21"/>
    </row>
    <row r="207" spans="1:33" ht="15.75" customHeight="1" x14ac:dyDescent="0.2">
      <c r="C207" s="45"/>
      <c r="D207" s="45"/>
      <c r="E207" s="45"/>
      <c r="F207" s="45"/>
      <c r="G207" s="45"/>
      <c r="H207" s="45"/>
      <c r="I207" s="45"/>
      <c r="J207" s="45"/>
      <c r="K207" s="45"/>
      <c r="L207" s="45"/>
      <c r="M207" s="45"/>
      <c r="N207" s="45"/>
      <c r="O207" s="45"/>
      <c r="P207" s="45"/>
      <c r="Q207" s="45"/>
      <c r="R207" s="45"/>
      <c r="S207" s="21"/>
    </row>
    <row r="208" spans="1:33"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50.832031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Gauge Automotive Wire - 4 Roll Assortment Pack -100 Ft of Copper Clad Aluminum Primary Wire per Roll")</f>
        <v>16 Gauge Automotive Wire - 4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Info!B1:BJ5000""),2,FALSE),"""")"),"B07QK119BQ")</f>
        <v>B07QK119BQ</v>
      </c>
      <c r="B2" s="49" t="s">
        <v>720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4" customHeight="1" x14ac:dyDescent="0.2">
      <c r="A3" s="76" t="s">
        <v>30</v>
      </c>
      <c r="B3" s="77"/>
      <c r="C3" s="47">
        <f>((AE32+AF32)/0.85)*-1</f>
        <v>12.332065604963235</v>
      </c>
      <c r="D3" s="5">
        <f>SUM(D4:D99634)</f>
        <v>208</v>
      </c>
      <c r="E3" s="5"/>
      <c r="F3" s="6">
        <f t="shared" ref="F3:G3" si="0">SUM(F4:F99634)</f>
        <v>3839.6899999999996</v>
      </c>
      <c r="G3" s="6">
        <f t="shared" si="0"/>
        <v>-0.59</v>
      </c>
      <c r="H3" s="7">
        <f t="shared" ref="H3:H32" si="1">G3/F3*-1</f>
        <v>1.5365823803484136E-4</v>
      </c>
      <c r="I3" s="8">
        <f t="shared" ref="I3:I32" si="2">J3/F3</f>
        <v>0.26918195366603798</v>
      </c>
      <c r="J3" s="6">
        <f>SUM(J4:J99634)</f>
        <v>1033.5752556719492</v>
      </c>
      <c r="K3" s="6">
        <f t="shared" ref="K3:K32" si="3">J3/D3</f>
        <v>4.9691118061151407</v>
      </c>
      <c r="L3" s="5"/>
      <c r="M3" s="9"/>
      <c r="N3" s="10"/>
      <c r="O3" s="5" t="str">
        <f ca="1">IFERROR(__xludf.DUMMYFUNCTION("IFERROR(VLOOKUP(B2,IMPORTRANGE(""https://docs.google.com/spreadsheets/d/1N8jvpEHDVkurDv7NrPxwI3eH6hQsvtb1QltGNCalRjU/edit#gid=865736387"",""Compiled Sheet!a1:g5000""),2,FALSE),"""")"),"1.5 - March
3 - April
1.5 - May
1.5 - June
1.5 - July
1.5 - Aug
1.5 - Sept
1 - Oct
0.5 - Nov
0.5 - Dec
1.5 - Jan
1.5 - Feb")</f>
        <v>1.5 - March
3 - April
1.5 - May
1.5 - June
1.5 - July
1.5 - Aug
1.5 - Sept
1 - Oct
0.5 - Nov
0.5 -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v>
      </c>
      <c r="X3" s="7">
        <f>W3/D3</f>
        <v>4.807692307692308E-3</v>
      </c>
      <c r="Y3" s="6"/>
      <c r="Z3" s="5"/>
      <c r="AA3" s="5"/>
      <c r="AB3" s="5"/>
      <c r="AC3" s="5"/>
      <c r="AD3" s="6">
        <f>SUM(AD4:AD99634)</f>
        <v>-18.123723450081755</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Info!B2:BZ7000""),37,FALSE)),"""")*-1"),-4.80225576421875)</f>
        <v>-4.8022557642187502</v>
      </c>
      <c r="AG3" s="6">
        <f>SUM(AG4:AG99634)</f>
        <v>0</v>
      </c>
    </row>
    <row r="4" spans="1:33" ht="15.75" customHeight="1" x14ac:dyDescent="0.2">
      <c r="A4" s="14" t="s">
        <v>31</v>
      </c>
      <c r="B4" s="14" t="s">
        <v>721</v>
      </c>
      <c r="C4" s="15">
        <f t="shared" ref="C4:C32" si="4">IFERROR(F4/D4," - ")</f>
        <v>16.194375000000001</v>
      </c>
      <c r="D4" s="16">
        <v>16</v>
      </c>
      <c r="E4" s="16">
        <v>0</v>
      </c>
      <c r="F4" s="17">
        <v>259.11</v>
      </c>
      <c r="G4" s="17">
        <v>-0.1</v>
      </c>
      <c r="H4" s="18">
        <f t="shared" si="1"/>
        <v>3.8593647485623867E-4</v>
      </c>
      <c r="I4" s="18">
        <f t="shared" si="2"/>
        <v>0.19796694668502016</v>
      </c>
      <c r="J4" s="17">
        <f t="shared" ref="J4:J32" si="5">F4*0.85+G4+AF4*D4+D4*AE4+AG4+AD4</f>
        <v>51.295215555555572</v>
      </c>
      <c r="K4" s="17">
        <f t="shared" si="3"/>
        <v>3.2059509722222232</v>
      </c>
      <c r="L4" s="16">
        <v>23</v>
      </c>
      <c r="M4" s="19">
        <f t="shared" ref="M4:M32" si="6">IFERROR(D4/L4,"-")</f>
        <v>0.69565217391304346</v>
      </c>
      <c r="N4" s="16">
        <v>92</v>
      </c>
      <c r="O4" s="20">
        <f t="shared" ref="O4:P4" si="7">D4/7</f>
        <v>2.2857142857142856</v>
      </c>
      <c r="P4" s="20">
        <f t="shared" si="7"/>
        <v>0</v>
      </c>
      <c r="Q4" s="16">
        <f t="shared" ref="Q4:Q32" si="8">ROUNDDOWN(N4/(O4+P4),0)</f>
        <v>40</v>
      </c>
      <c r="R4" s="16"/>
      <c r="S4" s="21">
        <v>1.0517598343685299</v>
      </c>
      <c r="T4" s="14">
        <v>384</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6.2592592592592602E-2</v>
      </c>
      <c r="AD4" s="25">
        <f t="shared" ref="AD4:AD32" si="12">IFERROR(AB4*AC4*D4*2,0)</f>
        <v>-1.3820444444444446</v>
      </c>
      <c r="AE4" s="25">
        <v>-5.42</v>
      </c>
      <c r="AF4" s="25">
        <v>-5.0466400000000009</v>
      </c>
      <c r="AG4" s="25">
        <v>0</v>
      </c>
    </row>
    <row r="5" spans="1:33" ht="15.75" customHeight="1" x14ac:dyDescent="0.2">
      <c r="A5" s="28" t="s">
        <v>35</v>
      </c>
      <c r="B5" s="28" t="s">
        <v>47</v>
      </c>
      <c r="C5" s="15">
        <f t="shared" si="4"/>
        <v>15.990000000000004</v>
      </c>
      <c r="D5" s="29">
        <v>14</v>
      </c>
      <c r="E5" s="29">
        <v>1</v>
      </c>
      <c r="F5" s="30">
        <v>223.86000000000004</v>
      </c>
      <c r="G5" s="30">
        <v>-0.14000000000000001</v>
      </c>
      <c r="H5" s="31">
        <f t="shared" si="1"/>
        <v>6.2539086929330821E-4</v>
      </c>
      <c r="I5" s="31">
        <f t="shared" si="2"/>
        <v>0.18939225341446764</v>
      </c>
      <c r="J5" s="32">
        <f t="shared" si="5"/>
        <v>42.397349849362733</v>
      </c>
      <c r="K5" s="32">
        <f t="shared" si="3"/>
        <v>3.0283821320973381</v>
      </c>
      <c r="L5" s="29">
        <v>23</v>
      </c>
      <c r="M5" s="33">
        <f t="shared" si="6"/>
        <v>0.60869565217391308</v>
      </c>
      <c r="N5" s="29">
        <v>75</v>
      </c>
      <c r="O5" s="34">
        <f t="shared" ref="O5:P5" si="13">D5/7</f>
        <v>2</v>
      </c>
      <c r="P5" s="34">
        <f t="shared" si="13"/>
        <v>0.14285714285714285</v>
      </c>
      <c r="Q5" s="29">
        <f t="shared" si="8"/>
        <v>35</v>
      </c>
      <c r="R5" s="29"/>
      <c r="S5" s="35">
        <v>1.38679245283018</v>
      </c>
      <c r="T5" s="28">
        <v>384</v>
      </c>
      <c r="U5" s="36" t="s">
        <v>33</v>
      </c>
      <c r="V5" s="37" t="s">
        <v>33</v>
      </c>
      <c r="W5" s="28">
        <v>0</v>
      </c>
      <c r="X5" s="38">
        <f t="shared" si="9"/>
        <v>0</v>
      </c>
      <c r="Y5" s="39">
        <f t="shared" si="10"/>
        <v>0</v>
      </c>
      <c r="Z5" s="28">
        <v>0</v>
      </c>
      <c r="AA5" s="28" t="s">
        <v>34</v>
      </c>
      <c r="AB5" s="40">
        <f t="shared" si="11"/>
        <v>-0.69</v>
      </c>
      <c r="AC5" s="41">
        <v>6.2665121668597917E-2</v>
      </c>
      <c r="AD5" s="39">
        <f t="shared" si="12"/>
        <v>-1.2106901506373118</v>
      </c>
      <c r="AE5" s="39">
        <v>-5.42</v>
      </c>
      <c r="AF5" s="39">
        <v>-5.0466400000000009</v>
      </c>
      <c r="AG5" s="39">
        <v>0</v>
      </c>
    </row>
    <row r="6" spans="1:33" ht="15.75" customHeight="1" x14ac:dyDescent="0.2">
      <c r="A6" s="28" t="s">
        <v>37</v>
      </c>
      <c r="B6" s="28" t="s">
        <v>722</v>
      </c>
      <c r="C6" s="15">
        <f t="shared" si="4"/>
        <v>16.125454545454545</v>
      </c>
      <c r="D6" s="29">
        <v>11</v>
      </c>
      <c r="E6" s="29">
        <v>0</v>
      </c>
      <c r="F6" s="30">
        <v>177.38</v>
      </c>
      <c r="G6" s="30">
        <v>-0.1</v>
      </c>
      <c r="H6" s="31">
        <f t="shared" si="1"/>
        <v>5.6376141616867751E-4</v>
      </c>
      <c r="I6" s="31">
        <f t="shared" si="2"/>
        <v>0.19500397138597605</v>
      </c>
      <c r="J6" s="32">
        <f t="shared" si="5"/>
        <v>34.589804444444432</v>
      </c>
      <c r="K6" s="32">
        <f t="shared" si="3"/>
        <v>3.1445276767676758</v>
      </c>
      <c r="L6" s="29">
        <v>18</v>
      </c>
      <c r="M6" s="33">
        <f t="shared" si="6"/>
        <v>0.61111111111111116</v>
      </c>
      <c r="N6" s="29">
        <v>61</v>
      </c>
      <c r="O6" s="34">
        <f t="shared" ref="O6:P6" si="14">D6/7</f>
        <v>1.5714285714285714</v>
      </c>
      <c r="P6" s="34">
        <f t="shared" si="14"/>
        <v>0</v>
      </c>
      <c r="Q6" s="29">
        <f t="shared" si="8"/>
        <v>38</v>
      </c>
      <c r="R6" s="29"/>
      <c r="S6" s="35">
        <v>1.6979166666666601</v>
      </c>
      <c r="T6" s="28">
        <v>384</v>
      </c>
      <c r="U6" s="36" t="s">
        <v>33</v>
      </c>
      <c r="V6" s="37" t="s">
        <v>39</v>
      </c>
      <c r="W6" s="28">
        <v>0</v>
      </c>
      <c r="X6" s="38">
        <f t="shared" si="9"/>
        <v>0</v>
      </c>
      <c r="Y6" s="39">
        <f t="shared" si="10"/>
        <v>0</v>
      </c>
      <c r="Z6" s="28">
        <v>0</v>
      </c>
      <c r="AA6" s="28" t="s">
        <v>34</v>
      </c>
      <c r="AB6" s="40">
        <f t="shared" si="11"/>
        <v>-0.69</v>
      </c>
      <c r="AC6" s="41">
        <v>6.2592592592592602E-2</v>
      </c>
      <c r="AD6" s="39">
        <f t="shared" si="12"/>
        <v>-0.95015555555555564</v>
      </c>
      <c r="AE6" s="39">
        <v>-5.42</v>
      </c>
      <c r="AF6" s="39">
        <v>-5.0466400000000009</v>
      </c>
      <c r="AG6" s="39">
        <v>0</v>
      </c>
    </row>
    <row r="7" spans="1:33" ht="15.75" customHeight="1" x14ac:dyDescent="0.2">
      <c r="A7" s="28" t="s">
        <v>40</v>
      </c>
      <c r="B7" s="28" t="s">
        <v>47</v>
      </c>
      <c r="C7" s="15">
        <f t="shared" si="4"/>
        <v>17.323333333333331</v>
      </c>
      <c r="D7" s="29">
        <v>6</v>
      </c>
      <c r="E7" s="29">
        <v>0</v>
      </c>
      <c r="F7" s="30">
        <v>103.93999999999998</v>
      </c>
      <c r="G7" s="30">
        <v>0</v>
      </c>
      <c r="H7" s="31">
        <f t="shared" si="1"/>
        <v>0</v>
      </c>
      <c r="I7" s="31">
        <f t="shared" si="2"/>
        <v>0.24082060162914493</v>
      </c>
      <c r="J7" s="32">
        <f t="shared" si="5"/>
        <v>25.030893333333321</v>
      </c>
      <c r="K7" s="32">
        <f t="shared" si="3"/>
        <v>4.1718155555555532</v>
      </c>
      <c r="L7" s="29">
        <v>30</v>
      </c>
      <c r="M7" s="33">
        <f t="shared" si="6"/>
        <v>0.2</v>
      </c>
      <c r="N7" s="29">
        <v>55</v>
      </c>
      <c r="O7" s="34">
        <f t="shared" ref="O7:P7" si="15">D7/7</f>
        <v>0.8571428571428571</v>
      </c>
      <c r="P7" s="34">
        <f t="shared" si="15"/>
        <v>0</v>
      </c>
      <c r="Q7" s="29">
        <f t="shared" si="8"/>
        <v>64</v>
      </c>
      <c r="R7" s="29"/>
      <c r="S7" s="35">
        <v>1.9195402298850499</v>
      </c>
      <c r="T7" s="28">
        <v>384</v>
      </c>
      <c r="U7" s="36" t="s">
        <v>33</v>
      </c>
      <c r="V7" s="37" t="s">
        <v>39</v>
      </c>
      <c r="W7" s="28">
        <v>0</v>
      </c>
      <c r="X7" s="38">
        <f t="shared" si="9"/>
        <v>0</v>
      </c>
      <c r="Y7" s="39">
        <f t="shared" si="10"/>
        <v>0</v>
      </c>
      <c r="Z7" s="28">
        <v>0</v>
      </c>
      <c r="AA7" s="28" t="s">
        <v>34</v>
      </c>
      <c r="AB7" s="40">
        <f t="shared" si="11"/>
        <v>-0.69</v>
      </c>
      <c r="AC7" s="41">
        <v>6.2592592592592602E-2</v>
      </c>
      <c r="AD7" s="39">
        <f t="shared" si="12"/>
        <v>-0.51826666666666676</v>
      </c>
      <c r="AE7" s="39">
        <v>-5.42</v>
      </c>
      <c r="AF7" s="39">
        <v>-5.0466400000000009</v>
      </c>
      <c r="AG7" s="39">
        <v>0</v>
      </c>
    </row>
    <row r="8" spans="1:33" ht="15.75" customHeight="1" x14ac:dyDescent="0.2">
      <c r="A8" s="28" t="s">
        <v>42</v>
      </c>
      <c r="B8" s="28" t="s">
        <v>723</v>
      </c>
      <c r="C8" s="15">
        <f t="shared" si="4"/>
        <v>18.037857142857145</v>
      </c>
      <c r="D8" s="29">
        <v>14</v>
      </c>
      <c r="E8" s="29">
        <v>0</v>
      </c>
      <c r="F8" s="30">
        <v>252.53000000000003</v>
      </c>
      <c r="G8" s="30">
        <v>0</v>
      </c>
      <c r="H8" s="31">
        <f t="shared" si="1"/>
        <v>0</v>
      </c>
      <c r="I8" s="31">
        <f t="shared" si="2"/>
        <v>0.26476541841013401</v>
      </c>
      <c r="J8" s="32">
        <f t="shared" si="5"/>
        <v>66.861211111111146</v>
      </c>
      <c r="K8" s="32">
        <f t="shared" si="3"/>
        <v>4.775800793650796</v>
      </c>
      <c r="L8" s="29">
        <v>21</v>
      </c>
      <c r="M8" s="33">
        <f t="shared" si="6"/>
        <v>0.66666666666666663</v>
      </c>
      <c r="N8" s="29">
        <v>41</v>
      </c>
      <c r="O8" s="34">
        <f t="shared" ref="O8:P8" si="16">D8/7</f>
        <v>2</v>
      </c>
      <c r="P8" s="34">
        <f t="shared" si="16"/>
        <v>0</v>
      </c>
      <c r="Q8" s="29">
        <f t="shared" si="8"/>
        <v>20</v>
      </c>
      <c r="R8" s="29"/>
      <c r="S8" s="35">
        <v>1.33837429111531</v>
      </c>
      <c r="T8" s="28">
        <v>384</v>
      </c>
      <c r="U8" s="36">
        <v>144</v>
      </c>
      <c r="V8" s="37" t="s">
        <v>724</v>
      </c>
      <c r="W8" s="28">
        <v>0</v>
      </c>
      <c r="X8" s="38">
        <f t="shared" si="9"/>
        <v>0</v>
      </c>
      <c r="Y8" s="39">
        <f t="shared" si="10"/>
        <v>0</v>
      </c>
      <c r="Z8" s="28">
        <v>0</v>
      </c>
      <c r="AA8" s="28" t="s">
        <v>34</v>
      </c>
      <c r="AB8" s="40">
        <f t="shared" si="11"/>
        <v>-0.69</v>
      </c>
      <c r="AC8" s="41">
        <v>6.2592592592592602E-2</v>
      </c>
      <c r="AD8" s="39">
        <f t="shared" si="12"/>
        <v>-1.2092888888888891</v>
      </c>
      <c r="AE8" s="39">
        <v>-5.42</v>
      </c>
      <c r="AF8" s="39">
        <v>-5.05</v>
      </c>
      <c r="AG8" s="39">
        <v>0</v>
      </c>
    </row>
    <row r="9" spans="1:33" ht="15.75" customHeight="1" x14ac:dyDescent="0.2">
      <c r="A9" s="28" t="s">
        <v>44</v>
      </c>
      <c r="B9" s="28" t="s">
        <v>47</v>
      </c>
      <c r="C9" s="15">
        <f t="shared" si="4"/>
        <v>19.071000000000002</v>
      </c>
      <c r="D9" s="29">
        <v>10</v>
      </c>
      <c r="E9" s="29">
        <v>1</v>
      </c>
      <c r="F9" s="30">
        <v>190.71</v>
      </c>
      <c r="G9" s="30">
        <v>0</v>
      </c>
      <c r="H9" s="31">
        <f t="shared" si="1"/>
        <v>0</v>
      </c>
      <c r="I9" s="31">
        <f t="shared" si="2"/>
        <v>0.29041907724934302</v>
      </c>
      <c r="J9" s="32">
        <f t="shared" si="5"/>
        <v>55.38582222222221</v>
      </c>
      <c r="K9" s="32">
        <f t="shared" si="3"/>
        <v>5.538582222222221</v>
      </c>
      <c r="L9" s="29">
        <v>19</v>
      </c>
      <c r="M9" s="33">
        <f t="shared" si="6"/>
        <v>0.52631578947368418</v>
      </c>
      <c r="N9" s="29">
        <v>31</v>
      </c>
      <c r="O9" s="34">
        <f t="shared" ref="O9:P9" si="17">D9/7</f>
        <v>1.4285714285714286</v>
      </c>
      <c r="P9" s="34">
        <f t="shared" si="17"/>
        <v>0.14285714285714285</v>
      </c>
      <c r="Q9" s="29">
        <f t="shared" si="8"/>
        <v>19</v>
      </c>
      <c r="R9" s="29"/>
      <c r="S9" s="35">
        <v>1.54838709677419</v>
      </c>
      <c r="T9" s="28">
        <v>384</v>
      </c>
      <c r="U9" s="36">
        <v>144</v>
      </c>
      <c r="V9" s="37" t="s">
        <v>725</v>
      </c>
      <c r="W9" s="28">
        <v>0</v>
      </c>
      <c r="X9" s="38">
        <f t="shared" si="9"/>
        <v>0</v>
      </c>
      <c r="Y9" s="39">
        <f t="shared" si="10"/>
        <v>0</v>
      </c>
      <c r="Z9" s="28">
        <v>0</v>
      </c>
      <c r="AA9" s="28" t="s">
        <v>34</v>
      </c>
      <c r="AB9" s="40">
        <f t="shared" si="11"/>
        <v>-0.69</v>
      </c>
      <c r="AC9" s="41">
        <v>6.2592592592592602E-2</v>
      </c>
      <c r="AD9" s="39">
        <f t="shared" si="12"/>
        <v>-0.86377777777777787</v>
      </c>
      <c r="AE9" s="39">
        <v>-5.42</v>
      </c>
      <c r="AF9" s="39">
        <v>-5.1653900000000004</v>
      </c>
      <c r="AG9" s="39">
        <v>0</v>
      </c>
    </row>
    <row r="10" spans="1:33" ht="15.75" customHeight="1" x14ac:dyDescent="0.2">
      <c r="A10" s="28" t="s">
        <v>46</v>
      </c>
      <c r="B10" s="28" t="s">
        <v>47</v>
      </c>
      <c r="C10" s="15">
        <f t="shared" si="4"/>
        <v>18.989999999999998</v>
      </c>
      <c r="D10" s="29">
        <v>4</v>
      </c>
      <c r="E10" s="29">
        <v>1</v>
      </c>
      <c r="F10" s="30">
        <v>75.959999999999994</v>
      </c>
      <c r="G10" s="30">
        <v>-9.0000000000000011E-2</v>
      </c>
      <c r="H10" s="31">
        <f t="shared" si="1"/>
        <v>1.1848341232227491E-3</v>
      </c>
      <c r="I10" s="31">
        <f t="shared" si="2"/>
        <v>0.28684740506699413</v>
      </c>
      <c r="J10" s="32">
        <f t="shared" si="5"/>
        <v>21.788928888888872</v>
      </c>
      <c r="K10" s="32">
        <f t="shared" si="3"/>
        <v>5.447232222222218</v>
      </c>
      <c r="L10" s="29">
        <v>17</v>
      </c>
      <c r="M10" s="33">
        <f t="shared" si="6"/>
        <v>0.23529411764705882</v>
      </c>
      <c r="N10" s="29">
        <v>28</v>
      </c>
      <c r="O10" s="34">
        <f t="shared" ref="O10:P10" si="18">D10/7</f>
        <v>0.5714285714285714</v>
      </c>
      <c r="P10" s="34">
        <f t="shared" si="18"/>
        <v>0.14285714285714285</v>
      </c>
      <c r="Q10" s="29">
        <f t="shared" si="8"/>
        <v>39</v>
      </c>
      <c r="R10" s="29"/>
      <c r="S10" s="35">
        <v>1.6442307692307601</v>
      </c>
      <c r="T10" s="28">
        <v>384</v>
      </c>
      <c r="U10" s="36">
        <v>144</v>
      </c>
      <c r="V10" s="37" t="s">
        <v>726</v>
      </c>
      <c r="W10" s="28">
        <v>1</v>
      </c>
      <c r="X10" s="38">
        <f t="shared" si="9"/>
        <v>0.25</v>
      </c>
      <c r="Y10" s="39">
        <f t="shared" si="10"/>
        <v>9.0000000000000011E-2</v>
      </c>
      <c r="Z10" s="28">
        <v>0</v>
      </c>
      <c r="AA10" s="28" t="s">
        <v>34</v>
      </c>
      <c r="AB10" s="40">
        <f t="shared" si="11"/>
        <v>-0.69</v>
      </c>
      <c r="AC10" s="41">
        <v>6.2592592592592602E-2</v>
      </c>
      <c r="AD10" s="39">
        <f t="shared" si="12"/>
        <v>-0.34551111111111116</v>
      </c>
      <c r="AE10" s="39">
        <v>-5.42</v>
      </c>
      <c r="AF10" s="39">
        <v>-5.1653900000000004</v>
      </c>
      <c r="AG10" s="39">
        <v>0</v>
      </c>
    </row>
    <row r="11" spans="1:33" ht="15.75" customHeight="1" x14ac:dyDescent="0.2">
      <c r="A11" s="28" t="s">
        <v>48</v>
      </c>
      <c r="B11" s="28" t="s">
        <v>47</v>
      </c>
      <c r="C11" s="15">
        <f t="shared" si="4"/>
        <v>18.989999999999998</v>
      </c>
      <c r="D11" s="29">
        <v>3</v>
      </c>
      <c r="E11" s="29">
        <v>0</v>
      </c>
      <c r="F11" s="30">
        <v>56.97</v>
      </c>
      <c r="G11" s="30">
        <v>-0.08</v>
      </c>
      <c r="H11" s="31">
        <f t="shared" si="1"/>
        <v>1.4042478497454801E-3</v>
      </c>
      <c r="I11" s="31">
        <f t="shared" si="2"/>
        <v>0.28662799134047157</v>
      </c>
      <c r="J11" s="32">
        <f t="shared" si="5"/>
        <v>16.329196666666665</v>
      </c>
      <c r="K11" s="32">
        <f t="shared" si="3"/>
        <v>5.4430655555555552</v>
      </c>
      <c r="L11" s="29">
        <v>15</v>
      </c>
      <c r="M11" s="33">
        <f t="shared" si="6"/>
        <v>0.2</v>
      </c>
      <c r="N11" s="29">
        <v>23</v>
      </c>
      <c r="O11" s="34">
        <f t="shared" ref="O11:P11" si="19">D11/7</f>
        <v>0.42857142857142855</v>
      </c>
      <c r="P11" s="34">
        <f t="shared" si="19"/>
        <v>0</v>
      </c>
      <c r="Q11" s="29">
        <f t="shared" si="8"/>
        <v>53</v>
      </c>
      <c r="R11" s="29"/>
      <c r="S11" s="35">
        <v>1.64075067024128</v>
      </c>
      <c r="T11" s="28">
        <v>384</v>
      </c>
      <c r="U11" s="36">
        <v>144</v>
      </c>
      <c r="V11" s="37" t="s">
        <v>726</v>
      </c>
      <c r="W11" s="28">
        <v>0</v>
      </c>
      <c r="X11" s="38">
        <f t="shared" si="9"/>
        <v>0</v>
      </c>
      <c r="Y11" s="39">
        <f t="shared" si="10"/>
        <v>0</v>
      </c>
      <c r="Z11" s="28">
        <v>0</v>
      </c>
      <c r="AA11" s="28" t="s">
        <v>34</v>
      </c>
      <c r="AB11" s="40">
        <f t="shared" si="11"/>
        <v>-0.69</v>
      </c>
      <c r="AC11" s="41">
        <v>6.2592592592592602E-2</v>
      </c>
      <c r="AD11" s="39">
        <f t="shared" si="12"/>
        <v>-0.25913333333333338</v>
      </c>
      <c r="AE11" s="39">
        <v>-5.42</v>
      </c>
      <c r="AF11" s="39">
        <v>-5.1653900000000004</v>
      </c>
      <c r="AG11" s="39">
        <v>0</v>
      </c>
    </row>
    <row r="12" spans="1:33" ht="15.75" customHeight="1" x14ac:dyDescent="0.2">
      <c r="A12" s="28" t="s">
        <v>49</v>
      </c>
      <c r="B12" s="28" t="s">
        <v>47</v>
      </c>
      <c r="C12" s="15">
        <f t="shared" si="4"/>
        <v>19.036666666666669</v>
      </c>
      <c r="D12" s="29">
        <v>9</v>
      </c>
      <c r="E12" s="29">
        <v>3</v>
      </c>
      <c r="F12" s="30">
        <v>171.33</v>
      </c>
      <c r="G12" s="30">
        <v>0</v>
      </c>
      <c r="H12" s="31">
        <f t="shared" si="1"/>
        <v>0</v>
      </c>
      <c r="I12" s="31">
        <f t="shared" si="2"/>
        <v>0.28940985233175742</v>
      </c>
      <c r="J12" s="32">
        <f t="shared" si="5"/>
        <v>49.584590000000006</v>
      </c>
      <c r="K12" s="32">
        <f t="shared" si="3"/>
        <v>5.5093988888888896</v>
      </c>
      <c r="L12" s="29">
        <v>27</v>
      </c>
      <c r="M12" s="33">
        <f t="shared" si="6"/>
        <v>0.33333333333333331</v>
      </c>
      <c r="N12" s="29">
        <v>12</v>
      </c>
      <c r="O12" s="34">
        <f t="shared" ref="O12:P12" si="20">D12/7</f>
        <v>1.2857142857142858</v>
      </c>
      <c r="P12" s="34">
        <f t="shared" si="20"/>
        <v>0.42857142857142855</v>
      </c>
      <c r="Q12" s="29">
        <f t="shared" si="8"/>
        <v>7</v>
      </c>
      <c r="R12" s="29"/>
      <c r="S12" s="35">
        <v>1.7910447761193999</v>
      </c>
      <c r="T12" s="28">
        <v>384</v>
      </c>
      <c r="U12" s="36">
        <v>144</v>
      </c>
      <c r="V12" s="37" t="s">
        <v>727</v>
      </c>
      <c r="W12" s="28">
        <v>0</v>
      </c>
      <c r="X12" s="38">
        <f t="shared" si="9"/>
        <v>0</v>
      </c>
      <c r="Y12" s="39">
        <f t="shared" si="10"/>
        <v>0</v>
      </c>
      <c r="Z12" s="28">
        <v>0</v>
      </c>
      <c r="AA12" s="28" t="s">
        <v>34</v>
      </c>
      <c r="AB12" s="40">
        <f t="shared" si="11"/>
        <v>-0.69</v>
      </c>
      <c r="AC12" s="41">
        <v>6.2592592592592602E-2</v>
      </c>
      <c r="AD12" s="39">
        <f t="shared" si="12"/>
        <v>-0.77740000000000009</v>
      </c>
      <c r="AE12" s="39">
        <v>-5.42</v>
      </c>
      <c r="AF12" s="39">
        <v>-5.1653900000000004</v>
      </c>
      <c r="AG12" s="39">
        <v>0</v>
      </c>
    </row>
    <row r="13" spans="1:33" ht="15.75" customHeight="1" x14ac:dyDescent="0.2">
      <c r="A13" s="28" t="s">
        <v>50</v>
      </c>
      <c r="B13" s="28" t="s">
        <v>47</v>
      </c>
      <c r="C13" s="15">
        <f t="shared" si="4"/>
        <v>18.989999999999998</v>
      </c>
      <c r="D13" s="29">
        <v>4</v>
      </c>
      <c r="E13" s="29">
        <v>1</v>
      </c>
      <c r="F13" s="32">
        <v>75.959999999999994</v>
      </c>
      <c r="G13" s="30">
        <v>0</v>
      </c>
      <c r="H13" s="31">
        <f t="shared" si="1"/>
        <v>0</v>
      </c>
      <c r="I13" s="31">
        <f t="shared" si="2"/>
        <v>0.28467325320344028</v>
      </c>
      <c r="J13" s="32">
        <f t="shared" si="5"/>
        <v>21.62378031333332</v>
      </c>
      <c r="K13" s="32">
        <f t="shared" si="3"/>
        <v>5.40594507833333</v>
      </c>
      <c r="L13" s="29">
        <v>8</v>
      </c>
      <c r="M13" s="33">
        <f t="shared" si="6"/>
        <v>0.5</v>
      </c>
      <c r="N13" s="29">
        <v>6</v>
      </c>
      <c r="O13" s="34">
        <f t="shared" ref="O13:P13" si="21">D13/7</f>
        <v>0.5714285714285714</v>
      </c>
      <c r="P13" s="34">
        <f t="shared" si="21"/>
        <v>0.14285714285714285</v>
      </c>
      <c r="Q13" s="29">
        <f t="shared" si="8"/>
        <v>8</v>
      </c>
      <c r="R13" s="29"/>
      <c r="S13" s="35">
        <v>1.8381877022653701</v>
      </c>
      <c r="T13" s="28">
        <v>384</v>
      </c>
      <c r="U13" s="36">
        <v>144</v>
      </c>
      <c r="V13" s="37" t="s">
        <v>728</v>
      </c>
      <c r="W13" s="28">
        <v>0</v>
      </c>
      <c r="X13" s="38">
        <f t="shared" si="9"/>
        <v>0</v>
      </c>
      <c r="Y13" s="39">
        <f t="shared" si="10"/>
        <v>0</v>
      </c>
      <c r="Z13" s="28">
        <v>0</v>
      </c>
      <c r="AA13" s="28" t="s">
        <v>34</v>
      </c>
      <c r="AB13" s="40">
        <f t="shared" si="11"/>
        <v>-0.69</v>
      </c>
      <c r="AC13" s="41">
        <v>6.3525305555555564E-2</v>
      </c>
      <c r="AD13" s="39">
        <f t="shared" si="12"/>
        <v>-0.35065968666666669</v>
      </c>
      <c r="AE13" s="39">
        <v>-5.42</v>
      </c>
      <c r="AF13" s="39">
        <v>-5.2278900000000004</v>
      </c>
      <c r="AG13" s="39">
        <v>0</v>
      </c>
    </row>
    <row r="14" spans="1:33" ht="15.75" customHeight="1" x14ac:dyDescent="0.2">
      <c r="A14" s="28" t="s">
        <v>51</v>
      </c>
      <c r="B14" s="28" t="s">
        <v>47</v>
      </c>
      <c r="C14" s="15">
        <f t="shared" si="4"/>
        <v>18.989999999999998</v>
      </c>
      <c r="D14" s="29">
        <v>3</v>
      </c>
      <c r="E14" s="29">
        <v>0</v>
      </c>
      <c r="F14" s="32">
        <v>56.97</v>
      </c>
      <c r="G14" s="30">
        <v>0</v>
      </c>
      <c r="H14" s="31">
        <f t="shared" si="1"/>
        <v>0</v>
      </c>
      <c r="I14" s="31">
        <f t="shared" si="2"/>
        <v>0.28467325320344039</v>
      </c>
      <c r="J14" s="32">
        <f t="shared" si="5"/>
        <v>16.217835234999999</v>
      </c>
      <c r="K14" s="32">
        <f t="shared" si="3"/>
        <v>5.4059450783333327</v>
      </c>
      <c r="L14" s="29">
        <v>12</v>
      </c>
      <c r="M14" s="33">
        <f t="shared" si="6"/>
        <v>0.25</v>
      </c>
      <c r="N14" s="29">
        <v>3</v>
      </c>
      <c r="O14" s="34">
        <f t="shared" ref="O14:P14" si="22">D14/7</f>
        <v>0.42857142857142855</v>
      </c>
      <c r="P14" s="34">
        <f t="shared" si="22"/>
        <v>0</v>
      </c>
      <c r="Q14" s="29">
        <f t="shared" si="8"/>
        <v>7</v>
      </c>
      <c r="R14" s="29"/>
      <c r="S14" s="35">
        <v>2.0672268907563001</v>
      </c>
      <c r="T14" s="28">
        <v>384</v>
      </c>
      <c r="U14" s="36">
        <v>144</v>
      </c>
      <c r="V14" s="37" t="s">
        <v>728</v>
      </c>
      <c r="W14" s="28">
        <v>0</v>
      </c>
      <c r="X14" s="38">
        <f t="shared" si="9"/>
        <v>0</v>
      </c>
      <c r="Y14" s="39">
        <f t="shared" si="10"/>
        <v>0</v>
      </c>
      <c r="Z14" s="28">
        <v>0</v>
      </c>
      <c r="AA14" s="28" t="s">
        <v>34</v>
      </c>
      <c r="AB14" s="40">
        <f t="shared" si="11"/>
        <v>-0.69</v>
      </c>
      <c r="AC14" s="41">
        <v>6.3525305555555564E-2</v>
      </c>
      <c r="AD14" s="39">
        <f t="shared" si="12"/>
        <v>-0.26299476500000002</v>
      </c>
      <c r="AE14" s="39">
        <v>-5.42</v>
      </c>
      <c r="AF14" s="39">
        <v>-5.2278900000000004</v>
      </c>
      <c r="AG14" s="39">
        <v>0</v>
      </c>
    </row>
    <row r="15" spans="1:33" ht="15.75" customHeight="1" x14ac:dyDescent="0.2">
      <c r="A15" s="28" t="s">
        <v>53</v>
      </c>
      <c r="B15" s="28" t="s">
        <v>52</v>
      </c>
      <c r="C15" s="15">
        <f t="shared" si="4"/>
        <v>18.989999999999998</v>
      </c>
      <c r="D15" s="29">
        <v>3</v>
      </c>
      <c r="E15" s="29">
        <v>0</v>
      </c>
      <c r="F15" s="32">
        <v>56.97</v>
      </c>
      <c r="G15" s="30">
        <v>0</v>
      </c>
      <c r="H15" s="31">
        <f t="shared" si="1"/>
        <v>0</v>
      </c>
      <c r="I15" s="31">
        <f t="shared" si="2"/>
        <v>0.28467325320344039</v>
      </c>
      <c r="J15" s="32">
        <f t="shared" si="5"/>
        <v>16.217835234999999</v>
      </c>
      <c r="K15" s="32">
        <f t="shared" si="3"/>
        <v>5.4059450783333327</v>
      </c>
      <c r="L15" s="29">
        <v>12</v>
      </c>
      <c r="M15" s="33">
        <f t="shared" si="6"/>
        <v>0.25</v>
      </c>
      <c r="N15" s="29">
        <v>0</v>
      </c>
      <c r="O15" s="34">
        <f t="shared" ref="O15:P15" si="23">D15/7</f>
        <v>0.42857142857142855</v>
      </c>
      <c r="P15" s="34">
        <f t="shared" si="23"/>
        <v>0</v>
      </c>
      <c r="Q15" s="29">
        <f t="shared" si="8"/>
        <v>0</v>
      </c>
      <c r="R15" s="29"/>
      <c r="S15" s="35">
        <v>2.2549019607843102</v>
      </c>
      <c r="T15" s="28">
        <v>832</v>
      </c>
      <c r="U15" s="36">
        <v>144</v>
      </c>
      <c r="V15" s="37" t="s">
        <v>729</v>
      </c>
      <c r="W15" s="28">
        <v>0</v>
      </c>
      <c r="X15" s="38">
        <f t="shared" si="9"/>
        <v>0</v>
      </c>
      <c r="Y15" s="39">
        <f t="shared" si="10"/>
        <v>0</v>
      </c>
      <c r="Z15" s="28">
        <v>0</v>
      </c>
      <c r="AA15" s="28" t="s">
        <v>34</v>
      </c>
      <c r="AB15" s="40">
        <f t="shared" si="11"/>
        <v>-0.69</v>
      </c>
      <c r="AC15" s="41">
        <v>6.3525305555555564E-2</v>
      </c>
      <c r="AD15" s="39">
        <f t="shared" si="12"/>
        <v>-0.26299476500000002</v>
      </c>
      <c r="AE15" s="39">
        <v>-5.42</v>
      </c>
      <c r="AF15" s="39">
        <v>-5.2278900000000004</v>
      </c>
      <c r="AG15" s="39">
        <v>0</v>
      </c>
    </row>
    <row r="16" spans="1:33" ht="15.75" customHeight="1" x14ac:dyDescent="0.2">
      <c r="A16" s="28" t="s">
        <v>54</v>
      </c>
      <c r="B16" s="28" t="s">
        <v>730</v>
      </c>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144</v>
      </c>
      <c r="O16" s="34">
        <f t="shared" ref="O16:P16" si="24">D16/7</f>
        <v>0</v>
      </c>
      <c r="P16" s="34">
        <f t="shared" si="24"/>
        <v>0</v>
      </c>
      <c r="Q16" s="29" t="e">
        <f t="shared" si="8"/>
        <v>#DIV/0!</v>
      </c>
      <c r="R16" s="29"/>
      <c r="S16" s="35">
        <v>1.3250773993808</v>
      </c>
      <c r="T16" s="28">
        <v>688</v>
      </c>
      <c r="U16" s="36">
        <v>240</v>
      </c>
      <c r="V16" s="37" t="s">
        <v>731</v>
      </c>
      <c r="W16" s="28">
        <v>0</v>
      </c>
      <c r="X16" s="38">
        <f t="shared" si="9"/>
        <v>0</v>
      </c>
      <c r="Y16" s="39">
        <f t="shared" si="10"/>
        <v>0</v>
      </c>
      <c r="Z16" s="28">
        <v>0</v>
      </c>
      <c r="AA16" s="28" t="e">
        <v>#N/A</v>
      </c>
      <c r="AB16" s="40" t="e">
        <f t="shared" si="11"/>
        <v>#N/A</v>
      </c>
      <c r="AC16" s="41" t="e">
        <v>#N/A</v>
      </c>
      <c r="AD16" s="39">
        <f t="shared" si="12"/>
        <v>0</v>
      </c>
      <c r="AE16" s="39">
        <v>0</v>
      </c>
      <c r="AF16" s="39">
        <v>-5.2278900000000004</v>
      </c>
      <c r="AG16" s="39">
        <v>0</v>
      </c>
    </row>
    <row r="17" spans="1:33" ht="15.75" customHeight="1" x14ac:dyDescent="0.2">
      <c r="A17" s="28" t="s">
        <v>55</v>
      </c>
      <c r="B17" s="28" t="s">
        <v>47</v>
      </c>
      <c r="C17" s="15">
        <f t="shared" si="4"/>
        <v>17.989999999999998</v>
      </c>
      <c r="D17" s="29">
        <v>8</v>
      </c>
      <c r="E17" s="29">
        <v>1</v>
      </c>
      <c r="F17" s="32">
        <v>143.91999999999999</v>
      </c>
      <c r="G17" s="30">
        <v>0</v>
      </c>
      <c r="H17" s="31">
        <f t="shared" si="1"/>
        <v>0</v>
      </c>
      <c r="I17" s="31">
        <f t="shared" si="2"/>
        <v>0.25928544070780046</v>
      </c>
      <c r="J17" s="32">
        <f t="shared" si="5"/>
        <v>37.316360626666636</v>
      </c>
      <c r="K17" s="32">
        <f t="shared" si="3"/>
        <v>4.6645450783333295</v>
      </c>
      <c r="L17" s="29">
        <v>11</v>
      </c>
      <c r="M17" s="33">
        <f t="shared" si="6"/>
        <v>0.72727272727272729</v>
      </c>
      <c r="N17" s="29">
        <v>137</v>
      </c>
      <c r="O17" s="34">
        <f t="shared" ref="O17:P17" si="25">D17/7</f>
        <v>1.1428571428571428</v>
      </c>
      <c r="P17" s="34">
        <f t="shared" si="25"/>
        <v>0.14285714285714285</v>
      </c>
      <c r="Q17" s="29">
        <f t="shared" si="8"/>
        <v>106</v>
      </c>
      <c r="R17" s="29"/>
      <c r="S17" s="35">
        <v>1.2969283276450501</v>
      </c>
      <c r="T17" s="28">
        <v>688</v>
      </c>
      <c r="U17" s="36">
        <v>240</v>
      </c>
      <c r="V17" s="37" t="s">
        <v>732</v>
      </c>
      <c r="W17" s="28">
        <v>0</v>
      </c>
      <c r="X17" s="38">
        <f t="shared" si="9"/>
        <v>0</v>
      </c>
      <c r="Y17" s="39">
        <f t="shared" si="10"/>
        <v>0</v>
      </c>
      <c r="Z17" s="28">
        <v>0</v>
      </c>
      <c r="AA17" s="28" t="s">
        <v>34</v>
      </c>
      <c r="AB17" s="40">
        <f t="shared" si="11"/>
        <v>-0.69</v>
      </c>
      <c r="AC17" s="41">
        <v>6.3525305555555564E-2</v>
      </c>
      <c r="AD17" s="39">
        <f t="shared" si="12"/>
        <v>-0.70131937333333338</v>
      </c>
      <c r="AE17" s="39">
        <v>-5.42</v>
      </c>
      <c r="AF17" s="39">
        <v>-5.1192900000000003</v>
      </c>
      <c r="AG17" s="39">
        <v>0</v>
      </c>
    </row>
    <row r="18" spans="1:33" ht="15.75" customHeight="1" x14ac:dyDescent="0.2">
      <c r="A18" s="28" t="s">
        <v>56</v>
      </c>
      <c r="B18" s="28" t="s">
        <v>47</v>
      </c>
      <c r="C18" s="15">
        <f t="shared" si="4"/>
        <v>17.990000000000002</v>
      </c>
      <c r="D18" s="29">
        <v>11</v>
      </c>
      <c r="E18" s="29">
        <v>7</v>
      </c>
      <c r="F18" s="32">
        <v>197.89000000000001</v>
      </c>
      <c r="G18" s="30">
        <v>0</v>
      </c>
      <c r="H18" s="31">
        <f t="shared" si="1"/>
        <v>0</v>
      </c>
      <c r="I18" s="31">
        <f t="shared" si="2"/>
        <v>0.25928544070780063</v>
      </c>
      <c r="J18" s="32">
        <f t="shared" si="5"/>
        <v>51.309995861666671</v>
      </c>
      <c r="K18" s="32">
        <f t="shared" si="3"/>
        <v>4.664545078333334</v>
      </c>
      <c r="L18" s="29">
        <v>23</v>
      </c>
      <c r="M18" s="33">
        <f t="shared" si="6"/>
        <v>0.47826086956521741</v>
      </c>
      <c r="N18" s="29">
        <v>115</v>
      </c>
      <c r="O18" s="34">
        <f t="shared" ref="O18:P18" si="26">D18/7</f>
        <v>1.5714285714285714</v>
      </c>
      <c r="P18" s="34">
        <f t="shared" si="26"/>
        <v>1</v>
      </c>
      <c r="Q18" s="29">
        <f t="shared" si="8"/>
        <v>44</v>
      </c>
      <c r="R18" s="29"/>
      <c r="S18" s="35">
        <v>1.6371308016877599</v>
      </c>
      <c r="T18" s="28">
        <v>688</v>
      </c>
      <c r="U18" s="36">
        <v>240</v>
      </c>
      <c r="V18" s="37" t="s">
        <v>733</v>
      </c>
      <c r="W18" s="28">
        <v>0</v>
      </c>
      <c r="X18" s="38">
        <f t="shared" si="9"/>
        <v>0</v>
      </c>
      <c r="Y18" s="39">
        <f t="shared" si="10"/>
        <v>0</v>
      </c>
      <c r="Z18" s="28">
        <v>0</v>
      </c>
      <c r="AA18" s="28" t="s">
        <v>34</v>
      </c>
      <c r="AB18" s="40">
        <f t="shared" si="11"/>
        <v>-0.69</v>
      </c>
      <c r="AC18" s="41">
        <v>6.3525305555555564E-2</v>
      </c>
      <c r="AD18" s="39">
        <f t="shared" si="12"/>
        <v>-0.96431413833333335</v>
      </c>
      <c r="AE18" s="39">
        <v>-5.42</v>
      </c>
      <c r="AF18" s="39">
        <v>-5.1192900000000003</v>
      </c>
      <c r="AG18" s="39">
        <v>0</v>
      </c>
    </row>
    <row r="19" spans="1:33" ht="15.75" customHeight="1" x14ac:dyDescent="0.2">
      <c r="A19" s="28" t="s">
        <v>57</v>
      </c>
      <c r="B19" s="28" t="s">
        <v>47</v>
      </c>
      <c r="C19" s="15">
        <f t="shared" si="4"/>
        <v>17.989999999999998</v>
      </c>
      <c r="D19" s="29">
        <v>9</v>
      </c>
      <c r="E19" s="29">
        <v>13</v>
      </c>
      <c r="F19" s="32">
        <v>161.91</v>
      </c>
      <c r="G19" s="30">
        <v>0</v>
      </c>
      <c r="H19" s="31">
        <f t="shared" si="1"/>
        <v>0</v>
      </c>
      <c r="I19" s="31">
        <f t="shared" si="2"/>
        <v>0.24641220557717256</v>
      </c>
      <c r="J19" s="32">
        <f t="shared" si="5"/>
        <v>39.896600205000006</v>
      </c>
      <c r="K19" s="32">
        <f t="shared" si="3"/>
        <v>4.4329555783333339</v>
      </c>
      <c r="L19" s="29">
        <v>24</v>
      </c>
      <c r="M19" s="33">
        <f t="shared" si="6"/>
        <v>0.375</v>
      </c>
      <c r="N19" s="29">
        <v>99</v>
      </c>
      <c r="O19" s="34">
        <f t="shared" ref="O19:P19" si="27">D19/7</f>
        <v>1.2857142857142858</v>
      </c>
      <c r="P19" s="34">
        <f t="shared" si="27"/>
        <v>1.8571428571428572</v>
      </c>
      <c r="Q19" s="29">
        <f t="shared" si="8"/>
        <v>31</v>
      </c>
      <c r="R19" s="29"/>
      <c r="S19" s="35">
        <v>1.9207920792079201</v>
      </c>
      <c r="T19" s="28">
        <v>608</v>
      </c>
      <c r="U19" s="36">
        <v>160</v>
      </c>
      <c r="V19" s="37" t="s">
        <v>734</v>
      </c>
      <c r="W19" s="28">
        <v>0</v>
      </c>
      <c r="X19" s="38">
        <f t="shared" si="9"/>
        <v>0</v>
      </c>
      <c r="Y19" s="39">
        <f t="shared" si="10"/>
        <v>0</v>
      </c>
      <c r="Z19" s="28">
        <v>0</v>
      </c>
      <c r="AA19" s="28" t="s">
        <v>34</v>
      </c>
      <c r="AB19" s="40">
        <f t="shared" si="11"/>
        <v>-0.69</v>
      </c>
      <c r="AC19" s="41">
        <v>6.3525305555555564E-2</v>
      </c>
      <c r="AD19" s="39">
        <f t="shared" si="12"/>
        <v>-0.78898429500000011</v>
      </c>
      <c r="AE19" s="39">
        <v>-5.42</v>
      </c>
      <c r="AF19" s="39">
        <v>-5.3508795000000005</v>
      </c>
      <c r="AG19" s="39">
        <v>0</v>
      </c>
    </row>
    <row r="20" spans="1:33" ht="15.75" customHeight="1" x14ac:dyDescent="0.2">
      <c r="A20" s="28" t="s">
        <v>58</v>
      </c>
      <c r="B20" s="28" t="s">
        <v>47</v>
      </c>
      <c r="C20" s="15">
        <f t="shared" si="4"/>
        <v>17.989999999999998</v>
      </c>
      <c r="D20" s="29">
        <v>8</v>
      </c>
      <c r="E20" s="29">
        <v>29</v>
      </c>
      <c r="F20" s="32">
        <v>143.91999999999999</v>
      </c>
      <c r="G20" s="30">
        <v>0</v>
      </c>
      <c r="H20" s="31">
        <f t="shared" si="1"/>
        <v>0</v>
      </c>
      <c r="I20" s="31">
        <f t="shared" si="2"/>
        <v>0.24641220557717242</v>
      </c>
      <c r="J20" s="32">
        <f t="shared" si="5"/>
        <v>35.46364462666665</v>
      </c>
      <c r="K20" s="32">
        <f t="shared" si="3"/>
        <v>4.4329555783333312</v>
      </c>
      <c r="L20" s="29">
        <v>26</v>
      </c>
      <c r="M20" s="33">
        <f t="shared" si="6"/>
        <v>0.30769230769230771</v>
      </c>
      <c r="N20" s="29">
        <v>64</v>
      </c>
      <c r="O20" s="34">
        <f t="shared" ref="O20:P20" si="28">D20/7</f>
        <v>1.1428571428571428</v>
      </c>
      <c r="P20" s="34">
        <f t="shared" si="28"/>
        <v>4.1428571428571432</v>
      </c>
      <c r="Q20" s="29">
        <f t="shared" si="8"/>
        <v>12</v>
      </c>
      <c r="R20" s="29"/>
      <c r="S20" s="35">
        <v>3.2207792207792201</v>
      </c>
      <c r="T20" s="28">
        <v>608</v>
      </c>
      <c r="U20" s="36">
        <v>160</v>
      </c>
      <c r="V20" s="37" t="s">
        <v>734</v>
      </c>
      <c r="W20" s="28">
        <v>0</v>
      </c>
      <c r="X20" s="38">
        <f t="shared" si="9"/>
        <v>0</v>
      </c>
      <c r="Y20" s="39">
        <f t="shared" si="10"/>
        <v>0</v>
      </c>
      <c r="Z20" s="28">
        <v>0</v>
      </c>
      <c r="AA20" s="28" t="s">
        <v>34</v>
      </c>
      <c r="AB20" s="40">
        <f t="shared" si="11"/>
        <v>-0.69</v>
      </c>
      <c r="AC20" s="41">
        <v>6.3525305555555564E-2</v>
      </c>
      <c r="AD20" s="39">
        <f t="shared" si="12"/>
        <v>-0.70131937333333338</v>
      </c>
      <c r="AE20" s="39">
        <v>-5.42</v>
      </c>
      <c r="AF20" s="39">
        <v>-5.3508795000000005</v>
      </c>
      <c r="AG20" s="39">
        <v>0</v>
      </c>
    </row>
    <row r="21" spans="1:33" ht="15.75" customHeight="1" x14ac:dyDescent="0.2">
      <c r="A21" s="28" t="s">
        <v>59</v>
      </c>
      <c r="B21" s="28" t="s">
        <v>723</v>
      </c>
      <c r="C21" s="15">
        <f t="shared" si="4"/>
        <v>17.989999999999998</v>
      </c>
      <c r="D21" s="29">
        <v>9</v>
      </c>
      <c r="E21" s="29">
        <v>38</v>
      </c>
      <c r="F21" s="32">
        <v>161.91</v>
      </c>
      <c r="G21" s="30">
        <v>0</v>
      </c>
      <c r="H21" s="31">
        <f t="shared" si="1"/>
        <v>0</v>
      </c>
      <c r="I21" s="31">
        <f t="shared" si="2"/>
        <v>0.24641220557717256</v>
      </c>
      <c r="J21" s="32">
        <f t="shared" si="5"/>
        <v>39.896600205000006</v>
      </c>
      <c r="K21" s="32">
        <f t="shared" si="3"/>
        <v>4.4329555783333339</v>
      </c>
      <c r="L21" s="29">
        <v>11</v>
      </c>
      <c r="M21" s="33">
        <f t="shared" si="6"/>
        <v>0.81818181818181823</v>
      </c>
      <c r="N21" s="29">
        <v>270</v>
      </c>
      <c r="O21" s="34">
        <f t="shared" ref="O21:P21" si="29">D21/7</f>
        <v>1.2857142857142858</v>
      </c>
      <c r="P21" s="34">
        <f t="shared" si="29"/>
        <v>5.4285714285714288</v>
      </c>
      <c r="Q21" s="29">
        <f t="shared" si="8"/>
        <v>40</v>
      </c>
      <c r="R21" s="29"/>
      <c r="S21" s="35">
        <v>1.4092827004219399</v>
      </c>
      <c r="T21" s="28">
        <v>208</v>
      </c>
      <c r="U21" s="36">
        <v>64</v>
      </c>
      <c r="V21" s="37" t="s">
        <v>735</v>
      </c>
      <c r="W21" s="28">
        <v>0</v>
      </c>
      <c r="X21" s="38">
        <f t="shared" si="9"/>
        <v>0</v>
      </c>
      <c r="Y21" s="39">
        <f t="shared" si="10"/>
        <v>0</v>
      </c>
      <c r="Z21" s="28">
        <v>0</v>
      </c>
      <c r="AA21" s="28" t="s">
        <v>34</v>
      </c>
      <c r="AB21" s="40">
        <f t="shared" si="11"/>
        <v>-0.69</v>
      </c>
      <c r="AC21" s="41">
        <v>6.3525305555555564E-2</v>
      </c>
      <c r="AD21" s="39">
        <f t="shared" si="12"/>
        <v>-0.78898429500000011</v>
      </c>
      <c r="AE21" s="39">
        <v>-5.42</v>
      </c>
      <c r="AF21" s="39">
        <v>-5.3508795000000005</v>
      </c>
      <c r="AG21" s="39">
        <v>0</v>
      </c>
    </row>
    <row r="22" spans="1:33" ht="15.75" customHeight="1" x14ac:dyDescent="0.2">
      <c r="A22" s="28" t="s">
        <v>60</v>
      </c>
      <c r="B22" s="28" t="s">
        <v>47</v>
      </c>
      <c r="C22" s="15">
        <f t="shared" si="4"/>
        <v>18.989999999999998</v>
      </c>
      <c r="D22" s="29">
        <v>7</v>
      </c>
      <c r="E22" s="29">
        <v>27</v>
      </c>
      <c r="F22" s="30">
        <v>132.92999999999998</v>
      </c>
      <c r="G22" s="30">
        <v>0</v>
      </c>
      <c r="H22" s="31">
        <f t="shared" si="1"/>
        <v>0</v>
      </c>
      <c r="I22" s="31">
        <f t="shared" si="2"/>
        <v>0.2781967129190801</v>
      </c>
      <c r="J22" s="32">
        <f t="shared" si="5"/>
        <v>36.980689048333311</v>
      </c>
      <c r="K22" s="32">
        <f t="shared" si="3"/>
        <v>5.28295557833333</v>
      </c>
      <c r="L22" s="29">
        <v>22</v>
      </c>
      <c r="M22" s="33">
        <f t="shared" si="6"/>
        <v>0.31818181818181818</v>
      </c>
      <c r="N22" s="29">
        <v>240</v>
      </c>
      <c r="O22" s="34">
        <f t="shared" ref="O22:P22" si="30">D22/7</f>
        <v>1</v>
      </c>
      <c r="P22" s="34">
        <f t="shared" si="30"/>
        <v>3.8571428571428572</v>
      </c>
      <c r="Q22" s="29">
        <f t="shared" si="8"/>
        <v>49</v>
      </c>
      <c r="R22" s="29"/>
      <c r="S22" s="35">
        <v>1.8288508557457199</v>
      </c>
      <c r="T22" s="28">
        <v>208</v>
      </c>
      <c r="U22" s="36">
        <v>64</v>
      </c>
      <c r="V22" s="37" t="s">
        <v>735</v>
      </c>
      <c r="W22" s="28">
        <v>0</v>
      </c>
      <c r="X22" s="38">
        <f t="shared" si="9"/>
        <v>0</v>
      </c>
      <c r="Y22" s="39">
        <f t="shared" si="10"/>
        <v>0</v>
      </c>
      <c r="Z22" s="28">
        <v>0</v>
      </c>
      <c r="AA22" s="28" t="s">
        <v>34</v>
      </c>
      <c r="AB22" s="40">
        <f t="shared" si="11"/>
        <v>-0.69</v>
      </c>
      <c r="AC22" s="41">
        <v>6.3525305555555564E-2</v>
      </c>
      <c r="AD22" s="39">
        <f t="shared" si="12"/>
        <v>-0.61365445166666666</v>
      </c>
      <c r="AE22" s="39">
        <v>-5.42</v>
      </c>
      <c r="AF22" s="39">
        <v>-5.3508795000000005</v>
      </c>
      <c r="AG22" s="39">
        <v>0</v>
      </c>
    </row>
    <row r="23" spans="1:33" ht="15.75" customHeight="1" x14ac:dyDescent="0.2">
      <c r="A23" s="28" t="s">
        <v>62</v>
      </c>
      <c r="B23" s="28" t="s">
        <v>736</v>
      </c>
      <c r="C23" s="15">
        <f t="shared" si="4"/>
        <v>19.000666666666667</v>
      </c>
      <c r="D23" s="29">
        <v>15</v>
      </c>
      <c r="E23" s="29">
        <v>27</v>
      </c>
      <c r="F23" s="32">
        <v>285.01</v>
      </c>
      <c r="G23" s="30">
        <v>0</v>
      </c>
      <c r="H23" s="31">
        <f t="shared" si="1"/>
        <v>0</v>
      </c>
      <c r="I23" s="31">
        <f t="shared" si="2"/>
        <v>0.27851771402757802</v>
      </c>
      <c r="J23" s="32">
        <f t="shared" si="5"/>
        <v>79.380333675000003</v>
      </c>
      <c r="K23" s="32">
        <f t="shared" si="3"/>
        <v>5.2920222450000001</v>
      </c>
      <c r="L23" s="29">
        <v>29</v>
      </c>
      <c r="M23" s="33">
        <f t="shared" si="6"/>
        <v>0.51724137931034486</v>
      </c>
      <c r="N23" s="29">
        <v>199</v>
      </c>
      <c r="O23" s="34">
        <f t="shared" ref="O23:P23" si="31">D23/7</f>
        <v>2.1428571428571428</v>
      </c>
      <c r="P23" s="34">
        <f t="shared" si="31"/>
        <v>3.8571428571428572</v>
      </c>
      <c r="Q23" s="29">
        <f t="shared" si="8"/>
        <v>33</v>
      </c>
      <c r="R23" s="29"/>
      <c r="S23" s="35">
        <v>2.2479338842975198</v>
      </c>
      <c r="T23" s="28">
        <v>208</v>
      </c>
      <c r="U23" s="36" t="s">
        <v>33</v>
      </c>
      <c r="V23" s="37" t="s">
        <v>737</v>
      </c>
      <c r="W23" s="28">
        <v>0</v>
      </c>
      <c r="X23" s="38">
        <f t="shared" si="9"/>
        <v>0</v>
      </c>
      <c r="Y23" s="39">
        <f t="shared" si="10"/>
        <v>0</v>
      </c>
      <c r="Z23" s="28">
        <v>0</v>
      </c>
      <c r="AA23" s="28" t="s">
        <v>34</v>
      </c>
      <c r="AB23" s="40">
        <f t="shared" si="11"/>
        <v>-0.69</v>
      </c>
      <c r="AC23" s="41">
        <v>6.3525305555555564E-2</v>
      </c>
      <c r="AD23" s="39">
        <f t="shared" si="12"/>
        <v>-1.314973825</v>
      </c>
      <c r="AE23" s="39">
        <v>-5.42</v>
      </c>
      <c r="AF23" s="39">
        <v>-5.3508795000000005</v>
      </c>
      <c r="AG23" s="39">
        <v>0</v>
      </c>
    </row>
    <row r="24" spans="1:33" ht="15.75" customHeight="1" x14ac:dyDescent="0.2">
      <c r="A24" s="28" t="s">
        <v>64</v>
      </c>
      <c r="B24" s="28" t="s">
        <v>738</v>
      </c>
      <c r="C24" s="15">
        <f t="shared" si="4"/>
        <v>19.059999999999999</v>
      </c>
      <c r="D24" s="29">
        <v>6</v>
      </c>
      <c r="E24" s="29">
        <v>28</v>
      </c>
      <c r="F24" s="32">
        <v>114.35999999999999</v>
      </c>
      <c r="G24" s="32">
        <v>0</v>
      </c>
      <c r="H24" s="31">
        <f t="shared" si="1"/>
        <v>0</v>
      </c>
      <c r="I24" s="31">
        <f t="shared" si="2"/>
        <v>0.28029672499125569</v>
      </c>
      <c r="J24" s="32">
        <f t="shared" si="5"/>
        <v>32.054733469999995</v>
      </c>
      <c r="K24" s="32">
        <f t="shared" si="3"/>
        <v>5.3424555783333325</v>
      </c>
      <c r="L24" s="29">
        <v>19</v>
      </c>
      <c r="M24" s="33">
        <f t="shared" si="6"/>
        <v>0.31578947368421051</v>
      </c>
      <c r="N24" s="29">
        <v>146</v>
      </c>
      <c r="O24" s="34">
        <f t="shared" ref="O24:P24" si="32">D24/7</f>
        <v>0.8571428571428571</v>
      </c>
      <c r="P24" s="34">
        <f t="shared" si="32"/>
        <v>4</v>
      </c>
      <c r="Q24" s="29">
        <f t="shared" si="8"/>
        <v>30</v>
      </c>
      <c r="R24" s="29"/>
      <c r="S24" s="35">
        <v>3.5929824561403501</v>
      </c>
      <c r="T24" s="28">
        <v>208</v>
      </c>
      <c r="U24" s="36" t="s">
        <v>33</v>
      </c>
      <c r="V24" s="37" t="s">
        <v>737</v>
      </c>
      <c r="W24" s="28">
        <v>0</v>
      </c>
      <c r="X24" s="38">
        <f t="shared" si="9"/>
        <v>0</v>
      </c>
      <c r="Y24" s="39">
        <f t="shared" si="10"/>
        <v>0</v>
      </c>
      <c r="Z24" s="28">
        <v>0</v>
      </c>
      <c r="AA24" s="28" t="s">
        <v>34</v>
      </c>
      <c r="AB24" s="40">
        <f t="shared" si="11"/>
        <v>-0.69</v>
      </c>
      <c r="AC24" s="41">
        <v>6.3525305555555564E-2</v>
      </c>
      <c r="AD24" s="39">
        <f t="shared" si="12"/>
        <v>-0.52598953000000004</v>
      </c>
      <c r="AE24" s="39">
        <v>-5.42</v>
      </c>
      <c r="AF24" s="39">
        <v>-5.3508795000000005</v>
      </c>
      <c r="AG24" s="39">
        <v>0</v>
      </c>
    </row>
    <row r="25" spans="1:33" ht="15.75" customHeight="1" x14ac:dyDescent="0.2">
      <c r="A25" s="28" t="s">
        <v>65</v>
      </c>
      <c r="B25" s="14" t="s">
        <v>47</v>
      </c>
      <c r="C25" s="15">
        <f t="shared" si="4"/>
        <v>19.418571428571429</v>
      </c>
      <c r="D25" s="29">
        <v>7</v>
      </c>
      <c r="E25" s="29">
        <v>23</v>
      </c>
      <c r="F25" s="32">
        <v>135.93</v>
      </c>
      <c r="G25" s="32">
        <v>0</v>
      </c>
      <c r="H25" s="31">
        <f t="shared" si="1"/>
        <v>0</v>
      </c>
      <c r="I25" s="31">
        <f t="shared" si="2"/>
        <v>0.29086180790357796</v>
      </c>
      <c r="J25" s="32">
        <f t="shared" si="5"/>
        <v>39.536845548333353</v>
      </c>
      <c r="K25" s="32">
        <f t="shared" si="3"/>
        <v>5.6481207926190509</v>
      </c>
      <c r="L25" s="29">
        <v>42</v>
      </c>
      <c r="M25" s="33">
        <f t="shared" si="6"/>
        <v>0.16666666666666666</v>
      </c>
      <c r="N25" s="29">
        <v>109</v>
      </c>
      <c r="O25" s="34">
        <f t="shared" ref="O25:P25" si="33">D25/7</f>
        <v>1</v>
      </c>
      <c r="P25" s="34">
        <f t="shared" si="33"/>
        <v>3.2857142857142856</v>
      </c>
      <c r="Q25" s="29">
        <f t="shared" si="8"/>
        <v>25</v>
      </c>
      <c r="R25" s="29"/>
      <c r="S25" s="35">
        <v>2.0626151012891349</v>
      </c>
      <c r="T25" s="28">
        <v>208</v>
      </c>
      <c r="U25" s="36">
        <v>64</v>
      </c>
      <c r="V25" s="37" t="s">
        <v>739</v>
      </c>
      <c r="W25" s="14">
        <v>0</v>
      </c>
      <c r="X25" s="38">
        <f t="shared" si="9"/>
        <v>0</v>
      </c>
      <c r="Y25" s="39">
        <f t="shared" si="10"/>
        <v>0</v>
      </c>
      <c r="Z25" s="14">
        <v>0</v>
      </c>
      <c r="AA25" s="28" t="s">
        <v>34</v>
      </c>
      <c r="AB25" s="40">
        <f t="shared" si="11"/>
        <v>-0.69</v>
      </c>
      <c r="AC25" s="41">
        <v>6.3525305555555564E-2</v>
      </c>
      <c r="AD25" s="39">
        <f t="shared" si="12"/>
        <v>-0.61365445166666666</v>
      </c>
      <c r="AE25" s="39">
        <v>-5.42</v>
      </c>
      <c r="AF25" s="39">
        <v>-5.35</v>
      </c>
      <c r="AG25" s="39">
        <v>0</v>
      </c>
    </row>
    <row r="26" spans="1:33" ht="15.75" customHeight="1" x14ac:dyDescent="0.2">
      <c r="A26" s="14" t="s">
        <v>67</v>
      </c>
      <c r="B26" s="14" t="s">
        <v>47</v>
      </c>
      <c r="C26" s="15">
        <f t="shared" si="4"/>
        <v>22.055</v>
      </c>
      <c r="D26" s="16">
        <v>8</v>
      </c>
      <c r="E26" s="16">
        <v>24</v>
      </c>
      <c r="F26" s="17">
        <v>176.44</v>
      </c>
      <c r="G26" s="17">
        <v>0</v>
      </c>
      <c r="H26" s="31">
        <f t="shared" si="1"/>
        <v>0</v>
      </c>
      <c r="I26" s="31">
        <f t="shared" si="2"/>
        <v>0.34476674578704747</v>
      </c>
      <c r="J26" s="32">
        <f t="shared" si="5"/>
        <v>60.830644626666654</v>
      </c>
      <c r="K26" s="32">
        <f t="shared" si="3"/>
        <v>7.6038305783333318</v>
      </c>
      <c r="L26" s="16">
        <v>21</v>
      </c>
      <c r="M26" s="33">
        <f t="shared" si="6"/>
        <v>0.38095238095238093</v>
      </c>
      <c r="N26" s="16">
        <v>81</v>
      </c>
      <c r="O26" s="34">
        <f t="shared" ref="O26:P26" si="34">D26/7</f>
        <v>1.1428571428571428</v>
      </c>
      <c r="P26" s="34">
        <f t="shared" si="34"/>
        <v>3.4285714285714284</v>
      </c>
      <c r="Q26" s="29">
        <f t="shared" si="8"/>
        <v>17</v>
      </c>
      <c r="R26" s="29"/>
      <c r="S26" s="21">
        <v>2.4503042596348878</v>
      </c>
      <c r="T26" s="28">
        <v>432</v>
      </c>
      <c r="U26" s="36">
        <v>64</v>
      </c>
      <c r="V26" s="37" t="s">
        <v>739</v>
      </c>
      <c r="W26" s="14">
        <v>0</v>
      </c>
      <c r="X26" s="38">
        <f t="shared" si="9"/>
        <v>0</v>
      </c>
      <c r="Y26" s="39">
        <f t="shared" si="10"/>
        <v>0</v>
      </c>
      <c r="Z26" s="14">
        <v>0</v>
      </c>
      <c r="AA26" s="28" t="s">
        <v>34</v>
      </c>
      <c r="AB26" s="40">
        <f t="shared" si="11"/>
        <v>-0.69</v>
      </c>
      <c r="AC26" s="41">
        <v>6.3525305555555564E-2</v>
      </c>
      <c r="AD26" s="39">
        <f t="shared" si="12"/>
        <v>-0.70131937333333338</v>
      </c>
      <c r="AE26" s="25">
        <v>-5.68</v>
      </c>
      <c r="AF26" s="25">
        <v>-5.3752544999999996</v>
      </c>
      <c r="AG26" s="25">
        <v>0</v>
      </c>
    </row>
    <row r="27" spans="1:33" ht="15.75" customHeight="1" x14ac:dyDescent="0.2">
      <c r="A27" s="14" t="s">
        <v>69</v>
      </c>
      <c r="B27" s="14" t="s">
        <v>47</v>
      </c>
      <c r="C27" s="15">
        <f t="shared" si="4"/>
        <v>21.99</v>
      </c>
      <c r="D27" s="16">
        <v>3</v>
      </c>
      <c r="E27" s="16">
        <v>21</v>
      </c>
      <c r="F27" s="17">
        <v>65.97</v>
      </c>
      <c r="G27" s="17">
        <v>0</v>
      </c>
      <c r="H27" s="31">
        <f t="shared" si="1"/>
        <v>0</v>
      </c>
      <c r="I27" s="31">
        <f t="shared" si="2"/>
        <v>0.35491337327573136</v>
      </c>
      <c r="J27" s="32">
        <f t="shared" si="5"/>
        <v>23.413635234999997</v>
      </c>
      <c r="K27" s="32">
        <f t="shared" si="3"/>
        <v>7.8045450783333328</v>
      </c>
      <c r="L27" s="16">
        <v>19</v>
      </c>
      <c r="M27" s="33">
        <f t="shared" si="6"/>
        <v>0.15789473684210525</v>
      </c>
      <c r="N27" s="16">
        <v>63</v>
      </c>
      <c r="O27" s="34">
        <f t="shared" ref="O27:P27" si="35">D27/7</f>
        <v>0.42857142857142855</v>
      </c>
      <c r="P27" s="34">
        <f t="shared" si="35"/>
        <v>3</v>
      </c>
      <c r="Q27" s="29">
        <f t="shared" si="8"/>
        <v>18</v>
      </c>
      <c r="R27" s="29"/>
      <c r="S27" s="21">
        <v>3.24</v>
      </c>
      <c r="T27" s="28">
        <v>432</v>
      </c>
      <c r="U27" s="36">
        <v>64</v>
      </c>
      <c r="V27" s="37" t="s">
        <v>739</v>
      </c>
      <c r="W27" s="14">
        <v>0</v>
      </c>
      <c r="X27" s="38">
        <f t="shared" si="9"/>
        <v>0</v>
      </c>
      <c r="Y27" s="39">
        <f t="shared" si="10"/>
        <v>0</v>
      </c>
      <c r="Z27" s="14">
        <v>0</v>
      </c>
      <c r="AA27" s="28" t="s">
        <v>34</v>
      </c>
      <c r="AB27" s="40">
        <f t="shared" si="11"/>
        <v>-0.69</v>
      </c>
      <c r="AC27" s="41">
        <v>6.3525305555555564E-2</v>
      </c>
      <c r="AD27" s="39">
        <f t="shared" si="12"/>
        <v>-0.26299476500000002</v>
      </c>
      <c r="AE27" s="25">
        <v>-5.68</v>
      </c>
      <c r="AF27" s="25">
        <v>-5.1192900000000003</v>
      </c>
      <c r="AG27" s="25">
        <v>0</v>
      </c>
    </row>
    <row r="28" spans="1:33" ht="15.75" customHeight="1" x14ac:dyDescent="0.2">
      <c r="A28" s="14" t="s">
        <v>71</v>
      </c>
      <c r="B28" s="14" t="s">
        <v>47</v>
      </c>
      <c r="C28" s="15">
        <f t="shared" si="4"/>
        <v>21.99</v>
      </c>
      <c r="D28" s="16">
        <v>2</v>
      </c>
      <c r="E28" s="16">
        <v>18</v>
      </c>
      <c r="F28" s="17">
        <v>43.98</v>
      </c>
      <c r="G28" s="17">
        <v>0</v>
      </c>
      <c r="H28" s="31">
        <f t="shared" si="1"/>
        <v>0</v>
      </c>
      <c r="I28" s="31">
        <f t="shared" si="2"/>
        <v>0.35491337327573136</v>
      </c>
      <c r="J28" s="32">
        <f t="shared" si="5"/>
        <v>15.609090156666664</v>
      </c>
      <c r="K28" s="32">
        <f t="shared" si="3"/>
        <v>7.8045450783333319</v>
      </c>
      <c r="L28" s="16">
        <v>29</v>
      </c>
      <c r="M28" s="33">
        <f t="shared" si="6"/>
        <v>6.8965517241379309E-2</v>
      </c>
      <c r="N28" s="16">
        <v>38</v>
      </c>
      <c r="O28" s="34">
        <f t="shared" ref="O28:P28" si="36">D28/7</f>
        <v>0.2857142857142857</v>
      </c>
      <c r="P28" s="34">
        <f t="shared" si="36"/>
        <v>2.5714285714285716</v>
      </c>
      <c r="Q28" s="29">
        <f t="shared" si="8"/>
        <v>13</v>
      </c>
      <c r="R28" s="29"/>
      <c r="S28" s="21">
        <v>4.2767295597484276</v>
      </c>
      <c r="T28" s="28">
        <v>432</v>
      </c>
      <c r="U28" s="36">
        <v>64</v>
      </c>
      <c r="V28" s="37" t="s">
        <v>740</v>
      </c>
      <c r="W28" s="14">
        <v>0</v>
      </c>
      <c r="X28" s="38">
        <f t="shared" si="9"/>
        <v>0</v>
      </c>
      <c r="Y28" s="39">
        <f t="shared" si="10"/>
        <v>0</v>
      </c>
      <c r="Z28" s="14">
        <v>0</v>
      </c>
      <c r="AA28" s="28" t="s">
        <v>34</v>
      </c>
      <c r="AB28" s="40">
        <f t="shared" si="11"/>
        <v>-0.69</v>
      </c>
      <c r="AC28" s="41">
        <v>6.3525305555555564E-2</v>
      </c>
      <c r="AD28" s="39">
        <f t="shared" si="12"/>
        <v>-0.17532984333333335</v>
      </c>
      <c r="AE28" s="25">
        <v>-5.68</v>
      </c>
      <c r="AF28" s="25">
        <v>-5.1192900000000003</v>
      </c>
      <c r="AG28" s="25">
        <v>0</v>
      </c>
    </row>
    <row r="29" spans="1:33" ht="15.75" customHeight="1" x14ac:dyDescent="0.2">
      <c r="A29" s="28" t="s">
        <v>72</v>
      </c>
      <c r="B29" s="28" t="s">
        <v>47</v>
      </c>
      <c r="C29" s="15">
        <f t="shared" si="4"/>
        <v>21.99</v>
      </c>
      <c r="D29" s="29">
        <v>9</v>
      </c>
      <c r="E29" s="29">
        <v>16</v>
      </c>
      <c r="F29" s="32">
        <v>197.91</v>
      </c>
      <c r="G29" s="32">
        <v>0</v>
      </c>
      <c r="H29" s="31">
        <f t="shared" si="1"/>
        <v>0</v>
      </c>
      <c r="I29" s="31">
        <f t="shared" si="2"/>
        <v>0.35491337327573136</v>
      </c>
      <c r="J29" s="32">
        <f t="shared" si="5"/>
        <v>70.240905704999989</v>
      </c>
      <c r="K29" s="32">
        <f t="shared" si="3"/>
        <v>7.8045450783333319</v>
      </c>
      <c r="L29" s="29">
        <v>29</v>
      </c>
      <c r="M29" s="33">
        <f t="shared" si="6"/>
        <v>0.31034482758620691</v>
      </c>
      <c r="N29" s="16">
        <v>18</v>
      </c>
      <c r="O29" s="34">
        <f t="shared" ref="O29:P29" si="37">D29/7</f>
        <v>1.2857142857142858</v>
      </c>
      <c r="P29" s="34">
        <f t="shared" si="37"/>
        <v>2.2857142857142856</v>
      </c>
      <c r="Q29" s="29">
        <f t="shared" si="8"/>
        <v>5</v>
      </c>
      <c r="R29" s="29"/>
      <c r="S29" s="21">
        <v>2.5252173913043481</v>
      </c>
      <c r="T29" s="28">
        <v>560</v>
      </c>
      <c r="U29" s="36">
        <v>64</v>
      </c>
      <c r="V29" s="37" t="s">
        <v>741</v>
      </c>
      <c r="W29" s="14">
        <v>0</v>
      </c>
      <c r="X29" s="38">
        <f t="shared" si="9"/>
        <v>0</v>
      </c>
      <c r="Y29" s="39">
        <f t="shared" si="10"/>
        <v>0</v>
      </c>
      <c r="Z29" s="14">
        <v>0</v>
      </c>
      <c r="AA29" s="28" t="s">
        <v>34</v>
      </c>
      <c r="AB29" s="40">
        <f t="shared" si="11"/>
        <v>-0.69</v>
      </c>
      <c r="AC29" s="41">
        <v>6.3525305555555564E-2</v>
      </c>
      <c r="AD29" s="39">
        <f t="shared" si="12"/>
        <v>-0.78898429500000011</v>
      </c>
      <c r="AE29" s="39">
        <v>-5.68</v>
      </c>
      <c r="AF29" s="25">
        <v>-5.1192900000000003</v>
      </c>
      <c r="AG29" s="39">
        <v>0</v>
      </c>
    </row>
    <row r="30" spans="1:33" ht="15.75" customHeight="1" x14ac:dyDescent="0.2">
      <c r="A30" s="28" t="s">
        <v>74</v>
      </c>
      <c r="B30" s="28"/>
      <c r="C30" s="15">
        <f t="shared" si="4"/>
        <v>0</v>
      </c>
      <c r="D30" s="16">
        <v>1</v>
      </c>
      <c r="E30" s="16">
        <v>7</v>
      </c>
      <c r="F30" s="17">
        <v>0</v>
      </c>
      <c r="G30" s="17">
        <v>0</v>
      </c>
      <c r="H30" s="31" t="e">
        <f t="shared" si="1"/>
        <v>#DIV/0!</v>
      </c>
      <c r="I30" s="31" t="e">
        <f t="shared" si="2"/>
        <v>#DIV/0!</v>
      </c>
      <c r="J30" s="32">
        <f t="shared" si="5"/>
        <v>-10.569920685885416</v>
      </c>
      <c r="K30" s="32">
        <f t="shared" si="3"/>
        <v>-10.569920685885416</v>
      </c>
      <c r="L30" s="16">
        <v>22</v>
      </c>
      <c r="M30" s="33">
        <f t="shared" si="6"/>
        <v>4.5454545454545456E-2</v>
      </c>
      <c r="N30" s="16">
        <v>4</v>
      </c>
      <c r="O30" s="34">
        <f t="shared" ref="O30:P30" si="38">D30/7</f>
        <v>0.14285714285714285</v>
      </c>
      <c r="P30" s="34">
        <f t="shared" si="38"/>
        <v>1</v>
      </c>
      <c r="Q30" s="29">
        <f t="shared" si="8"/>
        <v>3</v>
      </c>
      <c r="R30" s="29"/>
      <c r="S30" s="21">
        <v>2.8007448789571701</v>
      </c>
      <c r="T30" s="28">
        <v>496</v>
      </c>
      <c r="U30" s="36">
        <v>128</v>
      </c>
      <c r="V30" s="37" t="s">
        <v>742</v>
      </c>
      <c r="W30" s="14">
        <v>0</v>
      </c>
      <c r="X30" s="38">
        <f t="shared" si="9"/>
        <v>0</v>
      </c>
      <c r="Y30" s="39">
        <f t="shared" si="10"/>
        <v>0</v>
      </c>
      <c r="Z30" s="14">
        <v>0</v>
      </c>
      <c r="AA30" s="28" t="s">
        <v>34</v>
      </c>
      <c r="AB30" s="40">
        <f t="shared" si="11"/>
        <v>-0.69</v>
      </c>
      <c r="AC30" s="41">
        <v>6.3525305555555564E-2</v>
      </c>
      <c r="AD30" s="39">
        <f t="shared" si="12"/>
        <v>-8.7664921666666673E-2</v>
      </c>
      <c r="AE30" s="25">
        <v>-5.68</v>
      </c>
      <c r="AF30" s="25">
        <v>-4.8022557642187502</v>
      </c>
      <c r="AG30" s="25">
        <v>0</v>
      </c>
    </row>
    <row r="31" spans="1:33" ht="15.75" customHeight="1" x14ac:dyDescent="0.2">
      <c r="A31" s="14" t="s">
        <v>75</v>
      </c>
      <c r="B31" s="14"/>
      <c r="C31" s="15">
        <f t="shared" si="4"/>
        <v>21.99</v>
      </c>
      <c r="D31" s="16">
        <v>3</v>
      </c>
      <c r="E31" s="16">
        <v>0</v>
      </c>
      <c r="F31" s="17">
        <v>65.97</v>
      </c>
      <c r="G31" s="42">
        <v>0</v>
      </c>
      <c r="H31" s="31">
        <f t="shared" si="1"/>
        <v>0</v>
      </c>
      <c r="I31" s="31">
        <f t="shared" si="2"/>
        <v>0.36933057362958549</v>
      </c>
      <c r="J31" s="32">
        <f t="shared" si="5"/>
        <v>24.364737942343755</v>
      </c>
      <c r="K31" s="32">
        <f t="shared" si="3"/>
        <v>8.1215793141145856</v>
      </c>
      <c r="L31" s="16">
        <v>12</v>
      </c>
      <c r="M31" s="33">
        <f t="shared" si="6"/>
        <v>0.25</v>
      </c>
      <c r="N31" s="16">
        <v>64</v>
      </c>
      <c r="O31" s="34">
        <f t="shared" ref="O31:P32" si="39">D31/7</f>
        <v>0.42857142857142855</v>
      </c>
      <c r="P31" s="34">
        <f t="shared" si="39"/>
        <v>0</v>
      </c>
      <c r="Q31" s="29">
        <f t="shared" si="8"/>
        <v>149</v>
      </c>
      <c r="R31" s="29"/>
      <c r="S31" s="21">
        <v>2.8537549407114602</v>
      </c>
      <c r="T31" s="14">
        <v>16</v>
      </c>
      <c r="U31" s="22">
        <v>128</v>
      </c>
      <c r="V31" s="1" t="s">
        <v>944</v>
      </c>
      <c r="W31" s="14">
        <v>0</v>
      </c>
      <c r="X31" s="38">
        <f t="shared" si="9"/>
        <v>0</v>
      </c>
      <c r="Y31" s="39">
        <f t="shared" si="10"/>
        <v>0</v>
      </c>
      <c r="Z31" s="14">
        <v>0</v>
      </c>
      <c r="AA31" s="14" t="s">
        <v>34</v>
      </c>
      <c r="AB31" s="40">
        <f t="shared" si="11"/>
        <v>-0.69</v>
      </c>
      <c r="AC31" s="27">
        <v>6.3525305555555564E-2</v>
      </c>
      <c r="AD31" s="39">
        <f t="shared" si="12"/>
        <v>-0.26299476500000002</v>
      </c>
      <c r="AE31" s="43">
        <v>-5.68</v>
      </c>
      <c r="AF31" s="43">
        <v>-4.8022557642187493</v>
      </c>
      <c r="AG31" s="25">
        <v>0</v>
      </c>
    </row>
    <row r="32" spans="1:33" s="51" customFormat="1" ht="15.75" customHeight="1" x14ac:dyDescent="0.2">
      <c r="A32" s="51" t="s">
        <v>934</v>
      </c>
      <c r="C32" s="15">
        <f t="shared" si="4"/>
        <v>21.990000000000002</v>
      </c>
      <c r="D32" s="52">
        <v>5</v>
      </c>
      <c r="E32" s="52">
        <v>0</v>
      </c>
      <c r="F32" s="53">
        <v>109.95</v>
      </c>
      <c r="G32" s="53">
        <v>-0.08</v>
      </c>
      <c r="H32" s="31">
        <f t="shared" si="1"/>
        <v>7.2760345611641651E-4</v>
      </c>
      <c r="I32" s="31">
        <f t="shared" si="2"/>
        <v>0.36860297017346894</v>
      </c>
      <c r="J32" s="32">
        <f t="shared" si="5"/>
        <v>40.527896570572914</v>
      </c>
      <c r="K32" s="32">
        <f t="shared" si="3"/>
        <v>8.105579314114582</v>
      </c>
      <c r="L32" s="52">
        <v>6</v>
      </c>
      <c r="M32" s="33">
        <f t="shared" si="6"/>
        <v>0.83333333333333337</v>
      </c>
      <c r="N32" s="52">
        <v>59</v>
      </c>
      <c r="O32" s="34">
        <f t="shared" si="39"/>
        <v>0.7142857142857143</v>
      </c>
      <c r="P32" s="34">
        <f t="shared" si="39"/>
        <v>0</v>
      </c>
      <c r="Q32" s="29">
        <f t="shared" si="8"/>
        <v>82</v>
      </c>
      <c r="R32" s="29" t="str">
        <f ca="1">IFERROR(VLOOKUP($B$2,IMPORTRANGE("https://docs.google.com/spreadsheets/d/1KiWZV1ko8G7lnRucBRBd29jj3Be6ltMfljMDqzOkQmI/edit#gid=1381463014","Lookup!A:F"),6,FALSE),"")</f>
        <v/>
      </c>
      <c r="S32" s="54">
        <v>3.51918158567775</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6.3525305555555564E-2</v>
      </c>
      <c r="AD32" s="39">
        <f t="shared" si="12"/>
        <v>-0.43832460833333337</v>
      </c>
      <c r="AE32" s="58">
        <v>-5.68</v>
      </c>
      <c r="AF32" s="58">
        <v>-4.8022557642187502</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7.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40.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Info!B1:BJ5000""),3,FALSE),"""")"),"16 Gauge Automotive Wire - 6 Roll Assortment Pack -100 Ft of Copper Clad Aluminum Primary Wire per Roll")</f>
        <v>16 Gauge Automotive Wire - 6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Info!B1:BJ5000""),2,FALSE),"""")"),"B07QDTPH2R")</f>
        <v>B07QDTPH2R</v>
      </c>
      <c r="B2" s="3" t="s">
        <v>743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49.5" customHeight="1" x14ac:dyDescent="0.2">
      <c r="A3" s="76" t="s">
        <v>30</v>
      </c>
      <c r="B3" s="77"/>
      <c r="C3" s="47">
        <f>((AE32+AF32)/0.85)*-1</f>
        <v>15.515479929411752</v>
      </c>
      <c r="D3" s="5">
        <f>SUM(D4:D99634)</f>
        <v>102</v>
      </c>
      <c r="E3" s="5"/>
      <c r="F3" s="6">
        <f t="shared" ref="F3:G3" si="0">SUM(F4:F99634)</f>
        <v>2415.1999999999998</v>
      </c>
      <c r="G3" s="6">
        <f t="shared" si="0"/>
        <v>-1.0899999999999999</v>
      </c>
      <c r="H3" s="7">
        <f t="shared" ref="H3:H32" si="1">G3/F3*-1</f>
        <v>4.5130838025836368E-4</v>
      </c>
      <c r="I3" s="8">
        <f t="shared" ref="I3:I32" si="2">J3/F3</f>
        <v>0.26540017870557725</v>
      </c>
      <c r="J3" s="6">
        <f>SUM(J4:J99634)</f>
        <v>640.99451160971012</v>
      </c>
      <c r="K3" s="6">
        <f t="shared" ref="K3:K32" si="3">J3/D3</f>
        <v>6.284259917742256</v>
      </c>
      <c r="L3" s="5"/>
      <c r="M3" s="9"/>
      <c r="N3" s="10"/>
      <c r="O3" s="5" t="str">
        <f ca="1">IFERROR(__xludf.DUMMYFUNCTION("IFERROR(VLOOKUP(B2,IMPORTRANGE(""https://docs.google.com/spreadsheets/d/1N8jvpEHDVkurDv7NrPxwI3eH6hQsvtb1QltGNCalRjU/edit#gid=865736387"",""Compiled Sheet!a1:g5000""),2,FALSE),"""")"),"0.75 - March
0.75 - April
1 - May
0.5 - June
1 - July
1 - Aug
1 - Sept
0.5 - Oct
0.5 - Nov
0.5 - Dec
0.75 - Jan
0.75 - Feb")</f>
        <v>0.75 - March
0.75 - April
1 - May
0.5 - June
1 - July
1 - Aug
1 - Sept
0.5 - Oct
0.5 - Nov
0.5 - Dec
0.75 - Jan
0.75 -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-11.200836084734451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Info!B2:BZ7000""),37,FALSE)),"""")*-1"),-7.20815793999999)</f>
        <v>-7.2081579399999898</v>
      </c>
      <c r="AG3" s="6">
        <f>SUM(AG4:AG99634)</f>
        <v>0</v>
      </c>
    </row>
    <row r="4" spans="1:33" ht="15.75" customHeight="1" x14ac:dyDescent="0.2">
      <c r="A4" s="14" t="s">
        <v>31</v>
      </c>
      <c r="B4" s="14" t="s">
        <v>744</v>
      </c>
      <c r="C4" s="15">
        <f t="shared" ref="C4:C32" si="4">IFERROR(F4/D4," - ")</f>
        <v>24.99</v>
      </c>
      <c r="D4" s="16">
        <v>2</v>
      </c>
      <c r="E4" s="16">
        <v>0</v>
      </c>
      <c r="F4" s="17">
        <v>49.98</v>
      </c>
      <c r="G4" s="17">
        <v>-0.08</v>
      </c>
      <c r="H4" s="18">
        <f t="shared" si="1"/>
        <v>1.6006402561024411E-3</v>
      </c>
      <c r="I4" s="18">
        <f t="shared" si="2"/>
        <v>0.30894044080730582</v>
      </c>
      <c r="J4" s="17">
        <f t="shared" ref="J4:J32" si="5">F4*0.85+G4+AF4*D4+D4*AE4+AG4+AD4</f>
        <v>15.440843231549144</v>
      </c>
      <c r="K4" s="17">
        <f t="shared" si="3"/>
        <v>7.7204216157745718</v>
      </c>
      <c r="L4" s="16">
        <v>16</v>
      </c>
      <c r="M4" s="19">
        <f t="shared" ref="M4:M32" si="6">IFERROR(D4/L4,"-")</f>
        <v>0.125</v>
      </c>
      <c r="N4" s="16">
        <v>13</v>
      </c>
      <c r="O4" s="20">
        <f t="shared" ref="O4:P4" si="7">D4/7</f>
        <v>0.2857142857142857</v>
      </c>
      <c r="P4" s="20">
        <f t="shared" si="7"/>
        <v>0</v>
      </c>
      <c r="Q4" s="16">
        <f t="shared" ref="Q4:Q32" si="8">ROUNDDOWN(N4/(O4+P4),0)</f>
        <v>45</v>
      </c>
      <c r="R4" s="16"/>
      <c r="S4" s="21">
        <v>1.51111111111111</v>
      </c>
      <c r="T4" s="14">
        <v>96</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7.957219097222222E-2</v>
      </c>
      <c r="AD4" s="25">
        <f t="shared" ref="AD4:AD32" si="12">IFERROR(AB4*AC4*D4*2,0)</f>
        <v>-0.2196192470833333</v>
      </c>
      <c r="AE4" s="25">
        <v>-5.8</v>
      </c>
      <c r="AF4" s="25">
        <v>-7.5712687606837612</v>
      </c>
      <c r="AG4" s="25">
        <v>0</v>
      </c>
    </row>
    <row r="5" spans="1:33" ht="15.75" customHeight="1" x14ac:dyDescent="0.2">
      <c r="A5" s="28" t="s">
        <v>35</v>
      </c>
      <c r="B5" s="28" t="s">
        <v>47</v>
      </c>
      <c r="C5" s="15">
        <f t="shared" si="4"/>
        <v>24.49</v>
      </c>
      <c r="D5" s="29">
        <v>2</v>
      </c>
      <c r="E5" s="29">
        <v>0</v>
      </c>
      <c r="F5" s="30">
        <v>48.98</v>
      </c>
      <c r="G5" s="30">
        <v>-0.08</v>
      </c>
      <c r="H5" s="31">
        <f t="shared" si="1"/>
        <v>1.6333197223356473E-3</v>
      </c>
      <c r="I5" s="31">
        <f t="shared" si="2"/>
        <v>0.29788870453378297</v>
      </c>
      <c r="J5" s="32">
        <f t="shared" si="5"/>
        <v>14.590588748064688</v>
      </c>
      <c r="K5" s="32">
        <f t="shared" si="3"/>
        <v>7.2952943740323439</v>
      </c>
      <c r="L5" s="29">
        <v>17</v>
      </c>
      <c r="M5" s="33">
        <f t="shared" si="6"/>
        <v>0.11764705882352941</v>
      </c>
      <c r="N5" s="29">
        <v>11</v>
      </c>
      <c r="O5" s="34">
        <f t="shared" ref="O5:P5" si="13">D5/7</f>
        <v>0.2857142857142857</v>
      </c>
      <c r="P5" s="34">
        <f t="shared" si="13"/>
        <v>0</v>
      </c>
      <c r="Q5" s="29">
        <f t="shared" si="8"/>
        <v>38</v>
      </c>
      <c r="R5" s="29"/>
      <c r="S5" s="35">
        <v>2.0845070422535201</v>
      </c>
      <c r="T5" s="28">
        <v>96</v>
      </c>
      <c r="U5" s="36" t="s">
        <v>33</v>
      </c>
      <c r="V5" s="37" t="s">
        <v>33</v>
      </c>
      <c r="W5" s="28">
        <v>0</v>
      </c>
      <c r="X5" s="38">
        <f t="shared" si="9"/>
        <v>0</v>
      </c>
      <c r="Y5" s="39">
        <f t="shared" si="10"/>
        <v>0</v>
      </c>
      <c r="Z5" s="28">
        <v>0</v>
      </c>
      <c r="AA5" s="28" t="s">
        <v>34</v>
      </c>
      <c r="AB5" s="40">
        <f t="shared" si="11"/>
        <v>-0.69</v>
      </c>
      <c r="AC5" s="41">
        <v>7.9664395133256086E-2</v>
      </c>
      <c r="AD5" s="39">
        <f t="shared" si="12"/>
        <v>-0.21987373056778678</v>
      </c>
      <c r="AE5" s="39">
        <v>-5.8</v>
      </c>
      <c r="AF5" s="39">
        <v>-7.5712687606837612</v>
      </c>
      <c r="AG5" s="39">
        <v>0</v>
      </c>
    </row>
    <row r="6" spans="1:33" ht="15.75" customHeight="1" x14ac:dyDescent="0.2">
      <c r="A6" s="28" t="s">
        <v>37</v>
      </c>
      <c r="B6" s="28" t="s">
        <v>745</v>
      </c>
      <c r="C6" s="15">
        <f t="shared" si="4"/>
        <v>23.99</v>
      </c>
      <c r="D6" s="29">
        <v>4</v>
      </c>
      <c r="E6" s="29">
        <v>0</v>
      </c>
      <c r="F6" s="30">
        <v>95.96</v>
      </c>
      <c r="G6" s="30">
        <v>0</v>
      </c>
      <c r="H6" s="31">
        <f t="shared" si="1"/>
        <v>0</v>
      </c>
      <c r="I6" s="31">
        <f t="shared" si="2"/>
        <v>0.28805425659752271</v>
      </c>
      <c r="J6" s="32">
        <f t="shared" si="5"/>
        <v>27.641686463098278</v>
      </c>
      <c r="K6" s="32">
        <f t="shared" si="3"/>
        <v>6.9104216157745695</v>
      </c>
      <c r="L6" s="29">
        <v>14</v>
      </c>
      <c r="M6" s="33">
        <f t="shared" si="6"/>
        <v>0.2857142857142857</v>
      </c>
      <c r="N6" s="29">
        <v>5</v>
      </c>
      <c r="O6" s="34">
        <f t="shared" ref="O6:P6" si="14">D6/7</f>
        <v>0.5714285714285714</v>
      </c>
      <c r="P6" s="34">
        <f t="shared" si="14"/>
        <v>0</v>
      </c>
      <c r="Q6" s="29">
        <f t="shared" si="8"/>
        <v>8</v>
      </c>
      <c r="R6" s="29"/>
      <c r="S6" s="35">
        <v>2.5396825396825302</v>
      </c>
      <c r="T6" s="28">
        <v>96</v>
      </c>
      <c r="U6" s="36" t="s">
        <v>33</v>
      </c>
      <c r="V6" s="37" t="s">
        <v>39</v>
      </c>
      <c r="W6" s="28">
        <v>0</v>
      </c>
      <c r="X6" s="38">
        <f t="shared" si="9"/>
        <v>0</v>
      </c>
      <c r="Y6" s="39">
        <f t="shared" si="10"/>
        <v>0</v>
      </c>
      <c r="Z6" s="28">
        <v>0</v>
      </c>
      <c r="AA6" s="28" t="s">
        <v>34</v>
      </c>
      <c r="AB6" s="40">
        <f t="shared" si="11"/>
        <v>-0.69</v>
      </c>
      <c r="AC6" s="41">
        <v>7.957219097222222E-2</v>
      </c>
      <c r="AD6" s="39">
        <f t="shared" si="12"/>
        <v>-0.4392384941666666</v>
      </c>
      <c r="AE6" s="39">
        <v>-5.8</v>
      </c>
      <c r="AF6" s="39">
        <v>-7.5712687606837612</v>
      </c>
      <c r="AG6" s="39">
        <v>0</v>
      </c>
    </row>
    <row r="7" spans="1:33" ht="15.75" customHeight="1" x14ac:dyDescent="0.2">
      <c r="A7" s="28" t="s">
        <v>40</v>
      </c>
      <c r="B7" s="28" t="s">
        <v>746</v>
      </c>
      <c r="C7" s="15">
        <f t="shared" si="4"/>
        <v>26.389999999999997</v>
      </c>
      <c r="D7" s="29">
        <v>5</v>
      </c>
      <c r="E7" s="29">
        <v>0</v>
      </c>
      <c r="F7" s="30">
        <v>131.94999999999999</v>
      </c>
      <c r="G7" s="30">
        <v>-0.16</v>
      </c>
      <c r="H7" s="31">
        <f t="shared" si="1"/>
        <v>1.2125805229253506E-3</v>
      </c>
      <c r="I7" s="31">
        <f t="shared" si="2"/>
        <v>0.33794701082889617</v>
      </c>
      <c r="J7" s="32">
        <f t="shared" si="5"/>
        <v>44.592108078872847</v>
      </c>
      <c r="K7" s="32">
        <f t="shared" si="3"/>
        <v>8.9184216157745695</v>
      </c>
      <c r="L7" s="29">
        <v>26</v>
      </c>
      <c r="M7" s="33">
        <f t="shared" si="6"/>
        <v>0.19230769230769232</v>
      </c>
      <c r="N7" s="29">
        <v>1</v>
      </c>
      <c r="O7" s="34">
        <f t="shared" ref="O7:P7" si="15">D7/7</f>
        <v>0.7142857142857143</v>
      </c>
      <c r="P7" s="34">
        <f t="shared" si="15"/>
        <v>0</v>
      </c>
      <c r="Q7" s="29">
        <f t="shared" si="8"/>
        <v>1</v>
      </c>
      <c r="R7" s="29"/>
      <c r="S7" s="35">
        <v>3.3846153846153801</v>
      </c>
      <c r="T7" s="28">
        <v>96</v>
      </c>
      <c r="U7" s="36" t="s">
        <v>33</v>
      </c>
      <c r="V7" s="37" t="s">
        <v>39</v>
      </c>
      <c r="W7" s="28">
        <v>0</v>
      </c>
      <c r="X7" s="38">
        <f t="shared" si="9"/>
        <v>0</v>
      </c>
      <c r="Y7" s="39">
        <f t="shared" si="10"/>
        <v>0</v>
      </c>
      <c r="Z7" s="28">
        <v>0</v>
      </c>
      <c r="AA7" s="28" t="s">
        <v>34</v>
      </c>
      <c r="AB7" s="40">
        <f t="shared" si="11"/>
        <v>-0.69</v>
      </c>
      <c r="AC7" s="41">
        <v>7.957219097222222E-2</v>
      </c>
      <c r="AD7" s="39">
        <f t="shared" si="12"/>
        <v>-0.54904811770833328</v>
      </c>
      <c r="AE7" s="39">
        <v>-5.8</v>
      </c>
      <c r="AF7" s="39">
        <v>-7.5712687606837612</v>
      </c>
      <c r="AG7" s="39">
        <v>0</v>
      </c>
    </row>
    <row r="8" spans="1:33" ht="15.75" customHeight="1" x14ac:dyDescent="0.2">
      <c r="A8" s="28" t="s">
        <v>42</v>
      </c>
      <c r="B8" s="28" t="s">
        <v>52</v>
      </c>
      <c r="C8" s="15">
        <f t="shared" si="4"/>
        <v>26.99</v>
      </c>
      <c r="D8" s="29">
        <v>1</v>
      </c>
      <c r="E8" s="29">
        <v>0</v>
      </c>
      <c r="F8" s="30">
        <v>26.99</v>
      </c>
      <c r="G8" s="30">
        <v>0</v>
      </c>
      <c r="H8" s="31">
        <f t="shared" si="1"/>
        <v>0</v>
      </c>
      <c r="I8" s="31">
        <f t="shared" si="2"/>
        <v>0.35056281498548836</v>
      </c>
      <c r="J8" s="32">
        <f t="shared" si="5"/>
        <v>9.4616903764583302</v>
      </c>
      <c r="K8" s="32">
        <f t="shared" si="3"/>
        <v>9.4616903764583302</v>
      </c>
      <c r="L8" s="29">
        <v>4</v>
      </c>
      <c r="M8" s="33">
        <f t="shared" si="6"/>
        <v>0.25</v>
      </c>
      <c r="N8" s="29">
        <v>0</v>
      </c>
      <c r="O8" s="34">
        <f t="shared" ref="O8:P8" si="16">D8/7</f>
        <v>0.14285714285714285</v>
      </c>
      <c r="P8" s="34">
        <f t="shared" si="16"/>
        <v>0</v>
      </c>
      <c r="Q8" s="29">
        <f t="shared" si="8"/>
        <v>0</v>
      </c>
      <c r="R8" s="29"/>
      <c r="S8" s="35" t="e">
        <v>#N/A</v>
      </c>
      <c r="T8" s="28">
        <v>96</v>
      </c>
      <c r="U8" s="36">
        <v>96</v>
      </c>
      <c r="V8" s="37" t="s">
        <v>747</v>
      </c>
      <c r="W8" s="28">
        <v>0</v>
      </c>
      <c r="X8" s="38">
        <f t="shared" si="9"/>
        <v>0</v>
      </c>
      <c r="Y8" s="39">
        <f t="shared" si="10"/>
        <v>0</v>
      </c>
      <c r="Z8" s="28">
        <v>0</v>
      </c>
      <c r="AA8" s="28" t="s">
        <v>34</v>
      </c>
      <c r="AB8" s="40">
        <f t="shared" si="11"/>
        <v>-0.69</v>
      </c>
      <c r="AC8" s="41">
        <v>7.957219097222222E-2</v>
      </c>
      <c r="AD8" s="39">
        <f t="shared" si="12"/>
        <v>-0.10980962354166665</v>
      </c>
      <c r="AE8" s="39">
        <v>-5.8</v>
      </c>
      <c r="AF8" s="39">
        <v>-7.57</v>
      </c>
      <c r="AG8" s="39">
        <v>0</v>
      </c>
    </row>
    <row r="9" spans="1:33" ht="15.75" customHeight="1" x14ac:dyDescent="0.2">
      <c r="A9" s="28" t="s">
        <v>44</v>
      </c>
      <c r="B9" s="28"/>
      <c r="C9" s="15" t="str">
        <f t="shared" si="4"/>
        <v xml:space="preserve"> - </v>
      </c>
      <c r="D9" s="29">
        <v>0</v>
      </c>
      <c r="E9" s="29">
        <v>0</v>
      </c>
      <c r="F9" s="30">
        <v>0</v>
      </c>
      <c r="G9" s="30">
        <v>0</v>
      </c>
      <c r="H9" s="31" t="e">
        <f t="shared" si="1"/>
        <v>#DIV/0!</v>
      </c>
      <c r="I9" s="31" t="e">
        <f t="shared" si="2"/>
        <v>#DIV/0!</v>
      </c>
      <c r="J9" s="32">
        <f t="shared" si="5"/>
        <v>0</v>
      </c>
      <c r="K9" s="32" t="e">
        <f t="shared" si="3"/>
        <v>#DIV/0!</v>
      </c>
      <c r="L9" s="29">
        <v>0</v>
      </c>
      <c r="M9" s="33" t="str">
        <f t="shared" si="6"/>
        <v>-</v>
      </c>
      <c r="N9" s="29">
        <v>0</v>
      </c>
      <c r="O9" s="34">
        <f t="shared" ref="O9:P9" si="17">D9/7</f>
        <v>0</v>
      </c>
      <c r="P9" s="34">
        <f t="shared" si="17"/>
        <v>0</v>
      </c>
      <c r="Q9" s="29" t="e">
        <f t="shared" si="8"/>
        <v>#DIV/0!</v>
      </c>
      <c r="R9" s="29"/>
      <c r="S9" s="35" t="e">
        <v>#N/A</v>
      </c>
      <c r="T9" s="28">
        <v>96</v>
      </c>
      <c r="U9" s="36">
        <v>96</v>
      </c>
      <c r="V9" s="37" t="s">
        <v>748</v>
      </c>
      <c r="W9" s="28">
        <v>0</v>
      </c>
      <c r="X9" s="38">
        <f t="shared" si="9"/>
        <v>0</v>
      </c>
      <c r="Y9" s="39">
        <f t="shared" si="10"/>
        <v>0</v>
      </c>
      <c r="Z9" s="28">
        <v>0</v>
      </c>
      <c r="AA9" s="28" t="e">
        <v>#N/A</v>
      </c>
      <c r="AB9" s="40" t="e">
        <f t="shared" si="11"/>
        <v>#N/A</v>
      </c>
      <c r="AC9" s="41" t="e">
        <v>#N/A</v>
      </c>
      <c r="AD9" s="39">
        <f t="shared" si="12"/>
        <v>0</v>
      </c>
      <c r="AE9" s="39">
        <v>0</v>
      </c>
      <c r="AF9" s="39">
        <v>-7.7499012393162303</v>
      </c>
      <c r="AG9" s="39">
        <v>0</v>
      </c>
    </row>
    <row r="10" spans="1:33" ht="15.75" customHeight="1" x14ac:dyDescent="0.2">
      <c r="A10" s="28" t="s">
        <v>46</v>
      </c>
      <c r="B10" s="28"/>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0</v>
      </c>
      <c r="O10" s="34">
        <f t="shared" ref="O10:P10" si="18">D10/7</f>
        <v>0</v>
      </c>
      <c r="P10" s="34">
        <f t="shared" si="18"/>
        <v>0</v>
      </c>
      <c r="Q10" s="29" t="e">
        <f t="shared" si="8"/>
        <v>#DIV/0!</v>
      </c>
      <c r="R10" s="29"/>
      <c r="S10" s="35" t="e">
        <v>#N/A</v>
      </c>
      <c r="T10" s="28">
        <v>96</v>
      </c>
      <c r="U10" s="36">
        <v>96</v>
      </c>
      <c r="V10" s="37" t="s">
        <v>749</v>
      </c>
      <c r="W10" s="28">
        <v>0</v>
      </c>
      <c r="X10" s="38">
        <f t="shared" si="9"/>
        <v>0</v>
      </c>
      <c r="Y10" s="39">
        <f t="shared" si="10"/>
        <v>0</v>
      </c>
      <c r="Z10" s="28">
        <v>0</v>
      </c>
      <c r="AA10" s="28" t="e">
        <v>#N/A</v>
      </c>
      <c r="AB10" s="40" t="e">
        <f t="shared" si="11"/>
        <v>#N/A</v>
      </c>
      <c r="AC10" s="41" t="e">
        <v>#N/A</v>
      </c>
      <c r="AD10" s="39">
        <f t="shared" si="12"/>
        <v>0</v>
      </c>
      <c r="AE10" s="39">
        <v>0</v>
      </c>
      <c r="AF10" s="39">
        <v>-7.7499012393162303</v>
      </c>
      <c r="AG10" s="39">
        <v>0</v>
      </c>
    </row>
    <row r="11" spans="1:33" ht="15.75" customHeight="1" x14ac:dyDescent="0.2">
      <c r="A11" s="28" t="s">
        <v>48</v>
      </c>
      <c r="B11" s="28"/>
      <c r="C11" s="15" t="str">
        <f t="shared" si="4"/>
        <v xml:space="preserve"> - </v>
      </c>
      <c r="D11" s="29">
        <v>0</v>
      </c>
      <c r="E11" s="29">
        <v>0</v>
      </c>
      <c r="F11" s="30">
        <v>0</v>
      </c>
      <c r="G11" s="30">
        <v>0</v>
      </c>
      <c r="H11" s="31" t="e">
        <f t="shared" si="1"/>
        <v>#DIV/0!</v>
      </c>
      <c r="I11" s="31" t="e">
        <f t="shared" si="2"/>
        <v>#DIV/0!</v>
      </c>
      <c r="J11" s="32">
        <f t="shared" si="5"/>
        <v>0</v>
      </c>
      <c r="K11" s="32" t="e">
        <f t="shared" si="3"/>
        <v>#DIV/0!</v>
      </c>
      <c r="L11" s="29">
        <v>0</v>
      </c>
      <c r="M11" s="33" t="str">
        <f t="shared" si="6"/>
        <v>-</v>
      </c>
      <c r="N11" s="29">
        <v>0</v>
      </c>
      <c r="O11" s="34">
        <f t="shared" ref="O11:P11" si="19">D11/7</f>
        <v>0</v>
      </c>
      <c r="P11" s="34">
        <f t="shared" si="19"/>
        <v>0</v>
      </c>
      <c r="Q11" s="29" t="e">
        <f t="shared" si="8"/>
        <v>#DIV/0!</v>
      </c>
      <c r="R11" s="29"/>
      <c r="S11" s="35" t="e">
        <v>#N/A</v>
      </c>
      <c r="T11" s="28">
        <v>96</v>
      </c>
      <c r="U11" s="36">
        <v>96</v>
      </c>
      <c r="V11" s="37" t="s">
        <v>749</v>
      </c>
      <c r="W11" s="28">
        <v>0</v>
      </c>
      <c r="X11" s="38">
        <f t="shared" si="9"/>
        <v>0</v>
      </c>
      <c r="Y11" s="39">
        <f t="shared" si="10"/>
        <v>0</v>
      </c>
      <c r="Z11" s="28">
        <v>0</v>
      </c>
      <c r="AA11" s="28" t="e">
        <v>#N/A</v>
      </c>
      <c r="AB11" s="40" t="e">
        <f t="shared" si="11"/>
        <v>#N/A</v>
      </c>
      <c r="AC11" s="41" t="e">
        <v>#N/A</v>
      </c>
      <c r="AD11" s="39">
        <f t="shared" si="12"/>
        <v>0</v>
      </c>
      <c r="AE11" s="39">
        <v>0</v>
      </c>
      <c r="AF11" s="39">
        <v>-7.7499012393162303</v>
      </c>
      <c r="AG11" s="39">
        <v>0</v>
      </c>
    </row>
    <row r="12" spans="1:33" ht="15.75" customHeight="1" x14ac:dyDescent="0.2">
      <c r="A12" s="28" t="s">
        <v>49</v>
      </c>
      <c r="B12" s="28"/>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0</v>
      </c>
      <c r="O12" s="34">
        <f t="shared" ref="O12:P12" si="20">D12/7</f>
        <v>0</v>
      </c>
      <c r="P12" s="34">
        <f t="shared" si="20"/>
        <v>0</v>
      </c>
      <c r="Q12" s="29" t="e">
        <f t="shared" si="8"/>
        <v>#DIV/0!</v>
      </c>
      <c r="R12" s="29"/>
      <c r="S12" s="35" t="e">
        <v>#N/A</v>
      </c>
      <c r="T12" s="28">
        <v>96</v>
      </c>
      <c r="U12" s="36">
        <v>96</v>
      </c>
      <c r="V12" s="37" t="s">
        <v>750</v>
      </c>
      <c r="W12" s="28">
        <v>0</v>
      </c>
      <c r="X12" s="38">
        <f t="shared" si="9"/>
        <v>0</v>
      </c>
      <c r="Y12" s="39">
        <f t="shared" si="10"/>
        <v>0</v>
      </c>
      <c r="Z12" s="28">
        <v>0</v>
      </c>
      <c r="AA12" s="28" t="e">
        <v>#N/A</v>
      </c>
      <c r="AB12" s="40" t="e">
        <f t="shared" si="11"/>
        <v>#N/A</v>
      </c>
      <c r="AC12" s="41" t="e">
        <v>#N/A</v>
      </c>
      <c r="AD12" s="39">
        <f t="shared" si="12"/>
        <v>0</v>
      </c>
      <c r="AE12" s="39">
        <v>0</v>
      </c>
      <c r="AF12" s="39">
        <v>-7.7499012393162303</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0</v>
      </c>
      <c r="O13" s="34">
        <f t="shared" ref="O13:P13" si="21">D13/7</f>
        <v>0</v>
      </c>
      <c r="P13" s="34">
        <f t="shared" si="21"/>
        <v>0</v>
      </c>
      <c r="Q13" s="29" t="e">
        <f t="shared" si="8"/>
        <v>#DIV/0!</v>
      </c>
      <c r="R13" s="29"/>
      <c r="S13" s="35" t="e">
        <v>#N/A</v>
      </c>
      <c r="T13" s="28">
        <v>96</v>
      </c>
      <c r="U13" s="36">
        <v>96</v>
      </c>
      <c r="V13" s="37" t="s">
        <v>751</v>
      </c>
      <c r="W13" s="28">
        <v>0</v>
      </c>
      <c r="X13" s="38">
        <f t="shared" si="9"/>
        <v>0</v>
      </c>
      <c r="Y13" s="39">
        <f t="shared" si="10"/>
        <v>0</v>
      </c>
      <c r="Z13" s="28">
        <v>0</v>
      </c>
      <c r="AA13" s="28" t="e">
        <v>#N/A</v>
      </c>
      <c r="AB13" s="40" t="e">
        <f t="shared" si="11"/>
        <v>#N/A</v>
      </c>
      <c r="AC13" s="41" t="e">
        <v>#N/A</v>
      </c>
      <c r="AD13" s="39">
        <f t="shared" si="12"/>
        <v>0</v>
      </c>
      <c r="AE13" s="39">
        <v>0</v>
      </c>
      <c r="AF13" s="39">
        <v>-7.8439183333333302</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96</v>
      </c>
      <c r="U14" s="36">
        <v>96</v>
      </c>
      <c r="V14" s="37" t="s">
        <v>751</v>
      </c>
      <c r="W14" s="28">
        <v>0</v>
      </c>
      <c r="X14" s="38">
        <f t="shared" si="9"/>
        <v>0</v>
      </c>
      <c r="Y14" s="39">
        <f t="shared" si="10"/>
        <v>0</v>
      </c>
      <c r="Z14" s="28">
        <v>0</v>
      </c>
      <c r="AA14" s="28" t="e">
        <v>#N/A</v>
      </c>
      <c r="AB14" s="40" t="e">
        <f t="shared" si="11"/>
        <v>#N/A</v>
      </c>
      <c r="AC14" s="41" t="e">
        <v>#N/A</v>
      </c>
      <c r="AD14" s="39">
        <f t="shared" si="12"/>
        <v>0</v>
      </c>
      <c r="AE14" s="39">
        <v>0</v>
      </c>
      <c r="AF14" s="39">
        <v>-7.8439183333333302</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204</v>
      </c>
      <c r="U15" s="36">
        <v>96</v>
      </c>
      <c r="V15" s="37" t="s">
        <v>752</v>
      </c>
      <c r="W15" s="28">
        <v>0</v>
      </c>
      <c r="X15" s="38">
        <f t="shared" si="9"/>
        <v>0</v>
      </c>
      <c r="Y15" s="39">
        <f t="shared" si="10"/>
        <v>0</v>
      </c>
      <c r="Z15" s="28">
        <v>0</v>
      </c>
      <c r="AA15" s="28" t="e">
        <v>#N/A</v>
      </c>
      <c r="AB15" s="40" t="e">
        <f t="shared" si="11"/>
        <v>#N/A</v>
      </c>
      <c r="AC15" s="41" t="e">
        <v>#N/A</v>
      </c>
      <c r="AD15" s="39">
        <f t="shared" si="12"/>
        <v>0</v>
      </c>
      <c r="AE15" s="39">
        <v>0</v>
      </c>
      <c r="AF15" s="39">
        <v>-7.8439183333333302</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96</v>
      </c>
      <c r="O16" s="34">
        <f t="shared" ref="O16:P16" si="24">D16/7</f>
        <v>0</v>
      </c>
      <c r="P16" s="34">
        <f t="shared" si="24"/>
        <v>0</v>
      </c>
      <c r="Q16" s="29" t="e">
        <f t="shared" si="8"/>
        <v>#DIV/0!</v>
      </c>
      <c r="R16" s="29"/>
      <c r="S16" s="35">
        <v>0.53097345132743301</v>
      </c>
      <c r="T16" s="28">
        <v>108</v>
      </c>
      <c r="U16" s="36" t="s">
        <v>33</v>
      </c>
      <c r="V16" s="37" t="s">
        <v>33</v>
      </c>
      <c r="W16" s="28">
        <v>0</v>
      </c>
      <c r="X16" s="38">
        <f t="shared" si="9"/>
        <v>0</v>
      </c>
      <c r="Y16" s="39">
        <f t="shared" si="10"/>
        <v>0</v>
      </c>
      <c r="Z16" s="28">
        <v>0</v>
      </c>
      <c r="AA16" s="28" t="e">
        <v>#N/A</v>
      </c>
      <c r="AB16" s="40" t="e">
        <f t="shared" si="11"/>
        <v>#N/A</v>
      </c>
      <c r="AC16" s="41" t="e">
        <v>#N/A</v>
      </c>
      <c r="AD16" s="39">
        <f t="shared" si="12"/>
        <v>0</v>
      </c>
      <c r="AE16" s="39">
        <v>0</v>
      </c>
      <c r="AF16" s="39">
        <v>-7.8439183333333302</v>
      </c>
      <c r="AG16" s="39">
        <v>0</v>
      </c>
    </row>
    <row r="17" spans="1:33" ht="15.75" customHeight="1" x14ac:dyDescent="0.2">
      <c r="A17" s="28" t="s">
        <v>55</v>
      </c>
      <c r="B17" s="28" t="s">
        <v>47</v>
      </c>
      <c r="C17" s="15">
        <f t="shared" si="4"/>
        <v>26.99</v>
      </c>
      <c r="D17" s="29">
        <v>2</v>
      </c>
      <c r="E17" s="29">
        <v>3</v>
      </c>
      <c r="F17" s="32">
        <v>53.98</v>
      </c>
      <c r="G17" s="30">
        <v>0</v>
      </c>
      <c r="H17" s="31">
        <f t="shared" si="1"/>
        <v>0</v>
      </c>
      <c r="I17" s="31">
        <f t="shared" si="2"/>
        <v>0.3464495014125602</v>
      </c>
      <c r="J17" s="32">
        <f t="shared" si="5"/>
        <v>18.70134408625</v>
      </c>
      <c r="K17" s="32">
        <f t="shared" si="3"/>
        <v>9.3506720431249999</v>
      </c>
      <c r="L17" s="29">
        <v>6</v>
      </c>
      <c r="M17" s="33">
        <f t="shared" si="6"/>
        <v>0.33333333333333331</v>
      </c>
      <c r="N17" s="29">
        <v>91</v>
      </c>
      <c r="O17" s="34">
        <f t="shared" ref="O17:P17" si="25">D17/7</f>
        <v>0.2857142857142857</v>
      </c>
      <c r="P17" s="34">
        <f t="shared" si="25"/>
        <v>0.42857142857142855</v>
      </c>
      <c r="Q17" s="29">
        <f t="shared" si="8"/>
        <v>127</v>
      </c>
      <c r="R17" s="29"/>
      <c r="S17" s="35">
        <v>0.66055045871559603</v>
      </c>
      <c r="T17" s="28">
        <v>108</v>
      </c>
      <c r="U17" s="36" t="s">
        <v>33</v>
      </c>
      <c r="V17" s="37" t="s">
        <v>33</v>
      </c>
      <c r="W17" s="28">
        <v>0</v>
      </c>
      <c r="X17" s="38">
        <f t="shared" si="9"/>
        <v>0</v>
      </c>
      <c r="Y17" s="39">
        <f t="shared" si="10"/>
        <v>0</v>
      </c>
      <c r="Z17" s="28">
        <v>0</v>
      </c>
      <c r="AA17" s="28" t="s">
        <v>34</v>
      </c>
      <c r="AB17" s="40">
        <f t="shared" si="11"/>
        <v>-0.69</v>
      </c>
      <c r="AC17" s="41">
        <v>7.957219097222222E-2</v>
      </c>
      <c r="AD17" s="39">
        <f t="shared" si="12"/>
        <v>-0.2196192470833333</v>
      </c>
      <c r="AE17" s="39">
        <v>-5.8</v>
      </c>
      <c r="AF17" s="39">
        <v>-7.6810183333333297</v>
      </c>
      <c r="AG17" s="39">
        <v>0</v>
      </c>
    </row>
    <row r="18" spans="1:33" ht="15.75" customHeight="1" x14ac:dyDescent="0.2">
      <c r="A18" s="28" t="s">
        <v>56</v>
      </c>
      <c r="B18" s="28" t="s">
        <v>47</v>
      </c>
      <c r="C18" s="15">
        <f t="shared" si="4"/>
        <v>26.99</v>
      </c>
      <c r="D18" s="29">
        <v>3</v>
      </c>
      <c r="E18" s="29">
        <v>0</v>
      </c>
      <c r="F18" s="32">
        <v>80.97</v>
      </c>
      <c r="G18" s="30">
        <v>-0.24</v>
      </c>
      <c r="H18" s="31">
        <f t="shared" si="1"/>
        <v>2.9640607632456465E-3</v>
      </c>
      <c r="I18" s="31">
        <f t="shared" si="2"/>
        <v>0.3434854406493148</v>
      </c>
      <c r="J18" s="32">
        <f t="shared" si="5"/>
        <v>27.812016129375017</v>
      </c>
      <c r="K18" s="32">
        <f t="shared" si="3"/>
        <v>9.2706720431250051</v>
      </c>
      <c r="L18" s="29">
        <v>12</v>
      </c>
      <c r="M18" s="33">
        <f t="shared" si="6"/>
        <v>0.25</v>
      </c>
      <c r="N18" s="29">
        <v>88</v>
      </c>
      <c r="O18" s="34">
        <f t="shared" ref="O18:P18" si="26">D18/7</f>
        <v>0.42857142857142855</v>
      </c>
      <c r="P18" s="34">
        <f t="shared" si="26"/>
        <v>0</v>
      </c>
      <c r="Q18" s="29">
        <f t="shared" si="8"/>
        <v>205</v>
      </c>
      <c r="R18" s="29"/>
      <c r="S18" s="35">
        <v>0.78431372549019596</v>
      </c>
      <c r="T18" s="28">
        <v>108</v>
      </c>
      <c r="U18" s="36" t="s">
        <v>33</v>
      </c>
      <c r="V18" s="37" t="s">
        <v>33</v>
      </c>
      <c r="W18" s="28">
        <v>0</v>
      </c>
      <c r="X18" s="38">
        <f t="shared" si="9"/>
        <v>0</v>
      </c>
      <c r="Y18" s="39">
        <f t="shared" si="10"/>
        <v>0</v>
      </c>
      <c r="Z18" s="28">
        <v>0</v>
      </c>
      <c r="AA18" s="28" t="s">
        <v>34</v>
      </c>
      <c r="AB18" s="40">
        <f t="shared" si="11"/>
        <v>-0.69</v>
      </c>
      <c r="AC18" s="41">
        <v>7.957219097222222E-2</v>
      </c>
      <c r="AD18" s="39">
        <f t="shared" si="12"/>
        <v>-0.32942887062499993</v>
      </c>
      <c r="AE18" s="39">
        <v>-5.8</v>
      </c>
      <c r="AF18" s="39">
        <v>-7.6810183333333297</v>
      </c>
      <c r="AG18" s="39">
        <v>0</v>
      </c>
    </row>
    <row r="19" spans="1:33" ht="15.75" customHeight="1" x14ac:dyDescent="0.2">
      <c r="A19" s="28" t="s">
        <v>57</v>
      </c>
      <c r="B19" s="28" t="s">
        <v>174</v>
      </c>
      <c r="C19" s="15">
        <f t="shared" si="4"/>
        <v>26.99</v>
      </c>
      <c r="D19" s="29">
        <v>2</v>
      </c>
      <c r="E19" s="29">
        <v>1</v>
      </c>
      <c r="F19" s="32">
        <v>53.98</v>
      </c>
      <c r="G19" s="30">
        <v>0</v>
      </c>
      <c r="H19" s="31">
        <f t="shared" si="1"/>
        <v>0</v>
      </c>
      <c r="I19" s="31">
        <f t="shared" si="2"/>
        <v>0.33357865109762874</v>
      </c>
      <c r="J19" s="32">
        <f t="shared" si="5"/>
        <v>18.006575586249998</v>
      </c>
      <c r="K19" s="32">
        <f t="shared" si="3"/>
        <v>9.0032877931249988</v>
      </c>
      <c r="L19" s="29">
        <v>26</v>
      </c>
      <c r="M19" s="33">
        <f t="shared" si="6"/>
        <v>7.6923076923076927E-2</v>
      </c>
      <c r="N19" s="29">
        <v>85</v>
      </c>
      <c r="O19" s="34">
        <f t="shared" ref="O19:P19" si="27">D19/7</f>
        <v>0.2857142857142857</v>
      </c>
      <c r="P19" s="34">
        <f t="shared" si="27"/>
        <v>0.14285714285714285</v>
      </c>
      <c r="Q19" s="29">
        <f t="shared" si="8"/>
        <v>198</v>
      </c>
      <c r="R19" s="29"/>
      <c r="S19" s="35">
        <v>0.73469387755102</v>
      </c>
      <c r="T19" s="28">
        <v>108</v>
      </c>
      <c r="U19" s="36" t="s">
        <v>33</v>
      </c>
      <c r="V19" s="37" t="s">
        <v>33</v>
      </c>
      <c r="W19" s="28">
        <v>0</v>
      </c>
      <c r="X19" s="38">
        <f t="shared" si="9"/>
        <v>0</v>
      </c>
      <c r="Y19" s="39">
        <f t="shared" si="10"/>
        <v>0</v>
      </c>
      <c r="Z19" s="28">
        <v>0</v>
      </c>
      <c r="AA19" s="28" t="s">
        <v>34</v>
      </c>
      <c r="AB19" s="40">
        <f t="shared" si="11"/>
        <v>-0.69</v>
      </c>
      <c r="AC19" s="41">
        <v>7.957219097222222E-2</v>
      </c>
      <c r="AD19" s="39">
        <f t="shared" si="12"/>
        <v>-0.2196192470833333</v>
      </c>
      <c r="AE19" s="39">
        <v>-5.8</v>
      </c>
      <c r="AF19" s="39">
        <v>-8.0284025833333335</v>
      </c>
      <c r="AG19" s="39">
        <v>0</v>
      </c>
    </row>
    <row r="20" spans="1:33" ht="15.75" customHeight="1" x14ac:dyDescent="0.2">
      <c r="A20" s="28" t="s">
        <v>58</v>
      </c>
      <c r="B20" s="28" t="s">
        <v>270</v>
      </c>
      <c r="C20" s="15">
        <f t="shared" si="4"/>
        <v>26.99</v>
      </c>
      <c r="D20" s="29">
        <v>1</v>
      </c>
      <c r="E20" s="29">
        <v>0</v>
      </c>
      <c r="F20" s="32">
        <v>26.99</v>
      </c>
      <c r="G20" s="30">
        <v>0</v>
      </c>
      <c r="H20" s="31">
        <f t="shared" si="1"/>
        <v>0</v>
      </c>
      <c r="I20" s="31">
        <f t="shared" si="2"/>
        <v>0.33357865109762874</v>
      </c>
      <c r="J20" s="32">
        <f t="shared" si="5"/>
        <v>9.0032877931249988</v>
      </c>
      <c r="K20" s="32">
        <f t="shared" si="3"/>
        <v>9.0032877931249988</v>
      </c>
      <c r="L20" s="29">
        <v>23</v>
      </c>
      <c r="M20" s="33">
        <f t="shared" si="6"/>
        <v>4.3478260869565216E-2</v>
      </c>
      <c r="N20" s="29">
        <v>84</v>
      </c>
      <c r="O20" s="34">
        <f t="shared" ref="O20:P20" si="28">D20/7</f>
        <v>0.14285714285714285</v>
      </c>
      <c r="P20" s="34">
        <f t="shared" si="28"/>
        <v>0</v>
      </c>
      <c r="Q20" s="29">
        <f t="shared" si="8"/>
        <v>588</v>
      </c>
      <c r="R20" s="29"/>
      <c r="S20" s="35">
        <v>0.64367816091954</v>
      </c>
      <c r="T20" s="28">
        <v>108</v>
      </c>
      <c r="U20" s="36" t="s">
        <v>33</v>
      </c>
      <c r="V20" s="37" t="s">
        <v>33</v>
      </c>
      <c r="W20" s="28">
        <v>0</v>
      </c>
      <c r="X20" s="38">
        <f t="shared" si="9"/>
        <v>0</v>
      </c>
      <c r="Y20" s="39">
        <f t="shared" si="10"/>
        <v>0</v>
      </c>
      <c r="Z20" s="28">
        <v>0</v>
      </c>
      <c r="AA20" s="28" t="s">
        <v>34</v>
      </c>
      <c r="AB20" s="40">
        <f t="shared" si="11"/>
        <v>-0.69</v>
      </c>
      <c r="AC20" s="41">
        <v>7.957219097222222E-2</v>
      </c>
      <c r="AD20" s="39">
        <f t="shared" si="12"/>
        <v>-0.10980962354166665</v>
      </c>
      <c r="AE20" s="39">
        <v>-5.8</v>
      </c>
      <c r="AF20" s="39">
        <v>-8.0284025833333335</v>
      </c>
      <c r="AG20" s="39">
        <v>0</v>
      </c>
    </row>
    <row r="21" spans="1:33" ht="15.75" customHeight="1" x14ac:dyDescent="0.2">
      <c r="A21" s="28" t="s">
        <v>59</v>
      </c>
      <c r="B21" s="28" t="s">
        <v>753</v>
      </c>
      <c r="C21" s="15">
        <f t="shared" si="4"/>
        <v>25.4</v>
      </c>
      <c r="D21" s="29">
        <v>2</v>
      </c>
      <c r="E21" s="29">
        <v>0</v>
      </c>
      <c r="F21" s="32">
        <v>50.8</v>
      </c>
      <c r="G21" s="30">
        <v>0</v>
      </c>
      <c r="H21" s="31">
        <f t="shared" si="1"/>
        <v>0</v>
      </c>
      <c r="I21" s="31">
        <f t="shared" si="2"/>
        <v>0.30125148791830708</v>
      </c>
      <c r="J21" s="32">
        <f t="shared" si="5"/>
        <v>15.30357558625</v>
      </c>
      <c r="K21" s="32">
        <f t="shared" si="3"/>
        <v>7.651787793125</v>
      </c>
      <c r="L21" s="29">
        <v>6</v>
      </c>
      <c r="M21" s="33">
        <f t="shared" si="6"/>
        <v>0.33333333333333331</v>
      </c>
      <c r="N21" s="29">
        <v>82</v>
      </c>
      <c r="O21" s="34">
        <f t="shared" ref="O21:P21" si="29">D21/7</f>
        <v>0.2857142857142857</v>
      </c>
      <c r="P21" s="34">
        <f t="shared" si="29"/>
        <v>0</v>
      </c>
      <c r="Q21" s="29">
        <f t="shared" si="8"/>
        <v>287</v>
      </c>
      <c r="R21" s="29"/>
      <c r="S21" s="35">
        <v>0.33519553072625602</v>
      </c>
      <c r="T21" s="28">
        <v>108</v>
      </c>
      <c r="U21" s="36" t="s">
        <v>33</v>
      </c>
      <c r="V21" s="37" t="s">
        <v>33</v>
      </c>
      <c r="W21" s="28">
        <v>0</v>
      </c>
      <c r="X21" s="38">
        <f t="shared" si="9"/>
        <v>0</v>
      </c>
      <c r="Y21" s="39">
        <f t="shared" si="10"/>
        <v>0</v>
      </c>
      <c r="Z21" s="28">
        <v>0</v>
      </c>
      <c r="AA21" s="28" t="s">
        <v>34</v>
      </c>
      <c r="AB21" s="40">
        <f t="shared" si="11"/>
        <v>-0.69</v>
      </c>
      <c r="AC21" s="41">
        <v>7.957219097222222E-2</v>
      </c>
      <c r="AD21" s="39">
        <f t="shared" si="12"/>
        <v>-0.2196192470833333</v>
      </c>
      <c r="AE21" s="39">
        <v>-5.8</v>
      </c>
      <c r="AF21" s="39">
        <v>-8.0284025833333335</v>
      </c>
      <c r="AG21" s="39">
        <v>0</v>
      </c>
    </row>
    <row r="22" spans="1:33" ht="15.75" customHeight="1" x14ac:dyDescent="0.2">
      <c r="A22" s="28" t="s">
        <v>60</v>
      </c>
      <c r="B22" s="28" t="s">
        <v>754</v>
      </c>
      <c r="C22" s="15">
        <f t="shared" si="4"/>
        <v>23.99</v>
      </c>
      <c r="D22" s="29">
        <v>1</v>
      </c>
      <c r="E22" s="29">
        <v>0</v>
      </c>
      <c r="F22" s="30">
        <v>23.99</v>
      </c>
      <c r="G22" s="30">
        <v>-0.08</v>
      </c>
      <c r="H22" s="31">
        <f t="shared" si="1"/>
        <v>3.3347228011671531E-3</v>
      </c>
      <c r="I22" s="31">
        <f t="shared" si="2"/>
        <v>0.26566435152667778</v>
      </c>
      <c r="J22" s="32">
        <f t="shared" si="5"/>
        <v>6.3732877931249989</v>
      </c>
      <c r="K22" s="32">
        <f t="shared" si="3"/>
        <v>6.3732877931249989</v>
      </c>
      <c r="L22" s="29">
        <v>25</v>
      </c>
      <c r="M22" s="33">
        <f t="shared" si="6"/>
        <v>0.04</v>
      </c>
      <c r="N22" s="29">
        <v>81</v>
      </c>
      <c r="O22" s="34">
        <f t="shared" ref="O22:P22" si="30">D22/7</f>
        <v>0.14285714285714285</v>
      </c>
      <c r="P22" s="34">
        <f t="shared" si="30"/>
        <v>0</v>
      </c>
      <c r="Q22" s="29">
        <f t="shared" si="8"/>
        <v>567</v>
      </c>
      <c r="R22" s="29"/>
      <c r="S22" s="35">
        <v>0.372093023255813</v>
      </c>
      <c r="T22" s="28">
        <v>108</v>
      </c>
      <c r="U22" s="36" t="s">
        <v>33</v>
      </c>
      <c r="V22" s="37" t="s">
        <v>33</v>
      </c>
      <c r="W22" s="28">
        <v>0</v>
      </c>
      <c r="X22" s="38">
        <f t="shared" si="9"/>
        <v>0</v>
      </c>
      <c r="Y22" s="39">
        <f t="shared" si="10"/>
        <v>0</v>
      </c>
      <c r="Z22" s="28">
        <v>0</v>
      </c>
      <c r="AA22" s="28" t="s">
        <v>34</v>
      </c>
      <c r="AB22" s="40">
        <f t="shared" si="11"/>
        <v>-0.69</v>
      </c>
      <c r="AC22" s="41">
        <v>7.957219097222222E-2</v>
      </c>
      <c r="AD22" s="39">
        <f t="shared" si="12"/>
        <v>-0.10980962354166665</v>
      </c>
      <c r="AE22" s="39">
        <v>-5.8</v>
      </c>
      <c r="AF22" s="39">
        <v>-8.0284025833333335</v>
      </c>
      <c r="AG22" s="39">
        <v>0</v>
      </c>
    </row>
    <row r="23" spans="1:33" ht="15.75" customHeight="1" x14ac:dyDescent="0.2">
      <c r="A23" s="28" t="s">
        <v>62</v>
      </c>
      <c r="B23" s="28" t="s">
        <v>755</v>
      </c>
      <c r="C23" s="15">
        <f t="shared" si="4"/>
        <v>22.99</v>
      </c>
      <c r="D23" s="29">
        <v>6</v>
      </c>
      <c r="E23" s="29">
        <v>1</v>
      </c>
      <c r="F23" s="32">
        <v>137.94</v>
      </c>
      <c r="G23" s="30">
        <v>-0.11</v>
      </c>
      <c r="H23" s="31">
        <f t="shared" si="1"/>
        <v>7.9744816586921851E-4</v>
      </c>
      <c r="I23" s="31">
        <f t="shared" si="2"/>
        <v>0.24292972856858047</v>
      </c>
      <c r="J23" s="32">
        <f t="shared" si="5"/>
        <v>33.509726758749991</v>
      </c>
      <c r="K23" s="32">
        <f t="shared" si="3"/>
        <v>5.5849544597916649</v>
      </c>
      <c r="L23" s="29">
        <v>32</v>
      </c>
      <c r="M23" s="33">
        <f t="shared" si="6"/>
        <v>0.1875</v>
      </c>
      <c r="N23" s="29">
        <v>75</v>
      </c>
      <c r="O23" s="34">
        <f t="shared" ref="O23:P23" si="31">D23/7</f>
        <v>0.8571428571428571</v>
      </c>
      <c r="P23" s="34">
        <f t="shared" si="31"/>
        <v>0.14285714285714285</v>
      </c>
      <c r="Q23" s="29">
        <f t="shared" si="8"/>
        <v>75</v>
      </c>
      <c r="R23" s="29"/>
      <c r="S23" s="35">
        <v>0.40251572327044</v>
      </c>
      <c r="T23" s="28">
        <v>108</v>
      </c>
      <c r="U23" s="36" t="s">
        <v>33</v>
      </c>
      <c r="V23" s="37" t="s">
        <v>33</v>
      </c>
      <c r="W23" s="28">
        <v>0</v>
      </c>
      <c r="X23" s="38">
        <f t="shared" si="9"/>
        <v>0</v>
      </c>
      <c r="Y23" s="39">
        <f t="shared" si="10"/>
        <v>0</v>
      </c>
      <c r="Z23" s="28">
        <v>0</v>
      </c>
      <c r="AA23" s="28" t="s">
        <v>34</v>
      </c>
      <c r="AB23" s="40">
        <f t="shared" si="11"/>
        <v>-0.69</v>
      </c>
      <c r="AC23" s="41">
        <v>7.957219097222222E-2</v>
      </c>
      <c r="AD23" s="39">
        <f t="shared" si="12"/>
        <v>-0.65885774124999985</v>
      </c>
      <c r="AE23" s="39">
        <v>-5.8</v>
      </c>
      <c r="AF23" s="39">
        <v>-8.0284025833333335</v>
      </c>
      <c r="AG23" s="39">
        <v>0</v>
      </c>
    </row>
    <row r="24" spans="1:33" ht="15.75" customHeight="1" x14ac:dyDescent="0.2">
      <c r="A24" s="28" t="s">
        <v>64</v>
      </c>
      <c r="B24" s="28" t="s">
        <v>755</v>
      </c>
      <c r="C24" s="15">
        <f t="shared" si="4"/>
        <v>22.990000000000002</v>
      </c>
      <c r="D24" s="29">
        <v>7</v>
      </c>
      <c r="E24" s="29">
        <v>1</v>
      </c>
      <c r="F24" s="32">
        <v>160.93</v>
      </c>
      <c r="G24" s="32">
        <v>0</v>
      </c>
      <c r="H24" s="31">
        <f t="shared" si="1"/>
        <v>0</v>
      </c>
      <c r="I24" s="31">
        <f t="shared" si="2"/>
        <v>0.24372717673444977</v>
      </c>
      <c r="J24" s="32">
        <f t="shared" si="5"/>
        <v>39.223014551875004</v>
      </c>
      <c r="K24" s="32">
        <f t="shared" si="3"/>
        <v>5.6032877931250002</v>
      </c>
      <c r="L24" s="29">
        <v>15</v>
      </c>
      <c r="M24" s="33">
        <f t="shared" si="6"/>
        <v>0.46666666666666667</v>
      </c>
      <c r="N24" s="29">
        <v>68</v>
      </c>
      <c r="O24" s="34">
        <f t="shared" ref="O24:P24" si="32">D24/7</f>
        <v>1</v>
      </c>
      <c r="P24" s="34">
        <f t="shared" si="32"/>
        <v>0.14285714285714285</v>
      </c>
      <c r="Q24" s="29">
        <f t="shared" si="8"/>
        <v>59</v>
      </c>
      <c r="R24" s="29"/>
      <c r="S24" s="35">
        <v>0.632911392405063</v>
      </c>
      <c r="T24" s="28">
        <v>108</v>
      </c>
      <c r="U24" s="36" t="s">
        <v>33</v>
      </c>
      <c r="V24" s="37" t="s">
        <v>33</v>
      </c>
      <c r="W24" s="28">
        <v>0</v>
      </c>
      <c r="X24" s="38">
        <f t="shared" si="9"/>
        <v>0</v>
      </c>
      <c r="Y24" s="39">
        <f t="shared" si="10"/>
        <v>0</v>
      </c>
      <c r="Z24" s="28">
        <v>0</v>
      </c>
      <c r="AA24" s="28" t="s">
        <v>34</v>
      </c>
      <c r="AB24" s="40">
        <f t="shared" si="11"/>
        <v>-0.69</v>
      </c>
      <c r="AC24" s="41">
        <v>7.957219097222222E-2</v>
      </c>
      <c r="AD24" s="39">
        <f t="shared" si="12"/>
        <v>-0.76866736479166653</v>
      </c>
      <c r="AE24" s="39">
        <v>-5.8</v>
      </c>
      <c r="AF24" s="39">
        <v>-8.0284025833333335</v>
      </c>
      <c r="AG24" s="39">
        <v>0</v>
      </c>
    </row>
    <row r="25" spans="1:33" ht="15.75" customHeight="1" x14ac:dyDescent="0.2">
      <c r="A25" s="28" t="s">
        <v>65</v>
      </c>
      <c r="B25" s="14" t="s">
        <v>756</v>
      </c>
      <c r="C25" s="15">
        <f t="shared" si="4"/>
        <v>22.990000000000002</v>
      </c>
      <c r="D25" s="29">
        <v>20</v>
      </c>
      <c r="E25" s="29">
        <v>1</v>
      </c>
      <c r="F25" s="32">
        <v>459.8</v>
      </c>
      <c r="G25" s="32">
        <v>0</v>
      </c>
      <c r="H25" s="31">
        <f t="shared" si="1"/>
        <v>0</v>
      </c>
      <c r="I25" s="31">
        <f t="shared" si="2"/>
        <v>0.24365769362585221</v>
      </c>
      <c r="J25" s="32">
        <f t="shared" si="5"/>
        <v>112.03380752916685</v>
      </c>
      <c r="K25" s="32">
        <f t="shared" si="3"/>
        <v>5.6016903764583423</v>
      </c>
      <c r="L25" s="29">
        <v>51</v>
      </c>
      <c r="M25" s="33">
        <f t="shared" si="6"/>
        <v>0.39215686274509803</v>
      </c>
      <c r="N25" s="29">
        <v>44</v>
      </c>
      <c r="O25" s="34">
        <f t="shared" ref="O25:P25" si="33">D25/7</f>
        <v>2.8571428571428572</v>
      </c>
      <c r="P25" s="34">
        <f t="shared" si="33"/>
        <v>0.14285714285714285</v>
      </c>
      <c r="Q25" s="29">
        <f t="shared" si="8"/>
        <v>14</v>
      </c>
      <c r="R25" s="29"/>
      <c r="S25" s="35">
        <v>0.8</v>
      </c>
      <c r="T25" s="28">
        <v>108</v>
      </c>
      <c r="U25" s="36" t="s">
        <v>33</v>
      </c>
      <c r="V25" s="37" t="s">
        <v>33</v>
      </c>
      <c r="W25" s="14">
        <v>0</v>
      </c>
      <c r="X25" s="38">
        <f t="shared" si="9"/>
        <v>0</v>
      </c>
      <c r="Y25" s="39">
        <f t="shared" si="10"/>
        <v>0</v>
      </c>
      <c r="Z25" s="14">
        <v>0</v>
      </c>
      <c r="AA25" s="28" t="s">
        <v>34</v>
      </c>
      <c r="AB25" s="40">
        <f t="shared" si="11"/>
        <v>-0.69</v>
      </c>
      <c r="AC25" s="41">
        <v>7.957219097222222E-2</v>
      </c>
      <c r="AD25" s="39">
        <f t="shared" si="12"/>
        <v>-2.1961924708333331</v>
      </c>
      <c r="AE25" s="39">
        <v>-5.8</v>
      </c>
      <c r="AF25" s="39">
        <v>-8.0299999999999905</v>
      </c>
      <c r="AG25" s="39">
        <v>0</v>
      </c>
    </row>
    <row r="26" spans="1:33" ht="15.75" customHeight="1" x14ac:dyDescent="0.2">
      <c r="A26" s="14" t="s">
        <v>67</v>
      </c>
      <c r="B26" s="14" t="s">
        <v>47</v>
      </c>
      <c r="C26" s="15">
        <f t="shared" si="4"/>
        <v>22.99</v>
      </c>
      <c r="D26" s="16">
        <v>12</v>
      </c>
      <c r="E26" s="16">
        <v>1</v>
      </c>
      <c r="F26" s="17">
        <v>275.88</v>
      </c>
      <c r="G26" s="17">
        <v>-0.08</v>
      </c>
      <c r="H26" s="31">
        <f t="shared" si="1"/>
        <v>2.8998115122517038E-4</v>
      </c>
      <c r="I26" s="31">
        <f t="shared" si="2"/>
        <v>0.23401280816840642</v>
      </c>
      <c r="J26" s="32">
        <f t="shared" si="5"/>
        <v>64.559453517499961</v>
      </c>
      <c r="K26" s="32">
        <f t="shared" si="3"/>
        <v>5.3799544597916631</v>
      </c>
      <c r="L26" s="16">
        <v>42</v>
      </c>
      <c r="M26" s="33">
        <f t="shared" si="6"/>
        <v>0.2857142857142857</v>
      </c>
      <c r="N26" s="16">
        <v>33</v>
      </c>
      <c r="O26" s="34">
        <f t="shared" ref="O26:P26" si="34">D26/7</f>
        <v>1.7142857142857142</v>
      </c>
      <c r="P26" s="34">
        <f t="shared" si="34"/>
        <v>0.14285714285714285</v>
      </c>
      <c r="Q26" s="29">
        <f t="shared" si="8"/>
        <v>17</v>
      </c>
      <c r="R26" s="29"/>
      <c r="S26" s="21">
        <v>1.1184834123222751</v>
      </c>
      <c r="T26" s="28">
        <v>108</v>
      </c>
      <c r="U26" s="36" t="s">
        <v>33</v>
      </c>
      <c r="V26" s="37" t="s">
        <v>33</v>
      </c>
      <c r="W26" s="14">
        <v>0</v>
      </c>
      <c r="X26" s="38">
        <f t="shared" si="9"/>
        <v>0</v>
      </c>
      <c r="Y26" s="39">
        <f t="shared" si="10"/>
        <v>0</v>
      </c>
      <c r="Z26" s="14">
        <v>0</v>
      </c>
      <c r="AA26" s="28" t="s">
        <v>34</v>
      </c>
      <c r="AB26" s="40">
        <f t="shared" si="11"/>
        <v>-0.69</v>
      </c>
      <c r="AC26" s="41">
        <v>7.957219097222222E-2</v>
      </c>
      <c r="AD26" s="39">
        <f t="shared" si="12"/>
        <v>-1.3177154824999997</v>
      </c>
      <c r="AE26" s="25">
        <v>-5.98</v>
      </c>
      <c r="AF26" s="25">
        <v>-8.0650692500000005</v>
      </c>
      <c r="AG26" s="25">
        <v>0</v>
      </c>
    </row>
    <row r="27" spans="1:33" ht="15.75" customHeight="1" x14ac:dyDescent="0.2">
      <c r="A27" s="14" t="s">
        <v>69</v>
      </c>
      <c r="B27" s="14" t="s">
        <v>150</v>
      </c>
      <c r="C27" s="15">
        <f t="shared" si="4"/>
        <v>23.009999999999998</v>
      </c>
      <c r="D27" s="16">
        <v>20</v>
      </c>
      <c r="E27" s="16">
        <v>1</v>
      </c>
      <c r="F27" s="17">
        <v>460.2</v>
      </c>
      <c r="G27" s="17">
        <v>-0.14000000000000001</v>
      </c>
      <c r="H27" s="31">
        <f t="shared" si="1"/>
        <v>3.0421555845284662E-4</v>
      </c>
      <c r="I27" s="31">
        <f t="shared" si="2"/>
        <v>0.25122433911886144</v>
      </c>
      <c r="J27" s="32">
        <f t="shared" si="5"/>
        <v>115.61344086250003</v>
      </c>
      <c r="K27" s="32">
        <f t="shared" si="3"/>
        <v>5.7806720431250014</v>
      </c>
      <c r="L27" s="16">
        <v>47</v>
      </c>
      <c r="M27" s="33">
        <f t="shared" si="6"/>
        <v>0.42553191489361702</v>
      </c>
      <c r="N27" s="16">
        <v>13</v>
      </c>
      <c r="O27" s="34">
        <f t="shared" ref="O27:P27" si="35">D27/7</f>
        <v>2.8571428571428572</v>
      </c>
      <c r="P27" s="34">
        <f t="shared" si="35"/>
        <v>0.14285714285714285</v>
      </c>
      <c r="Q27" s="29">
        <f t="shared" si="8"/>
        <v>4</v>
      </c>
      <c r="R27" s="29"/>
      <c r="S27" s="21">
        <v>1.895953757225433</v>
      </c>
      <c r="T27" s="28">
        <v>108</v>
      </c>
      <c r="U27" s="36" t="s">
        <v>33</v>
      </c>
      <c r="V27" s="37" t="s">
        <v>33</v>
      </c>
      <c r="W27" s="14">
        <v>0</v>
      </c>
      <c r="X27" s="38">
        <f t="shared" si="9"/>
        <v>0</v>
      </c>
      <c r="Y27" s="39">
        <f t="shared" si="10"/>
        <v>0</v>
      </c>
      <c r="Z27" s="14">
        <v>0</v>
      </c>
      <c r="AA27" s="28" t="s">
        <v>34</v>
      </c>
      <c r="AB27" s="40">
        <f t="shared" si="11"/>
        <v>-0.69</v>
      </c>
      <c r="AC27" s="41">
        <v>7.957219097222222E-2</v>
      </c>
      <c r="AD27" s="39">
        <f t="shared" si="12"/>
        <v>-2.1961924708333331</v>
      </c>
      <c r="AE27" s="25">
        <v>-5.98</v>
      </c>
      <c r="AF27" s="25">
        <v>-7.6810183333333297</v>
      </c>
      <c r="AG27" s="25">
        <v>0</v>
      </c>
    </row>
    <row r="28" spans="1:33" ht="15.75" customHeight="1" x14ac:dyDescent="0.2">
      <c r="A28" s="14" t="s">
        <v>71</v>
      </c>
      <c r="B28" s="14" t="s">
        <v>52</v>
      </c>
      <c r="C28" s="15">
        <f t="shared" si="4"/>
        <v>22.99</v>
      </c>
      <c r="D28" s="16">
        <v>12</v>
      </c>
      <c r="E28" s="16">
        <v>0</v>
      </c>
      <c r="F28" s="17">
        <v>275.88</v>
      </c>
      <c r="G28" s="17">
        <v>-0.12</v>
      </c>
      <c r="H28" s="31">
        <f t="shared" si="1"/>
        <v>4.3497172683775554E-4</v>
      </c>
      <c r="I28" s="31">
        <f t="shared" si="2"/>
        <v>0.25057294663440632</v>
      </c>
      <c r="J28" s="32">
        <f t="shared" si="5"/>
        <v>69.128064517500022</v>
      </c>
      <c r="K28" s="32">
        <f t="shared" si="3"/>
        <v>5.7606720431250018</v>
      </c>
      <c r="L28" s="16">
        <v>45</v>
      </c>
      <c r="M28" s="33">
        <f t="shared" si="6"/>
        <v>0.26666666666666666</v>
      </c>
      <c r="N28" s="16">
        <v>0</v>
      </c>
      <c r="O28" s="34">
        <f t="shared" ref="O28:P28" si="36">D28/7</f>
        <v>1.7142857142857142</v>
      </c>
      <c r="P28" s="34">
        <f t="shared" si="36"/>
        <v>0</v>
      </c>
      <c r="Q28" s="29">
        <f t="shared" si="8"/>
        <v>0</v>
      </c>
      <c r="R28" s="29"/>
      <c r="S28" s="21">
        <v>2.257668711656442</v>
      </c>
      <c r="T28" s="28">
        <v>108</v>
      </c>
      <c r="U28" s="36" t="s">
        <v>33</v>
      </c>
      <c r="V28" s="37" t="s">
        <v>33</v>
      </c>
      <c r="W28" s="14">
        <v>0</v>
      </c>
      <c r="X28" s="38">
        <f t="shared" si="9"/>
        <v>0</v>
      </c>
      <c r="Y28" s="39">
        <f t="shared" si="10"/>
        <v>0</v>
      </c>
      <c r="Z28" s="14">
        <v>0</v>
      </c>
      <c r="AA28" s="28" t="s">
        <v>34</v>
      </c>
      <c r="AB28" s="40">
        <f t="shared" si="11"/>
        <v>-0.69</v>
      </c>
      <c r="AC28" s="41">
        <v>7.957219097222222E-2</v>
      </c>
      <c r="AD28" s="39">
        <f t="shared" si="12"/>
        <v>-1.3177154824999997</v>
      </c>
      <c r="AE28" s="25">
        <v>-5.98</v>
      </c>
      <c r="AF28" s="25">
        <v>-7.6810183333333297</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168</v>
      </c>
      <c r="U29" s="36">
        <v>60</v>
      </c>
      <c r="V29" s="37" t="s">
        <v>757</v>
      </c>
      <c r="W29" s="14">
        <v>0</v>
      </c>
      <c r="X29" s="38">
        <f t="shared" si="9"/>
        <v>0</v>
      </c>
      <c r="Y29" s="39">
        <f t="shared" si="10"/>
        <v>0</v>
      </c>
      <c r="Z29" s="14">
        <v>0</v>
      </c>
      <c r="AA29" s="28" t="s">
        <v>34</v>
      </c>
      <c r="AB29" s="40">
        <f t="shared" si="11"/>
        <v>-0.69</v>
      </c>
      <c r="AC29" s="41">
        <v>7.957219097222222E-2</v>
      </c>
      <c r="AD29" s="39">
        <f t="shared" si="12"/>
        <v>0</v>
      </c>
      <c r="AE29" s="39">
        <v>-5.98</v>
      </c>
      <c r="AF29" s="25">
        <v>-7.6810183333333297</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168</v>
      </c>
      <c r="U30" s="36">
        <v>60</v>
      </c>
      <c r="V30" s="37" t="s">
        <v>757</v>
      </c>
      <c r="W30" s="14">
        <v>0</v>
      </c>
      <c r="X30" s="38">
        <f t="shared" si="9"/>
        <v>0</v>
      </c>
      <c r="Y30" s="39">
        <f t="shared" si="10"/>
        <v>0</v>
      </c>
      <c r="Z30" s="14">
        <v>0</v>
      </c>
      <c r="AA30" s="28" t="s">
        <v>34</v>
      </c>
      <c r="AB30" s="40">
        <f t="shared" si="11"/>
        <v>-0.69</v>
      </c>
      <c r="AC30" s="41">
        <v>7.957219097222222E-2</v>
      </c>
      <c r="AD30" s="39">
        <f t="shared" si="12"/>
        <v>0</v>
      </c>
      <c r="AE30" s="25">
        <v>-5.98</v>
      </c>
      <c r="AF30" s="25">
        <v>-7.2081579399999898</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0</v>
      </c>
      <c r="O31" s="34">
        <f t="shared" ref="O31:P32" si="39">D31/7</f>
        <v>0</v>
      </c>
      <c r="P31" s="34">
        <f t="shared" si="39"/>
        <v>0</v>
      </c>
      <c r="Q31" s="29" t="e">
        <f t="shared" si="8"/>
        <v>#DIV/0!</v>
      </c>
      <c r="R31" s="29"/>
      <c r="S31" s="21" t="e">
        <v>#N/A</v>
      </c>
      <c r="T31" s="14">
        <v>48</v>
      </c>
      <c r="U31" s="22">
        <v>60</v>
      </c>
      <c r="V31" s="1" t="s">
        <v>943</v>
      </c>
      <c r="W31" s="14">
        <v>0</v>
      </c>
      <c r="X31" s="38">
        <f t="shared" si="9"/>
        <v>0</v>
      </c>
      <c r="Y31" s="39">
        <f t="shared" si="10"/>
        <v>0</v>
      </c>
      <c r="Z31" s="14">
        <v>0</v>
      </c>
      <c r="AA31" s="14" t="s">
        <v>34</v>
      </c>
      <c r="AB31" s="40">
        <f t="shared" si="11"/>
        <v>-0.69</v>
      </c>
      <c r="AC31" s="27">
        <v>7.957219097222222E-2</v>
      </c>
      <c r="AD31" s="39">
        <f t="shared" si="12"/>
        <v>0</v>
      </c>
      <c r="AE31" s="43">
        <v>-5.98</v>
      </c>
      <c r="AF31" s="43">
        <v>-7.2081579399999995</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0</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7.957219097222222E-2</v>
      </c>
      <c r="AD32" s="39">
        <f t="shared" si="12"/>
        <v>0</v>
      </c>
      <c r="AE32" s="58">
        <v>-5.98</v>
      </c>
      <c r="AF32" s="58">
        <v>-7.2081579399999898</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40.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Info!B1:BJ5000""),3,FALSE),"""")"),"18 Gauge Automotive Wire - 10 Roll Assortment Pack -100 Ft of Copper Clad Aluminum Primary Wire per Roll")</f>
        <v>18 Gauge Automotive Wire - 10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Info!B1:BJ5000""),2,FALSE),"""")"),"B07QFXQX7W")</f>
        <v>B07QFXQX7W</v>
      </c>
      <c r="B2" s="49" t="s">
        <v>758</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97.5" customHeight="1" x14ac:dyDescent="0.2">
      <c r="A3" s="76" t="s">
        <v>30</v>
      </c>
      <c r="B3" s="77"/>
      <c r="C3" s="47">
        <f>((AE32+AF32)/0.85)*-1</f>
        <v>18.907898522058822</v>
      </c>
      <c r="D3" s="5">
        <f>SUM(D4:D99634)</f>
        <v>398</v>
      </c>
      <c r="E3" s="5"/>
      <c r="F3" s="6">
        <f t="shared" ref="F3:G3" si="0">SUM(F4:F99634)</f>
        <v>16875.03</v>
      </c>
      <c r="G3" s="6">
        <f t="shared" si="0"/>
        <v>-1.9300000000000004</v>
      </c>
      <c r="H3" s="7">
        <f t="shared" ref="H3:H32" si="1">G3/F3*-1</f>
        <v>1.1437016704562899E-4</v>
      </c>
      <c r="I3" s="8">
        <f t="shared" ref="I3:I32" si="2">J3/F3</f>
        <v>0.43501574702662149</v>
      </c>
      <c r="J3" s="6">
        <f>SUM(J4:J99634)</f>
        <v>7340.9037815466481</v>
      </c>
      <c r="K3" s="6">
        <f t="shared" ref="K3:K32" si="3">J3/D3</f>
        <v>18.444481863182531</v>
      </c>
      <c r="L3" s="5"/>
      <c r="M3" s="9"/>
      <c r="N3" s="10"/>
      <c r="O3" s="5" t="str">
        <f ca="1">IFERROR(__xludf.DUMMYFUNCTION("IFERROR(VLOOKUP(B2,IMPORTRANGE(""https://docs.google.com/spreadsheets/d/1N8jvpEHDVkurDv7NrPxwI3eH6hQsvtb1QltGNCalRjU/edit#gid=865736387"",""Compiled Sheet!a1:g5000""),2,FALSE),"""")"),"3 - March
3 - April
5.5 - May
5.5 - June
4.5 - July
4.5 - Aug
4.5 - Sept
4.5 - Oct
3 - Nov
3 - Dec
4 - Jan
4 - Feb")</f>
        <v>3 - March
3 - April
5.5 - May
5.5 - June
4.5 - July
4.5 - Aug
4.5 - Sept
4.5 - Oct
3 - Nov
3 - Dec
4 - Jan
4 -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1</v>
      </c>
      <c r="X3" s="7">
        <f>W3/D3</f>
        <v>2.5125628140703518E-3</v>
      </c>
      <c r="Y3" s="6"/>
      <c r="Z3" s="5"/>
      <c r="AA3" s="5"/>
      <c r="AB3" s="5"/>
      <c r="AC3" s="5"/>
      <c r="AD3" s="6">
        <f>SUM(AD4:AD99634)</f>
        <v>-81.056544703352316</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Info!B2:BZ7000""),37,FALSE)),"""")*-1"),-9.79171374375)</f>
        <v>-9.7917137437499999</v>
      </c>
      <c r="AG3" s="6">
        <f>SUM(AG4:AG99634)</f>
        <v>0</v>
      </c>
    </row>
    <row r="4" spans="1:33" ht="15.75" customHeight="1" x14ac:dyDescent="0.2">
      <c r="A4" s="14" t="s">
        <v>31</v>
      </c>
      <c r="B4" s="14" t="s">
        <v>759</v>
      </c>
      <c r="C4" s="15">
        <f t="shared" ref="C4:C32" si="4">IFERROR(F4/D4," - ")</f>
        <v>39.858717948717945</v>
      </c>
      <c r="D4" s="16">
        <v>39</v>
      </c>
      <c r="E4" s="16">
        <v>0</v>
      </c>
      <c r="F4" s="17">
        <v>1554.49</v>
      </c>
      <c r="G4" s="17">
        <v>-0.38000000000000006</v>
      </c>
      <c r="H4" s="18">
        <f t="shared" si="1"/>
        <v>2.4445316470353624E-4</v>
      </c>
      <c r="I4" s="18">
        <f t="shared" si="2"/>
        <v>0.41665454016805076</v>
      </c>
      <c r="J4" s="17">
        <f t="shared" ref="J4:J32" si="5">F4*0.85+G4+AF4*D4+D4*AE4+AG4+AD4</f>
        <v>647.68531614583321</v>
      </c>
      <c r="K4" s="17">
        <f t="shared" si="3"/>
        <v>16.607315798611108</v>
      </c>
      <c r="L4" s="16">
        <v>76</v>
      </c>
      <c r="M4" s="19">
        <f t="shared" ref="M4:M32" si="6">IFERROR(D4/L4,"-")</f>
        <v>0.51315789473684215</v>
      </c>
      <c r="N4" s="16">
        <v>63</v>
      </c>
      <c r="O4" s="20">
        <f t="shared" ref="O4:P4" si="7">D4/7</f>
        <v>5.5714285714285712</v>
      </c>
      <c r="P4" s="20">
        <f t="shared" si="7"/>
        <v>0</v>
      </c>
      <c r="Q4" s="16">
        <f t="shared" ref="Q4:Q32" si="8">ROUNDDOWN(N4/(O4+P4),0)</f>
        <v>11</v>
      </c>
      <c r="R4" s="16"/>
      <c r="S4" s="21">
        <v>1.5536028119507901</v>
      </c>
      <c r="T4" s="14">
        <v>312</v>
      </c>
      <c r="U4" s="22" t="s">
        <v>33</v>
      </c>
      <c r="V4" s="23" t="s">
        <v>33</v>
      </c>
      <c r="W4" s="14">
        <v>1</v>
      </c>
      <c r="X4" s="24">
        <f t="shared" ref="X4:X32" si="9">IFERROR(W4/D4,0)</f>
        <v>2.564102564102564E-2</v>
      </c>
      <c r="Y4" s="25">
        <f t="shared" ref="Y4:Y32" si="10">IFERROR(G4/(W4+Z4)*-1,0)</f>
        <v>0.38000000000000006</v>
      </c>
      <c r="Z4" s="14">
        <v>0</v>
      </c>
      <c r="AA4" s="2" t="s">
        <v>34</v>
      </c>
      <c r="AB4" s="26">
        <f t="shared" ref="AB4:AB32" si="11">IF(OR(AA4="UsLargeStandardSize",AA4="UsSmallStandardSize"),-0.69,-0.48)</f>
        <v>-0.69</v>
      </c>
      <c r="AC4" s="27">
        <v>0.14755497685185187</v>
      </c>
      <c r="AD4" s="25">
        <f t="shared" ref="AD4:AD32" si="12">IFERROR(AB4*AC4*D4*2,0)</f>
        <v>-7.9414088541666672</v>
      </c>
      <c r="AE4" s="25">
        <v>-6.56</v>
      </c>
      <c r="AF4" s="25">
        <v>-10.499225000000001</v>
      </c>
      <c r="AG4" s="25">
        <v>0</v>
      </c>
    </row>
    <row r="5" spans="1:33" ht="15.75" customHeight="1" x14ac:dyDescent="0.2">
      <c r="A5" s="28" t="s">
        <v>35</v>
      </c>
      <c r="B5" s="28" t="s">
        <v>47</v>
      </c>
      <c r="C5" s="15">
        <f t="shared" si="4"/>
        <v>39.993030303030302</v>
      </c>
      <c r="D5" s="29">
        <v>33</v>
      </c>
      <c r="E5" s="29">
        <v>0</v>
      </c>
      <c r="F5" s="30">
        <v>1319.77</v>
      </c>
      <c r="G5" s="30">
        <v>-0.4</v>
      </c>
      <c r="H5" s="31">
        <f t="shared" si="1"/>
        <v>3.0308311296665328E-4</v>
      </c>
      <c r="I5" s="31">
        <f t="shared" si="2"/>
        <v>0.41804453424857152</v>
      </c>
      <c r="J5" s="32">
        <f t="shared" si="5"/>
        <v>551.72263496523726</v>
      </c>
      <c r="K5" s="32">
        <f t="shared" si="3"/>
        <v>16.718867726219312</v>
      </c>
      <c r="L5" s="29">
        <v>110</v>
      </c>
      <c r="M5" s="33">
        <f t="shared" si="6"/>
        <v>0.3</v>
      </c>
      <c r="N5" s="29">
        <v>33</v>
      </c>
      <c r="O5" s="34">
        <f t="shared" ref="O5:P5" si="13">D5/7</f>
        <v>4.7142857142857144</v>
      </c>
      <c r="P5" s="34">
        <f t="shared" si="13"/>
        <v>0</v>
      </c>
      <c r="Q5" s="29">
        <f t="shared" si="8"/>
        <v>7</v>
      </c>
      <c r="R5" s="29"/>
      <c r="S5" s="35">
        <v>2.0040080160320599</v>
      </c>
      <c r="T5" s="28">
        <v>312</v>
      </c>
      <c r="U5" s="36" t="s">
        <v>33</v>
      </c>
      <c r="V5" s="37" t="s">
        <v>33</v>
      </c>
      <c r="W5" s="28">
        <v>0</v>
      </c>
      <c r="X5" s="38">
        <f t="shared" si="9"/>
        <v>0</v>
      </c>
      <c r="Y5" s="39">
        <f t="shared" si="10"/>
        <v>0</v>
      </c>
      <c r="Z5" s="28">
        <v>0</v>
      </c>
      <c r="AA5" s="28" t="s">
        <v>34</v>
      </c>
      <c r="AB5" s="40">
        <f t="shared" si="11"/>
        <v>-0.69</v>
      </c>
      <c r="AC5" s="41">
        <v>0.14772595596755506</v>
      </c>
      <c r="AD5" s="39">
        <f t="shared" si="12"/>
        <v>-6.7274400347624566</v>
      </c>
      <c r="AE5" s="39">
        <v>-6.56</v>
      </c>
      <c r="AF5" s="39">
        <v>-10.499225000000001</v>
      </c>
      <c r="AG5" s="39">
        <v>0</v>
      </c>
    </row>
    <row r="6" spans="1:33" ht="15.75" customHeight="1" x14ac:dyDescent="0.2">
      <c r="A6" s="28" t="s">
        <v>37</v>
      </c>
      <c r="B6" s="28" t="s">
        <v>760</v>
      </c>
      <c r="C6" s="15">
        <f t="shared" si="4"/>
        <v>42.946521739130439</v>
      </c>
      <c r="D6" s="29">
        <v>23</v>
      </c>
      <c r="E6" s="29">
        <v>0</v>
      </c>
      <c r="F6" s="30">
        <v>987.7700000000001</v>
      </c>
      <c r="G6" s="30">
        <v>-0.32</v>
      </c>
      <c r="H6" s="31">
        <f t="shared" si="1"/>
        <v>3.2396205594419753E-4</v>
      </c>
      <c r="I6" s="31">
        <f t="shared" si="2"/>
        <v>0.4477089840323048</v>
      </c>
      <c r="J6" s="32">
        <f t="shared" si="5"/>
        <v>442.23350315758978</v>
      </c>
      <c r="K6" s="32">
        <f t="shared" si="3"/>
        <v>19.227543615547383</v>
      </c>
      <c r="L6" s="29">
        <v>69</v>
      </c>
      <c r="M6" s="33">
        <f t="shared" si="6"/>
        <v>0.33333333333333331</v>
      </c>
      <c r="N6" s="29">
        <v>0</v>
      </c>
      <c r="O6" s="34">
        <f t="shared" ref="O6:P6" si="14">D6/7</f>
        <v>3.2857142857142856</v>
      </c>
      <c r="P6" s="34">
        <f t="shared" si="14"/>
        <v>0</v>
      </c>
      <c r="Q6" s="29">
        <f t="shared" si="8"/>
        <v>0</v>
      </c>
      <c r="R6" s="29"/>
      <c r="S6" s="35">
        <v>2.7922705314009599</v>
      </c>
      <c r="T6" s="28">
        <v>312</v>
      </c>
      <c r="U6" s="36" t="s">
        <v>33</v>
      </c>
      <c r="V6" s="37" t="s">
        <v>39</v>
      </c>
      <c r="W6" s="28">
        <v>0</v>
      </c>
      <c r="X6" s="38">
        <f t="shared" si="9"/>
        <v>0</v>
      </c>
      <c r="Y6" s="39">
        <f t="shared" si="10"/>
        <v>0</v>
      </c>
      <c r="Z6" s="28">
        <v>0</v>
      </c>
      <c r="AA6" s="28" t="s">
        <v>34</v>
      </c>
      <c r="AB6" s="40">
        <f t="shared" si="11"/>
        <v>-0.69</v>
      </c>
      <c r="AC6" s="41">
        <v>0.14772595596755506</v>
      </c>
      <c r="AD6" s="39">
        <f t="shared" si="12"/>
        <v>-4.6888218424101966</v>
      </c>
      <c r="AE6" s="39">
        <v>-6.56</v>
      </c>
      <c r="AF6" s="39">
        <v>-10.499225000000001</v>
      </c>
      <c r="AG6" s="39">
        <v>0</v>
      </c>
    </row>
    <row r="7" spans="1:33" ht="15.75" customHeight="1" x14ac:dyDescent="0.2">
      <c r="A7" s="28" t="s">
        <v>40</v>
      </c>
      <c r="B7" s="28"/>
      <c r="C7" s="15" t="str">
        <f t="shared" si="4"/>
        <v xml:space="preserve"> - </v>
      </c>
      <c r="D7" s="29">
        <v>0</v>
      </c>
      <c r="E7" s="29">
        <v>0</v>
      </c>
      <c r="F7" s="30">
        <v>0</v>
      </c>
      <c r="G7" s="30">
        <v>0</v>
      </c>
      <c r="H7" s="31" t="e">
        <f t="shared" si="1"/>
        <v>#DIV/0!</v>
      </c>
      <c r="I7" s="31" t="e">
        <f t="shared" si="2"/>
        <v>#DIV/0!</v>
      </c>
      <c r="J7" s="32">
        <f t="shared" si="5"/>
        <v>0</v>
      </c>
      <c r="K7" s="32" t="e">
        <f t="shared" si="3"/>
        <v>#DIV/0!</v>
      </c>
      <c r="L7" s="29">
        <v>0</v>
      </c>
      <c r="M7" s="33" t="str">
        <f t="shared" si="6"/>
        <v>-</v>
      </c>
      <c r="N7" s="29">
        <v>0</v>
      </c>
      <c r="O7" s="34">
        <f t="shared" ref="O7:P7" si="15">D7/7</f>
        <v>0</v>
      </c>
      <c r="P7" s="34">
        <f t="shared" si="15"/>
        <v>0</v>
      </c>
      <c r="Q7" s="29" t="e">
        <f t="shared" si="8"/>
        <v>#DIV/0!</v>
      </c>
      <c r="R7" s="29"/>
      <c r="S7" s="35">
        <v>3.4518950437317701</v>
      </c>
      <c r="T7" s="28">
        <v>312</v>
      </c>
      <c r="U7" s="36" t="s">
        <v>33</v>
      </c>
      <c r="V7" s="37" t="s">
        <v>39</v>
      </c>
      <c r="W7" s="28">
        <v>0</v>
      </c>
      <c r="X7" s="38">
        <f t="shared" si="9"/>
        <v>0</v>
      </c>
      <c r="Y7" s="39">
        <f t="shared" si="10"/>
        <v>0</v>
      </c>
      <c r="Z7" s="28">
        <v>0</v>
      </c>
      <c r="AA7" s="28" t="s">
        <v>34</v>
      </c>
      <c r="AB7" s="40">
        <f t="shared" si="11"/>
        <v>-0.69</v>
      </c>
      <c r="AC7" s="41">
        <v>0.14772595596755506</v>
      </c>
      <c r="AD7" s="39">
        <f t="shared" si="12"/>
        <v>0</v>
      </c>
      <c r="AE7" s="39">
        <v>-6.56</v>
      </c>
      <c r="AF7" s="39">
        <v>-10.499225000000001</v>
      </c>
      <c r="AG7" s="39">
        <v>0</v>
      </c>
    </row>
    <row r="8" spans="1:33" ht="15.75" customHeight="1" x14ac:dyDescent="0.2">
      <c r="A8" s="28" t="s">
        <v>42</v>
      </c>
      <c r="B8" s="28"/>
      <c r="C8" s="15" t="str">
        <f t="shared" si="4"/>
        <v xml:space="preserve"> - </v>
      </c>
      <c r="D8" s="29">
        <v>0</v>
      </c>
      <c r="E8" s="29">
        <v>0</v>
      </c>
      <c r="F8" s="30">
        <v>0</v>
      </c>
      <c r="G8" s="30">
        <v>0</v>
      </c>
      <c r="H8" s="31" t="e">
        <f t="shared" si="1"/>
        <v>#DIV/0!</v>
      </c>
      <c r="I8" s="31" t="e">
        <f t="shared" si="2"/>
        <v>#DIV/0!</v>
      </c>
      <c r="J8" s="32">
        <f t="shared" si="5"/>
        <v>0</v>
      </c>
      <c r="K8" s="32" t="e">
        <f t="shared" si="3"/>
        <v>#DIV/0!</v>
      </c>
      <c r="L8" s="29">
        <v>0</v>
      </c>
      <c r="M8" s="33" t="str">
        <f t="shared" si="6"/>
        <v>-</v>
      </c>
      <c r="N8" s="29">
        <v>1</v>
      </c>
      <c r="O8" s="34">
        <f t="shared" ref="O8:P8" si="16">D8/7</f>
        <v>0</v>
      </c>
      <c r="P8" s="34">
        <f t="shared" si="16"/>
        <v>0</v>
      </c>
      <c r="Q8" s="29" t="e">
        <f t="shared" si="8"/>
        <v>#DIV/0!</v>
      </c>
      <c r="R8" s="29"/>
      <c r="S8" s="35">
        <v>2.0665499124343198</v>
      </c>
      <c r="T8" s="28">
        <v>312</v>
      </c>
      <c r="U8" s="36">
        <v>248</v>
      </c>
      <c r="V8" s="37" t="s">
        <v>761</v>
      </c>
      <c r="W8" s="28">
        <v>0</v>
      </c>
      <c r="X8" s="38">
        <f t="shared" si="9"/>
        <v>0</v>
      </c>
      <c r="Y8" s="39">
        <f t="shared" si="10"/>
        <v>0</v>
      </c>
      <c r="Z8" s="28">
        <v>0</v>
      </c>
      <c r="AA8" s="28" t="s">
        <v>34</v>
      </c>
      <c r="AB8" s="40">
        <f t="shared" si="11"/>
        <v>-0.69</v>
      </c>
      <c r="AC8" s="41">
        <v>0.14772595596755506</v>
      </c>
      <c r="AD8" s="39">
        <f t="shared" si="12"/>
        <v>0</v>
      </c>
      <c r="AE8" s="39">
        <v>-6.56</v>
      </c>
      <c r="AF8" s="39">
        <v>-10.5</v>
      </c>
      <c r="AG8" s="39">
        <v>0</v>
      </c>
    </row>
    <row r="9" spans="1:33" ht="15.75" customHeight="1" x14ac:dyDescent="0.2">
      <c r="A9" s="28" t="s">
        <v>44</v>
      </c>
      <c r="B9" s="28"/>
      <c r="C9" s="15">
        <f t="shared" si="4"/>
        <v>43.99</v>
      </c>
      <c r="D9" s="29">
        <v>1</v>
      </c>
      <c r="E9" s="29">
        <v>0</v>
      </c>
      <c r="F9" s="30">
        <v>43.99</v>
      </c>
      <c r="G9" s="30">
        <v>0</v>
      </c>
      <c r="H9" s="31">
        <f t="shared" si="1"/>
        <v>0</v>
      </c>
      <c r="I9" s="31">
        <f t="shared" si="2"/>
        <v>0.45216897432972891</v>
      </c>
      <c r="J9" s="32">
        <f t="shared" si="5"/>
        <v>19.890913180764777</v>
      </c>
      <c r="K9" s="32">
        <f t="shared" si="3"/>
        <v>19.890913180764777</v>
      </c>
      <c r="L9" s="29">
        <v>5</v>
      </c>
      <c r="M9" s="33">
        <f t="shared" si="6"/>
        <v>0.2</v>
      </c>
      <c r="N9" s="29">
        <v>0</v>
      </c>
      <c r="O9" s="34">
        <f t="shared" ref="O9:P9" si="17">D9/7</f>
        <v>0.14285714285714285</v>
      </c>
      <c r="P9" s="34">
        <f t="shared" si="17"/>
        <v>0</v>
      </c>
      <c r="Q9" s="29">
        <f t="shared" si="8"/>
        <v>0</v>
      </c>
      <c r="R9" s="29"/>
      <c r="S9" s="35">
        <v>2.2144249512670502</v>
      </c>
      <c r="T9" s="28">
        <v>312</v>
      </c>
      <c r="U9" s="36">
        <v>248</v>
      </c>
      <c r="V9" s="37" t="s">
        <v>762</v>
      </c>
      <c r="W9" s="28">
        <v>0</v>
      </c>
      <c r="X9" s="38">
        <f t="shared" si="9"/>
        <v>0</v>
      </c>
      <c r="Y9" s="39">
        <f t="shared" si="10"/>
        <v>0</v>
      </c>
      <c r="Z9" s="28">
        <v>0</v>
      </c>
      <c r="AA9" s="28" t="s">
        <v>34</v>
      </c>
      <c r="AB9" s="40">
        <f t="shared" si="11"/>
        <v>-0.69</v>
      </c>
      <c r="AC9" s="41">
        <v>0.14772595596755506</v>
      </c>
      <c r="AD9" s="39">
        <f t="shared" si="12"/>
        <v>-0.20386181923522595</v>
      </c>
      <c r="AE9" s="39">
        <v>-6.56</v>
      </c>
      <c r="AF9" s="39">
        <v>-10.736725</v>
      </c>
      <c r="AG9" s="39">
        <v>0</v>
      </c>
    </row>
    <row r="10" spans="1:33" ht="15.75" customHeight="1" x14ac:dyDescent="0.2">
      <c r="A10" s="28" t="s">
        <v>46</v>
      </c>
      <c r="B10" s="28"/>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0</v>
      </c>
      <c r="O10" s="34">
        <f t="shared" ref="O10:P10" si="18">D10/7</f>
        <v>0</v>
      </c>
      <c r="P10" s="34">
        <f t="shared" si="18"/>
        <v>0</v>
      </c>
      <c r="Q10" s="29" t="e">
        <f t="shared" si="8"/>
        <v>#DIV/0!</v>
      </c>
      <c r="R10" s="29"/>
      <c r="S10" s="35" t="e">
        <v>#N/A</v>
      </c>
      <c r="T10" s="28">
        <v>312</v>
      </c>
      <c r="U10" s="36">
        <v>248</v>
      </c>
      <c r="V10" s="37" t="s">
        <v>763</v>
      </c>
      <c r="W10" s="28">
        <v>0</v>
      </c>
      <c r="X10" s="38">
        <f t="shared" si="9"/>
        <v>0</v>
      </c>
      <c r="Y10" s="39">
        <f t="shared" si="10"/>
        <v>0</v>
      </c>
      <c r="Z10" s="28">
        <v>0</v>
      </c>
      <c r="AA10" s="28" t="e">
        <v>#N/A</v>
      </c>
      <c r="AB10" s="40" t="e">
        <f t="shared" si="11"/>
        <v>#N/A</v>
      </c>
      <c r="AC10" s="41" t="e">
        <v>#N/A</v>
      </c>
      <c r="AD10" s="39">
        <f t="shared" si="12"/>
        <v>0</v>
      </c>
      <c r="AE10" s="39">
        <v>0</v>
      </c>
      <c r="AF10" s="39">
        <v>-10.736725</v>
      </c>
      <c r="AG10" s="39">
        <v>0</v>
      </c>
    </row>
    <row r="11" spans="1:33" ht="15.75" customHeight="1" x14ac:dyDescent="0.2">
      <c r="A11" s="28" t="s">
        <v>48</v>
      </c>
      <c r="B11" s="28"/>
      <c r="C11" s="15" t="str">
        <f t="shared" si="4"/>
        <v xml:space="preserve"> - </v>
      </c>
      <c r="D11" s="29">
        <v>0</v>
      </c>
      <c r="E11" s="29">
        <v>0</v>
      </c>
      <c r="F11" s="30">
        <v>0</v>
      </c>
      <c r="G11" s="30">
        <v>0</v>
      </c>
      <c r="H11" s="31" t="e">
        <f t="shared" si="1"/>
        <v>#DIV/0!</v>
      </c>
      <c r="I11" s="31" t="e">
        <f t="shared" si="2"/>
        <v>#DIV/0!</v>
      </c>
      <c r="J11" s="32">
        <f t="shared" si="5"/>
        <v>0</v>
      </c>
      <c r="K11" s="32" t="e">
        <f t="shared" si="3"/>
        <v>#DIV/0!</v>
      </c>
      <c r="L11" s="29">
        <v>0</v>
      </c>
      <c r="M11" s="33" t="str">
        <f t="shared" si="6"/>
        <v>-</v>
      </c>
      <c r="N11" s="29">
        <v>0</v>
      </c>
      <c r="O11" s="34">
        <f t="shared" ref="O11:P11" si="19">D11/7</f>
        <v>0</v>
      </c>
      <c r="P11" s="34">
        <f t="shared" si="19"/>
        <v>0</v>
      </c>
      <c r="Q11" s="29" t="e">
        <f t="shared" si="8"/>
        <v>#DIV/0!</v>
      </c>
      <c r="R11" s="29"/>
      <c r="S11" s="35" t="e">
        <v>#N/A</v>
      </c>
      <c r="T11" s="28">
        <v>312</v>
      </c>
      <c r="U11" s="36">
        <v>248</v>
      </c>
      <c r="V11" s="37" t="s">
        <v>763</v>
      </c>
      <c r="W11" s="28">
        <v>0</v>
      </c>
      <c r="X11" s="38">
        <f t="shared" si="9"/>
        <v>0</v>
      </c>
      <c r="Y11" s="39">
        <f t="shared" si="10"/>
        <v>0</v>
      </c>
      <c r="Z11" s="28">
        <v>0</v>
      </c>
      <c r="AA11" s="28" t="e">
        <v>#N/A</v>
      </c>
      <c r="AB11" s="40" t="e">
        <f t="shared" si="11"/>
        <v>#N/A</v>
      </c>
      <c r="AC11" s="41" t="e">
        <v>#N/A</v>
      </c>
      <c r="AD11" s="39">
        <f t="shared" si="12"/>
        <v>0</v>
      </c>
      <c r="AE11" s="39">
        <v>0</v>
      </c>
      <c r="AF11" s="39">
        <v>-10.736725</v>
      </c>
      <c r="AG11" s="39">
        <v>0</v>
      </c>
    </row>
    <row r="12" spans="1:33" ht="15.75" customHeight="1" x14ac:dyDescent="0.2">
      <c r="A12" s="28" t="s">
        <v>49</v>
      </c>
      <c r="B12" s="28"/>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0</v>
      </c>
      <c r="O12" s="34">
        <f t="shared" ref="O12:P12" si="20">D12/7</f>
        <v>0</v>
      </c>
      <c r="P12" s="34">
        <f t="shared" si="20"/>
        <v>0</v>
      </c>
      <c r="Q12" s="29" t="e">
        <f t="shared" si="8"/>
        <v>#DIV/0!</v>
      </c>
      <c r="R12" s="29"/>
      <c r="S12" s="35" t="e">
        <v>#N/A</v>
      </c>
      <c r="T12" s="28">
        <v>312</v>
      </c>
      <c r="U12" s="36">
        <v>248</v>
      </c>
      <c r="V12" s="37" t="s">
        <v>764</v>
      </c>
      <c r="W12" s="28">
        <v>0</v>
      </c>
      <c r="X12" s="38">
        <f t="shared" si="9"/>
        <v>0</v>
      </c>
      <c r="Y12" s="39">
        <f t="shared" si="10"/>
        <v>0</v>
      </c>
      <c r="Z12" s="28">
        <v>0</v>
      </c>
      <c r="AA12" s="28" t="e">
        <v>#N/A</v>
      </c>
      <c r="AB12" s="40" t="e">
        <f t="shared" si="11"/>
        <v>#N/A</v>
      </c>
      <c r="AC12" s="41" t="e">
        <v>#N/A</v>
      </c>
      <c r="AD12" s="39">
        <f t="shared" si="12"/>
        <v>0</v>
      </c>
      <c r="AE12" s="39">
        <v>0</v>
      </c>
      <c r="AF12" s="39">
        <v>-10.736725</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0</v>
      </c>
      <c r="O13" s="34">
        <f t="shared" ref="O13:P13" si="21">D13/7</f>
        <v>0</v>
      </c>
      <c r="P13" s="34">
        <f t="shared" si="21"/>
        <v>0</v>
      </c>
      <c r="Q13" s="29" t="e">
        <f t="shared" si="8"/>
        <v>#DIV/0!</v>
      </c>
      <c r="R13" s="29"/>
      <c r="S13" s="35" t="e">
        <v>#N/A</v>
      </c>
      <c r="T13" s="28">
        <v>312</v>
      </c>
      <c r="U13" s="36">
        <v>248</v>
      </c>
      <c r="V13" s="37" t="s">
        <v>765</v>
      </c>
      <c r="W13" s="28">
        <v>0</v>
      </c>
      <c r="X13" s="38">
        <f t="shared" si="9"/>
        <v>0</v>
      </c>
      <c r="Y13" s="39">
        <f t="shared" si="10"/>
        <v>0</v>
      </c>
      <c r="Z13" s="28">
        <v>0</v>
      </c>
      <c r="AA13" s="28" t="e">
        <v>#N/A</v>
      </c>
      <c r="AB13" s="40" t="e">
        <f t="shared" si="11"/>
        <v>#N/A</v>
      </c>
      <c r="AC13" s="41" t="e">
        <v>#N/A</v>
      </c>
      <c r="AD13" s="39">
        <f t="shared" si="12"/>
        <v>0</v>
      </c>
      <c r="AE13" s="39">
        <v>0</v>
      </c>
      <c r="AF13" s="39">
        <v>-10.861725</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312</v>
      </c>
      <c r="U14" s="36">
        <v>248</v>
      </c>
      <c r="V14" s="37" t="s">
        <v>765</v>
      </c>
      <c r="W14" s="28">
        <v>0</v>
      </c>
      <c r="X14" s="38">
        <f t="shared" si="9"/>
        <v>0</v>
      </c>
      <c r="Y14" s="39">
        <f t="shared" si="10"/>
        <v>0</v>
      </c>
      <c r="Z14" s="28">
        <v>0</v>
      </c>
      <c r="AA14" s="28" t="e">
        <v>#N/A</v>
      </c>
      <c r="AB14" s="40" t="e">
        <f t="shared" si="11"/>
        <v>#N/A</v>
      </c>
      <c r="AC14" s="41" t="e">
        <v>#N/A</v>
      </c>
      <c r="AD14" s="39">
        <f t="shared" si="12"/>
        <v>0</v>
      </c>
      <c r="AE14" s="39">
        <v>0</v>
      </c>
      <c r="AF14" s="39">
        <v>-10.861725</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776</v>
      </c>
      <c r="U15" s="36">
        <v>248</v>
      </c>
      <c r="V15" s="37" t="s">
        <v>766</v>
      </c>
      <c r="W15" s="28">
        <v>0</v>
      </c>
      <c r="X15" s="38">
        <f t="shared" si="9"/>
        <v>0</v>
      </c>
      <c r="Y15" s="39">
        <f t="shared" si="10"/>
        <v>0</v>
      </c>
      <c r="Z15" s="28">
        <v>0</v>
      </c>
      <c r="AA15" s="28" t="e">
        <v>#N/A</v>
      </c>
      <c r="AB15" s="40" t="e">
        <f t="shared" si="11"/>
        <v>#N/A</v>
      </c>
      <c r="AC15" s="41" t="e">
        <v>#N/A</v>
      </c>
      <c r="AD15" s="39">
        <f t="shared" si="12"/>
        <v>0</v>
      </c>
      <c r="AE15" s="39">
        <v>0</v>
      </c>
      <c r="AF15" s="39">
        <v>-10.861725</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248</v>
      </c>
      <c r="O16" s="34">
        <f t="shared" ref="O16:P16" si="24">D16/7</f>
        <v>0</v>
      </c>
      <c r="P16" s="34">
        <f t="shared" si="24"/>
        <v>0</v>
      </c>
      <c r="Q16" s="29" t="e">
        <f t="shared" si="8"/>
        <v>#DIV/0!</v>
      </c>
      <c r="R16" s="29"/>
      <c r="S16" s="35">
        <v>1.1476323119777101</v>
      </c>
      <c r="T16" s="28">
        <v>528</v>
      </c>
      <c r="U16" s="36">
        <v>64</v>
      </c>
      <c r="V16" s="37" t="s">
        <v>767</v>
      </c>
      <c r="W16" s="28">
        <v>0</v>
      </c>
      <c r="X16" s="38">
        <f t="shared" si="9"/>
        <v>0</v>
      </c>
      <c r="Y16" s="39">
        <f t="shared" si="10"/>
        <v>0</v>
      </c>
      <c r="Z16" s="28">
        <v>0</v>
      </c>
      <c r="AA16" s="28" t="e">
        <v>#N/A</v>
      </c>
      <c r="AB16" s="40" t="e">
        <f t="shared" si="11"/>
        <v>#N/A</v>
      </c>
      <c r="AC16" s="41" t="e">
        <v>#N/A</v>
      </c>
      <c r="AD16" s="39">
        <f t="shared" si="12"/>
        <v>0</v>
      </c>
      <c r="AE16" s="39">
        <v>0</v>
      </c>
      <c r="AF16" s="39">
        <v>-10.861725</v>
      </c>
      <c r="AG16" s="39">
        <v>0</v>
      </c>
    </row>
    <row r="17" spans="1:33" ht="15.75" customHeight="1" x14ac:dyDescent="0.2">
      <c r="A17" s="28" t="s">
        <v>55</v>
      </c>
      <c r="B17" s="28" t="s">
        <v>47</v>
      </c>
      <c r="C17" s="15">
        <f t="shared" si="4"/>
        <v>43.99</v>
      </c>
      <c r="D17" s="29">
        <v>10</v>
      </c>
      <c r="E17" s="29">
        <v>0</v>
      </c>
      <c r="F17" s="32">
        <v>439.90000000000003</v>
      </c>
      <c r="G17" s="30">
        <v>-0.08</v>
      </c>
      <c r="H17" s="31">
        <f t="shared" si="1"/>
        <v>1.8185951352580132E-4</v>
      </c>
      <c r="I17" s="31">
        <f t="shared" si="2"/>
        <v>0.45429982113990552</v>
      </c>
      <c r="J17" s="32">
        <f t="shared" si="5"/>
        <v>199.84649131944445</v>
      </c>
      <c r="K17" s="32">
        <f t="shared" si="3"/>
        <v>19.984649131944444</v>
      </c>
      <c r="L17" s="29">
        <v>39</v>
      </c>
      <c r="M17" s="33">
        <f t="shared" si="6"/>
        <v>0.25641025641025639</v>
      </c>
      <c r="N17" s="29">
        <v>241</v>
      </c>
      <c r="O17" s="34">
        <f t="shared" ref="O17:P17" si="25">D17/7</f>
        <v>1.4285714285714286</v>
      </c>
      <c r="P17" s="34">
        <f t="shared" si="25"/>
        <v>0</v>
      </c>
      <c r="Q17" s="29">
        <f t="shared" si="8"/>
        <v>168</v>
      </c>
      <c r="R17" s="29"/>
      <c r="S17" s="35">
        <v>0.88888888888888795</v>
      </c>
      <c r="T17" s="28">
        <v>528</v>
      </c>
      <c r="U17" s="36">
        <v>64</v>
      </c>
      <c r="V17" s="37" t="s">
        <v>768</v>
      </c>
      <c r="W17" s="28">
        <v>0</v>
      </c>
      <c r="X17" s="38">
        <f t="shared" si="9"/>
        <v>0</v>
      </c>
      <c r="Y17" s="39">
        <f t="shared" si="10"/>
        <v>0</v>
      </c>
      <c r="Z17" s="28">
        <v>0</v>
      </c>
      <c r="AA17" s="28" t="s">
        <v>34</v>
      </c>
      <c r="AB17" s="40">
        <f t="shared" si="11"/>
        <v>-0.69</v>
      </c>
      <c r="AC17" s="41">
        <v>0.14755497685185187</v>
      </c>
      <c r="AD17" s="39">
        <f t="shared" si="12"/>
        <v>-2.0362586805555556</v>
      </c>
      <c r="AE17" s="39">
        <v>-6.56</v>
      </c>
      <c r="AF17" s="39">
        <v>-10.635225</v>
      </c>
      <c r="AG17" s="39">
        <v>0</v>
      </c>
    </row>
    <row r="18" spans="1:33" ht="15.75" customHeight="1" x14ac:dyDescent="0.2">
      <c r="A18" s="28" t="s">
        <v>56</v>
      </c>
      <c r="B18" s="28" t="s">
        <v>47</v>
      </c>
      <c r="C18" s="15">
        <f t="shared" si="4"/>
        <v>43.99</v>
      </c>
      <c r="D18" s="29">
        <v>26</v>
      </c>
      <c r="E18" s="29">
        <v>0</v>
      </c>
      <c r="F18" s="32">
        <v>1143.74</v>
      </c>
      <c r="G18" s="30">
        <v>-0.08</v>
      </c>
      <c r="H18" s="31">
        <f t="shared" si="1"/>
        <v>6.994596674069281E-5</v>
      </c>
      <c r="I18" s="31">
        <f t="shared" si="2"/>
        <v>0.4544117346866906</v>
      </c>
      <c r="J18" s="32">
        <f t="shared" si="5"/>
        <v>519.72887743055549</v>
      </c>
      <c r="K18" s="32">
        <f t="shared" si="3"/>
        <v>19.989572208867518</v>
      </c>
      <c r="L18" s="29">
        <v>68</v>
      </c>
      <c r="M18" s="33">
        <f t="shared" si="6"/>
        <v>0.38235294117647056</v>
      </c>
      <c r="N18" s="29">
        <v>213</v>
      </c>
      <c r="O18" s="34">
        <f t="shared" ref="O18:P18" si="26">D18/7</f>
        <v>3.7142857142857144</v>
      </c>
      <c r="P18" s="34">
        <f t="shared" si="26"/>
        <v>0</v>
      </c>
      <c r="Q18" s="29">
        <f t="shared" si="8"/>
        <v>57</v>
      </c>
      <c r="R18" s="29"/>
      <c r="S18" s="35">
        <v>0.95752895752895695</v>
      </c>
      <c r="T18" s="28">
        <v>528</v>
      </c>
      <c r="U18" s="36">
        <v>64</v>
      </c>
      <c r="V18" s="37" t="s">
        <v>769</v>
      </c>
      <c r="W18" s="28">
        <v>0</v>
      </c>
      <c r="X18" s="38">
        <f t="shared" si="9"/>
        <v>0</v>
      </c>
      <c r="Y18" s="39">
        <f t="shared" si="10"/>
        <v>0</v>
      </c>
      <c r="Z18" s="28">
        <v>0</v>
      </c>
      <c r="AA18" s="28" t="s">
        <v>34</v>
      </c>
      <c r="AB18" s="40">
        <f t="shared" si="11"/>
        <v>-0.69</v>
      </c>
      <c r="AC18" s="41">
        <v>0.14755497685185187</v>
      </c>
      <c r="AD18" s="39">
        <f t="shared" si="12"/>
        <v>-5.2942725694444448</v>
      </c>
      <c r="AE18" s="39">
        <v>-6.56</v>
      </c>
      <c r="AF18" s="39">
        <v>-10.635225</v>
      </c>
      <c r="AG18" s="39">
        <v>0</v>
      </c>
    </row>
    <row r="19" spans="1:33" ht="15.75" customHeight="1" x14ac:dyDescent="0.2">
      <c r="A19" s="28" t="s">
        <v>57</v>
      </c>
      <c r="B19" s="28" t="s">
        <v>47</v>
      </c>
      <c r="C19" s="15">
        <f t="shared" si="4"/>
        <v>43.99</v>
      </c>
      <c r="D19" s="29">
        <v>24</v>
      </c>
      <c r="E19" s="29">
        <v>1</v>
      </c>
      <c r="F19" s="32">
        <v>1055.76</v>
      </c>
      <c r="G19" s="30">
        <v>0</v>
      </c>
      <c r="H19" s="31">
        <f t="shared" si="1"/>
        <v>0</v>
      </c>
      <c r="I19" s="31">
        <f t="shared" si="2"/>
        <v>0.44350165678437015</v>
      </c>
      <c r="J19" s="32">
        <f t="shared" si="5"/>
        <v>468.23130916666662</v>
      </c>
      <c r="K19" s="32">
        <f t="shared" si="3"/>
        <v>19.509637881944442</v>
      </c>
      <c r="L19" s="29">
        <v>76</v>
      </c>
      <c r="M19" s="33">
        <f t="shared" si="6"/>
        <v>0.31578947368421051</v>
      </c>
      <c r="N19" s="29">
        <v>175</v>
      </c>
      <c r="O19" s="34">
        <f t="shared" ref="O19:P19" si="27">D19/7</f>
        <v>3.4285714285714284</v>
      </c>
      <c r="P19" s="34">
        <f t="shared" si="27"/>
        <v>0.14285714285714285</v>
      </c>
      <c r="Q19" s="29">
        <f t="shared" si="8"/>
        <v>49</v>
      </c>
      <c r="R19" s="29"/>
      <c r="S19" s="35">
        <v>1.27567567567567</v>
      </c>
      <c r="T19" s="28">
        <v>528</v>
      </c>
      <c r="U19" s="36">
        <v>64</v>
      </c>
      <c r="V19" s="37" t="s">
        <v>770</v>
      </c>
      <c r="W19" s="28">
        <v>0</v>
      </c>
      <c r="X19" s="38">
        <f t="shared" si="9"/>
        <v>0</v>
      </c>
      <c r="Y19" s="39">
        <f t="shared" si="10"/>
        <v>0</v>
      </c>
      <c r="Z19" s="28">
        <v>0</v>
      </c>
      <c r="AA19" s="28" t="s">
        <v>34</v>
      </c>
      <c r="AB19" s="40">
        <f t="shared" si="11"/>
        <v>-0.69</v>
      </c>
      <c r="AC19" s="41">
        <v>0.14755497685185187</v>
      </c>
      <c r="AD19" s="39">
        <f t="shared" si="12"/>
        <v>-4.8870208333333336</v>
      </c>
      <c r="AE19" s="39">
        <v>-6.56</v>
      </c>
      <c r="AF19" s="39">
        <v>-11.118236250000001</v>
      </c>
      <c r="AG19" s="39">
        <v>0</v>
      </c>
    </row>
    <row r="20" spans="1:33" ht="15.75" customHeight="1" x14ac:dyDescent="0.2">
      <c r="A20" s="28" t="s">
        <v>58</v>
      </c>
      <c r="B20" s="28" t="s">
        <v>47</v>
      </c>
      <c r="C20" s="15">
        <f t="shared" si="4"/>
        <v>43.99</v>
      </c>
      <c r="D20" s="29">
        <v>31</v>
      </c>
      <c r="E20" s="29">
        <v>0</v>
      </c>
      <c r="F20" s="32">
        <v>1363.69</v>
      </c>
      <c r="G20" s="30">
        <v>-0.08</v>
      </c>
      <c r="H20" s="31">
        <f t="shared" si="1"/>
        <v>5.8664359201871392E-5</v>
      </c>
      <c r="I20" s="31">
        <f t="shared" si="2"/>
        <v>0.44344299242516844</v>
      </c>
      <c r="J20" s="32">
        <f t="shared" si="5"/>
        <v>604.71877434027795</v>
      </c>
      <c r="K20" s="32">
        <f t="shared" si="3"/>
        <v>19.507057236783158</v>
      </c>
      <c r="L20" s="29">
        <v>73</v>
      </c>
      <c r="M20" s="33">
        <f t="shared" si="6"/>
        <v>0.42465753424657532</v>
      </c>
      <c r="N20" s="29">
        <v>143</v>
      </c>
      <c r="O20" s="34">
        <f t="shared" ref="O20:P20" si="28">D20/7</f>
        <v>4.4285714285714288</v>
      </c>
      <c r="P20" s="34">
        <f t="shared" si="28"/>
        <v>0</v>
      </c>
      <c r="Q20" s="29">
        <f t="shared" si="8"/>
        <v>32</v>
      </c>
      <c r="R20" s="29"/>
      <c r="S20" s="35">
        <v>2</v>
      </c>
      <c r="T20" s="28">
        <v>528</v>
      </c>
      <c r="U20" s="36">
        <v>64</v>
      </c>
      <c r="V20" s="37" t="s">
        <v>770</v>
      </c>
      <c r="W20" s="28">
        <v>0</v>
      </c>
      <c r="X20" s="38">
        <f t="shared" si="9"/>
        <v>0</v>
      </c>
      <c r="Y20" s="39">
        <f t="shared" si="10"/>
        <v>0</v>
      </c>
      <c r="Z20" s="28">
        <v>0</v>
      </c>
      <c r="AA20" s="28" t="s">
        <v>34</v>
      </c>
      <c r="AB20" s="40">
        <f t="shared" si="11"/>
        <v>-0.69</v>
      </c>
      <c r="AC20" s="41">
        <v>0.14755497685185187</v>
      </c>
      <c r="AD20" s="39">
        <f t="shared" si="12"/>
        <v>-6.3124019097222233</v>
      </c>
      <c r="AE20" s="39">
        <v>-6.56</v>
      </c>
      <c r="AF20" s="39">
        <v>-11.118236250000001</v>
      </c>
      <c r="AG20" s="39">
        <v>0</v>
      </c>
    </row>
    <row r="21" spans="1:33" ht="15.75" customHeight="1" x14ac:dyDescent="0.2">
      <c r="A21" s="28" t="s">
        <v>59</v>
      </c>
      <c r="B21" s="28" t="s">
        <v>771</v>
      </c>
      <c r="C21" s="15">
        <f t="shared" si="4"/>
        <v>43.99</v>
      </c>
      <c r="D21" s="29">
        <v>24</v>
      </c>
      <c r="E21" s="29">
        <v>2</v>
      </c>
      <c r="F21" s="32">
        <v>1055.76</v>
      </c>
      <c r="G21" s="30">
        <v>-0.02</v>
      </c>
      <c r="H21" s="31">
        <f t="shared" si="1"/>
        <v>1.8943699325604303E-5</v>
      </c>
      <c r="I21" s="31">
        <f t="shared" si="2"/>
        <v>0.44348271308504456</v>
      </c>
      <c r="J21" s="32">
        <f t="shared" si="5"/>
        <v>468.21130916666664</v>
      </c>
      <c r="K21" s="32">
        <f t="shared" si="3"/>
        <v>19.50880454861111</v>
      </c>
      <c r="L21" s="29">
        <v>50</v>
      </c>
      <c r="M21" s="33">
        <f t="shared" si="6"/>
        <v>0.48</v>
      </c>
      <c r="N21" s="29">
        <v>187</v>
      </c>
      <c r="O21" s="34">
        <f t="shared" ref="O21:P21" si="29">D21/7</f>
        <v>3.4285714285714284</v>
      </c>
      <c r="P21" s="34">
        <f t="shared" si="29"/>
        <v>0.2857142857142857</v>
      </c>
      <c r="Q21" s="29">
        <f t="shared" si="8"/>
        <v>50</v>
      </c>
      <c r="R21" s="29"/>
      <c r="S21" s="35">
        <v>1.0497737556561</v>
      </c>
      <c r="T21" s="28">
        <v>400</v>
      </c>
      <c r="U21" s="36">
        <v>240</v>
      </c>
      <c r="V21" s="37" t="s">
        <v>772</v>
      </c>
      <c r="W21" s="28">
        <v>0</v>
      </c>
      <c r="X21" s="38">
        <f t="shared" si="9"/>
        <v>0</v>
      </c>
      <c r="Y21" s="39">
        <f t="shared" si="10"/>
        <v>0</v>
      </c>
      <c r="Z21" s="28">
        <v>0</v>
      </c>
      <c r="AA21" s="28" t="s">
        <v>34</v>
      </c>
      <c r="AB21" s="40">
        <f t="shared" si="11"/>
        <v>-0.69</v>
      </c>
      <c r="AC21" s="41">
        <v>0.14755497685185187</v>
      </c>
      <c r="AD21" s="39">
        <f t="shared" si="12"/>
        <v>-4.8870208333333336</v>
      </c>
      <c r="AE21" s="39">
        <v>-6.56</v>
      </c>
      <c r="AF21" s="39">
        <v>-11.118236250000001</v>
      </c>
      <c r="AG21" s="39">
        <v>0</v>
      </c>
    </row>
    <row r="22" spans="1:33" ht="15.75" customHeight="1" x14ac:dyDescent="0.2">
      <c r="A22" s="28" t="s">
        <v>60</v>
      </c>
      <c r="B22" s="28" t="s">
        <v>47</v>
      </c>
      <c r="C22" s="15">
        <f t="shared" si="4"/>
        <v>44.934444444444445</v>
      </c>
      <c r="D22" s="29">
        <v>18</v>
      </c>
      <c r="E22" s="29">
        <v>1</v>
      </c>
      <c r="F22" s="30">
        <v>808.82</v>
      </c>
      <c r="G22" s="30">
        <v>0</v>
      </c>
      <c r="H22" s="31">
        <f t="shared" si="1"/>
        <v>0</v>
      </c>
      <c r="I22" s="31">
        <f t="shared" si="2"/>
        <v>0.45204555015330977</v>
      </c>
      <c r="J22" s="32">
        <f t="shared" si="5"/>
        <v>365.62348187500004</v>
      </c>
      <c r="K22" s="32">
        <f t="shared" si="3"/>
        <v>20.312415659722223</v>
      </c>
      <c r="L22" s="29">
        <v>52</v>
      </c>
      <c r="M22" s="33">
        <f t="shared" si="6"/>
        <v>0.34615384615384615</v>
      </c>
      <c r="N22" s="29">
        <v>169</v>
      </c>
      <c r="O22" s="34">
        <f t="shared" ref="O22:P22" si="30">D22/7</f>
        <v>2.5714285714285716</v>
      </c>
      <c r="P22" s="34">
        <f t="shared" si="30"/>
        <v>0.14285714285714285</v>
      </c>
      <c r="Q22" s="29">
        <f t="shared" si="8"/>
        <v>62</v>
      </c>
      <c r="R22" s="29"/>
      <c r="S22" s="35">
        <v>1.3101736972704701</v>
      </c>
      <c r="T22" s="28">
        <v>400</v>
      </c>
      <c r="U22" s="36">
        <v>240</v>
      </c>
      <c r="V22" s="37" t="s">
        <v>772</v>
      </c>
      <c r="W22" s="28">
        <v>0</v>
      </c>
      <c r="X22" s="38">
        <f t="shared" si="9"/>
        <v>0</v>
      </c>
      <c r="Y22" s="39">
        <f t="shared" si="10"/>
        <v>0</v>
      </c>
      <c r="Z22" s="28">
        <v>0</v>
      </c>
      <c r="AA22" s="28" t="s">
        <v>34</v>
      </c>
      <c r="AB22" s="40">
        <f t="shared" si="11"/>
        <v>-0.69</v>
      </c>
      <c r="AC22" s="41">
        <v>0.14755497685185187</v>
      </c>
      <c r="AD22" s="39">
        <f t="shared" si="12"/>
        <v>-3.6652656250000004</v>
      </c>
      <c r="AE22" s="39">
        <v>-6.56</v>
      </c>
      <c r="AF22" s="39">
        <v>-11.118236250000001</v>
      </c>
      <c r="AG22" s="39">
        <v>0</v>
      </c>
    </row>
    <row r="23" spans="1:33" ht="15.75" customHeight="1" x14ac:dyDescent="0.2">
      <c r="A23" s="28" t="s">
        <v>62</v>
      </c>
      <c r="B23" s="28" t="s">
        <v>773</v>
      </c>
      <c r="C23" s="15">
        <f t="shared" si="4"/>
        <v>44.99</v>
      </c>
      <c r="D23" s="29">
        <v>16</v>
      </c>
      <c r="E23" s="29">
        <v>0</v>
      </c>
      <c r="F23" s="32">
        <v>719.84</v>
      </c>
      <c r="G23" s="30">
        <v>-0.16</v>
      </c>
      <c r="H23" s="31">
        <f t="shared" si="1"/>
        <v>2.2227161591464769E-4</v>
      </c>
      <c r="I23" s="31">
        <f t="shared" si="2"/>
        <v>0.45231468952977205</v>
      </c>
      <c r="J23" s="32">
        <f t="shared" si="5"/>
        <v>325.59420611111113</v>
      </c>
      <c r="K23" s="32">
        <f t="shared" si="3"/>
        <v>20.349637881944446</v>
      </c>
      <c r="L23" s="29">
        <v>66</v>
      </c>
      <c r="M23" s="33">
        <f t="shared" si="6"/>
        <v>0.24242424242424243</v>
      </c>
      <c r="N23" s="29">
        <v>153</v>
      </c>
      <c r="O23" s="34">
        <f t="shared" ref="O23:P23" si="31">D23/7</f>
        <v>2.2857142857142856</v>
      </c>
      <c r="P23" s="34">
        <f t="shared" si="31"/>
        <v>0</v>
      </c>
      <c r="Q23" s="29">
        <f t="shared" si="8"/>
        <v>66</v>
      </c>
      <c r="R23" s="29"/>
      <c r="S23" s="35">
        <v>1.5801104972375599</v>
      </c>
      <c r="T23" s="28">
        <v>400</v>
      </c>
      <c r="U23" s="36" t="s">
        <v>33</v>
      </c>
      <c r="V23" s="37" t="s">
        <v>774</v>
      </c>
      <c r="W23" s="28">
        <v>0</v>
      </c>
      <c r="X23" s="38">
        <f t="shared" si="9"/>
        <v>0</v>
      </c>
      <c r="Y23" s="39">
        <f t="shared" si="10"/>
        <v>0</v>
      </c>
      <c r="Z23" s="28">
        <v>0</v>
      </c>
      <c r="AA23" s="28" t="s">
        <v>34</v>
      </c>
      <c r="AB23" s="40">
        <f t="shared" si="11"/>
        <v>-0.69</v>
      </c>
      <c r="AC23" s="41">
        <v>0.14755497685185187</v>
      </c>
      <c r="AD23" s="39">
        <f t="shared" si="12"/>
        <v>-3.2580138888888892</v>
      </c>
      <c r="AE23" s="39">
        <v>-6.56</v>
      </c>
      <c r="AF23" s="39">
        <v>-11.118236250000001</v>
      </c>
      <c r="AG23" s="39">
        <v>0</v>
      </c>
    </row>
    <row r="24" spans="1:33" ht="15.75" customHeight="1" x14ac:dyDescent="0.2">
      <c r="A24" s="28" t="s">
        <v>64</v>
      </c>
      <c r="B24" s="28" t="s">
        <v>775</v>
      </c>
      <c r="C24" s="15">
        <f t="shared" si="4"/>
        <v>41.823333333333338</v>
      </c>
      <c r="D24" s="29">
        <v>42</v>
      </c>
      <c r="E24" s="29">
        <v>0</v>
      </c>
      <c r="F24" s="32">
        <v>1756.5800000000002</v>
      </c>
      <c r="G24" s="32">
        <v>-0.08</v>
      </c>
      <c r="H24" s="31">
        <f t="shared" si="1"/>
        <v>4.5543043869337004E-5</v>
      </c>
      <c r="I24" s="31">
        <f t="shared" si="2"/>
        <v>0.4223973807294098</v>
      </c>
      <c r="J24" s="32">
        <f t="shared" si="5"/>
        <v>741.97479104166678</v>
      </c>
      <c r="K24" s="32">
        <f t="shared" si="3"/>
        <v>17.66606645337302</v>
      </c>
      <c r="L24" s="29">
        <v>107</v>
      </c>
      <c r="M24" s="33">
        <f t="shared" si="6"/>
        <v>0.3925233644859813</v>
      </c>
      <c r="N24" s="29">
        <v>114</v>
      </c>
      <c r="O24" s="34">
        <f t="shared" ref="O24:P24" si="32">D24/7</f>
        <v>6</v>
      </c>
      <c r="P24" s="34">
        <f t="shared" si="32"/>
        <v>0</v>
      </c>
      <c r="Q24" s="29">
        <f t="shared" si="8"/>
        <v>19</v>
      </c>
      <c r="R24" s="29"/>
      <c r="S24" s="35">
        <v>2.22950819672131</v>
      </c>
      <c r="T24" s="28">
        <v>400</v>
      </c>
      <c r="U24" s="36" t="s">
        <v>33</v>
      </c>
      <c r="V24" s="37" t="s">
        <v>774</v>
      </c>
      <c r="W24" s="28">
        <v>0</v>
      </c>
      <c r="X24" s="38">
        <f t="shared" si="9"/>
        <v>0</v>
      </c>
      <c r="Y24" s="39">
        <f t="shared" si="10"/>
        <v>0</v>
      </c>
      <c r="Z24" s="28">
        <v>0</v>
      </c>
      <c r="AA24" s="28" t="s">
        <v>34</v>
      </c>
      <c r="AB24" s="40">
        <f t="shared" si="11"/>
        <v>-0.69</v>
      </c>
      <c r="AC24" s="41">
        <v>0.14755497685185187</v>
      </c>
      <c r="AD24" s="39">
        <f t="shared" si="12"/>
        <v>-8.5522864583333345</v>
      </c>
      <c r="AE24" s="39">
        <v>-6.56</v>
      </c>
      <c r="AF24" s="39">
        <v>-11.118236250000001</v>
      </c>
      <c r="AG24" s="39">
        <v>0</v>
      </c>
    </row>
    <row r="25" spans="1:33" ht="15.75" customHeight="1" x14ac:dyDescent="0.2">
      <c r="A25" s="28" t="s">
        <v>65</v>
      </c>
      <c r="B25" s="14" t="s">
        <v>47</v>
      </c>
      <c r="C25" s="15">
        <f t="shared" si="4"/>
        <v>39.928125000000001</v>
      </c>
      <c r="D25" s="29">
        <v>48</v>
      </c>
      <c r="E25" s="29">
        <v>0</v>
      </c>
      <c r="F25" s="32">
        <v>1916.55</v>
      </c>
      <c r="G25" s="32">
        <v>-0.03</v>
      </c>
      <c r="H25" s="31">
        <f t="shared" si="1"/>
        <v>1.5653126712060733E-5</v>
      </c>
      <c r="I25" s="31">
        <f t="shared" si="2"/>
        <v>0.40208888801927073</v>
      </c>
      <c r="J25" s="32">
        <f t="shared" si="5"/>
        <v>770.62345833333325</v>
      </c>
      <c r="K25" s="32">
        <f t="shared" si="3"/>
        <v>16.054655381944443</v>
      </c>
      <c r="L25" s="29">
        <v>107</v>
      </c>
      <c r="M25" s="33">
        <f t="shared" si="6"/>
        <v>0.44859813084112149</v>
      </c>
      <c r="N25" s="29">
        <v>68</v>
      </c>
      <c r="O25" s="34">
        <f t="shared" ref="O25:P25" si="33">D25/7</f>
        <v>6.8571428571428568</v>
      </c>
      <c r="P25" s="34">
        <f t="shared" si="33"/>
        <v>0</v>
      </c>
      <c r="Q25" s="29">
        <f t="shared" si="8"/>
        <v>9</v>
      </c>
      <c r="R25" s="29"/>
      <c r="S25" s="35">
        <v>1.6905660377358489</v>
      </c>
      <c r="T25" s="28">
        <v>400</v>
      </c>
      <c r="U25" s="36">
        <v>240</v>
      </c>
      <c r="V25" s="37" t="s">
        <v>776</v>
      </c>
      <c r="W25" s="14">
        <v>0</v>
      </c>
      <c r="X25" s="38">
        <f t="shared" si="9"/>
        <v>0</v>
      </c>
      <c r="Y25" s="39">
        <f t="shared" si="10"/>
        <v>0</v>
      </c>
      <c r="Z25" s="14">
        <v>0</v>
      </c>
      <c r="AA25" s="28" t="s">
        <v>34</v>
      </c>
      <c r="AB25" s="40">
        <f t="shared" si="11"/>
        <v>-0.69</v>
      </c>
      <c r="AC25" s="41">
        <v>0.14755497685185187</v>
      </c>
      <c r="AD25" s="39">
        <f t="shared" si="12"/>
        <v>-9.7740416666666672</v>
      </c>
      <c r="AE25" s="39">
        <v>-6.56</v>
      </c>
      <c r="AF25" s="39">
        <v>-11.12</v>
      </c>
      <c r="AG25" s="39">
        <v>0</v>
      </c>
    </row>
    <row r="26" spans="1:33" ht="15.75" customHeight="1" x14ac:dyDescent="0.2">
      <c r="A26" s="14" t="s">
        <v>67</v>
      </c>
      <c r="B26" s="14" t="s">
        <v>47</v>
      </c>
      <c r="C26" s="15">
        <f t="shared" si="4"/>
        <v>42.99</v>
      </c>
      <c r="D26" s="16">
        <v>16</v>
      </c>
      <c r="E26" s="16">
        <v>1</v>
      </c>
      <c r="F26" s="17">
        <v>687.84</v>
      </c>
      <c r="G26" s="17">
        <v>-7.0000000000000007E-2</v>
      </c>
      <c r="H26" s="31">
        <f t="shared" si="1"/>
        <v>1.0176785298906723E-4</v>
      </c>
      <c r="I26" s="31">
        <f t="shared" si="2"/>
        <v>0.43932339804476472</v>
      </c>
      <c r="J26" s="32">
        <f t="shared" si="5"/>
        <v>302.184206111111</v>
      </c>
      <c r="K26" s="32">
        <f t="shared" si="3"/>
        <v>18.886512881944437</v>
      </c>
      <c r="L26" s="16">
        <v>82</v>
      </c>
      <c r="M26" s="33">
        <f t="shared" si="6"/>
        <v>0.1951219512195122</v>
      </c>
      <c r="N26" s="16">
        <v>55</v>
      </c>
      <c r="O26" s="34">
        <f t="shared" ref="O26:P26" si="34">D26/7</f>
        <v>2.2857142857142856</v>
      </c>
      <c r="P26" s="34">
        <f t="shared" si="34"/>
        <v>0.14285714285714285</v>
      </c>
      <c r="Q26" s="29">
        <f t="shared" si="8"/>
        <v>22</v>
      </c>
      <c r="R26" s="29"/>
      <c r="S26" s="21">
        <v>2.1048218029350099</v>
      </c>
      <c r="T26" s="28">
        <v>944</v>
      </c>
      <c r="U26" s="36">
        <v>240</v>
      </c>
      <c r="V26" s="37" t="s">
        <v>776</v>
      </c>
      <c r="W26" s="14">
        <v>0</v>
      </c>
      <c r="X26" s="38">
        <f t="shared" si="9"/>
        <v>0</v>
      </c>
      <c r="Y26" s="39">
        <f t="shared" si="10"/>
        <v>0</v>
      </c>
      <c r="Z26" s="14">
        <v>0</v>
      </c>
      <c r="AA26" s="28" t="s">
        <v>34</v>
      </c>
      <c r="AB26" s="40">
        <f t="shared" si="11"/>
        <v>-0.69</v>
      </c>
      <c r="AC26" s="41">
        <v>0.14755497685185187</v>
      </c>
      <c r="AD26" s="39">
        <f t="shared" si="12"/>
        <v>-3.2580138888888892</v>
      </c>
      <c r="AE26" s="25">
        <v>-6.28</v>
      </c>
      <c r="AF26" s="25">
        <v>-11.166986250000001</v>
      </c>
      <c r="AG26" s="25">
        <v>0</v>
      </c>
    </row>
    <row r="27" spans="1:33" ht="15.75" customHeight="1" x14ac:dyDescent="0.2">
      <c r="A27" s="14" t="s">
        <v>69</v>
      </c>
      <c r="B27" s="14" t="s">
        <v>47</v>
      </c>
      <c r="C27" s="15">
        <f t="shared" si="4"/>
        <v>42.99</v>
      </c>
      <c r="D27" s="16">
        <v>17</v>
      </c>
      <c r="E27" s="16">
        <v>1</v>
      </c>
      <c r="F27" s="17">
        <v>730.83</v>
      </c>
      <c r="G27" s="17">
        <v>-0.15</v>
      </c>
      <c r="H27" s="31">
        <f t="shared" si="1"/>
        <v>2.0524609006198431E-4</v>
      </c>
      <c r="I27" s="31">
        <f t="shared" si="2"/>
        <v>0.45158933711404242</v>
      </c>
      <c r="J27" s="32">
        <f t="shared" si="5"/>
        <v>330.03503524305563</v>
      </c>
      <c r="K27" s="32">
        <f t="shared" si="3"/>
        <v>19.413825602532683</v>
      </c>
      <c r="L27" s="16">
        <v>88</v>
      </c>
      <c r="M27" s="33">
        <f t="shared" si="6"/>
        <v>0.19318181818181818</v>
      </c>
      <c r="N27" s="16">
        <v>36</v>
      </c>
      <c r="O27" s="34">
        <f t="shared" ref="O27:P27" si="35">D27/7</f>
        <v>2.4285714285714284</v>
      </c>
      <c r="P27" s="34">
        <f t="shared" si="35"/>
        <v>0.14285714285714285</v>
      </c>
      <c r="Q27" s="29">
        <f t="shared" si="8"/>
        <v>14</v>
      </c>
      <c r="R27" s="29"/>
      <c r="S27" s="21">
        <v>2.6832917705735659</v>
      </c>
      <c r="T27" s="28">
        <v>944</v>
      </c>
      <c r="U27" s="36">
        <v>240</v>
      </c>
      <c r="V27" s="37" t="s">
        <v>776</v>
      </c>
      <c r="W27" s="14">
        <v>0</v>
      </c>
      <c r="X27" s="38">
        <f t="shared" si="9"/>
        <v>0</v>
      </c>
      <c r="Y27" s="39">
        <f t="shared" si="10"/>
        <v>0</v>
      </c>
      <c r="Z27" s="14">
        <v>0</v>
      </c>
      <c r="AA27" s="28" t="s">
        <v>34</v>
      </c>
      <c r="AB27" s="40">
        <f t="shared" si="11"/>
        <v>-0.69</v>
      </c>
      <c r="AC27" s="41">
        <v>0.14755497685185187</v>
      </c>
      <c r="AD27" s="39">
        <f t="shared" si="12"/>
        <v>-3.4616397569444448</v>
      </c>
      <c r="AE27" s="25">
        <v>-6.28</v>
      </c>
      <c r="AF27" s="25">
        <v>-10.635225</v>
      </c>
      <c r="AG27" s="25">
        <v>0</v>
      </c>
    </row>
    <row r="28" spans="1:33" ht="15.75" customHeight="1" x14ac:dyDescent="0.2">
      <c r="A28" s="14" t="s">
        <v>71</v>
      </c>
      <c r="B28" s="14" t="s">
        <v>777</v>
      </c>
      <c r="C28" s="15">
        <f t="shared" si="4"/>
        <v>42.99</v>
      </c>
      <c r="D28" s="16">
        <v>28</v>
      </c>
      <c r="E28" s="16">
        <v>3</v>
      </c>
      <c r="F28" s="17">
        <v>1203.72</v>
      </c>
      <c r="G28" s="17">
        <v>-0.08</v>
      </c>
      <c r="H28" s="31">
        <f t="shared" si="1"/>
        <v>6.6460638686737785E-5</v>
      </c>
      <c r="I28" s="31">
        <f t="shared" si="2"/>
        <v>0.4517281225654175</v>
      </c>
      <c r="J28" s="32">
        <f t="shared" si="5"/>
        <v>543.75417569444437</v>
      </c>
      <c r="K28" s="32">
        <f t="shared" si="3"/>
        <v>19.419791989087297</v>
      </c>
      <c r="L28" s="16">
        <v>87</v>
      </c>
      <c r="M28" s="33">
        <f t="shared" si="6"/>
        <v>0.32183908045977011</v>
      </c>
      <c r="N28" s="16">
        <v>7</v>
      </c>
      <c r="O28" s="34">
        <f t="shared" ref="O28:P28" si="36">D28/7</f>
        <v>4</v>
      </c>
      <c r="P28" s="34">
        <f t="shared" si="36"/>
        <v>0.42857142857142855</v>
      </c>
      <c r="Q28" s="29">
        <f t="shared" si="8"/>
        <v>1</v>
      </c>
      <c r="R28" s="29"/>
      <c r="S28" s="21">
        <v>3.6307692307692312</v>
      </c>
      <c r="T28" s="28">
        <v>944</v>
      </c>
      <c r="U28" s="36">
        <v>240</v>
      </c>
      <c r="V28" s="37" t="s">
        <v>778</v>
      </c>
      <c r="W28" s="14">
        <v>0</v>
      </c>
      <c r="X28" s="38">
        <f t="shared" si="9"/>
        <v>0</v>
      </c>
      <c r="Y28" s="39">
        <f t="shared" si="10"/>
        <v>0</v>
      </c>
      <c r="Z28" s="14">
        <v>0</v>
      </c>
      <c r="AA28" s="28" t="s">
        <v>34</v>
      </c>
      <c r="AB28" s="40">
        <f t="shared" si="11"/>
        <v>-0.69</v>
      </c>
      <c r="AC28" s="41">
        <v>0.14755497685185187</v>
      </c>
      <c r="AD28" s="39">
        <f t="shared" si="12"/>
        <v>-5.701524305555556</v>
      </c>
      <c r="AE28" s="25">
        <v>-6.28</v>
      </c>
      <c r="AF28" s="25">
        <v>-10.635225</v>
      </c>
      <c r="AG28" s="25">
        <v>0</v>
      </c>
    </row>
    <row r="29" spans="1:33" ht="15.75" customHeight="1" x14ac:dyDescent="0.2">
      <c r="A29" s="28" t="s">
        <v>72</v>
      </c>
      <c r="B29" s="28" t="s">
        <v>52</v>
      </c>
      <c r="C29" s="15">
        <f t="shared" si="4"/>
        <v>42.99</v>
      </c>
      <c r="D29" s="29">
        <v>2</v>
      </c>
      <c r="E29" s="29">
        <v>0</v>
      </c>
      <c r="F29" s="32">
        <v>85.98</v>
      </c>
      <c r="G29" s="32">
        <v>0</v>
      </c>
      <c r="H29" s="31">
        <f t="shared" si="1"/>
        <v>0</v>
      </c>
      <c r="I29" s="31">
        <f t="shared" si="2"/>
        <v>0.45179458320410426</v>
      </c>
      <c r="J29" s="32">
        <f t="shared" si="5"/>
        <v>38.845298263888886</v>
      </c>
      <c r="K29" s="32">
        <f t="shared" si="3"/>
        <v>19.422649131944443</v>
      </c>
      <c r="L29" s="29">
        <v>15</v>
      </c>
      <c r="M29" s="33">
        <f t="shared" si="6"/>
        <v>0.13333333333333333</v>
      </c>
      <c r="N29" s="16">
        <v>0</v>
      </c>
      <c r="O29" s="34">
        <f t="shared" ref="O29:P29" si="37">D29/7</f>
        <v>0.2857142857142857</v>
      </c>
      <c r="P29" s="34">
        <f t="shared" si="37"/>
        <v>0</v>
      </c>
      <c r="Q29" s="29">
        <f t="shared" si="8"/>
        <v>0</v>
      </c>
      <c r="R29" s="29"/>
      <c r="S29" s="21">
        <v>0</v>
      </c>
      <c r="T29" s="28">
        <v>1104</v>
      </c>
      <c r="U29" s="36">
        <v>240</v>
      </c>
      <c r="V29" s="37" t="s">
        <v>779</v>
      </c>
      <c r="W29" s="14">
        <v>0</v>
      </c>
      <c r="X29" s="38">
        <f t="shared" si="9"/>
        <v>0</v>
      </c>
      <c r="Y29" s="39">
        <f t="shared" si="10"/>
        <v>0</v>
      </c>
      <c r="Z29" s="14">
        <v>0</v>
      </c>
      <c r="AA29" s="28" t="s">
        <v>34</v>
      </c>
      <c r="AB29" s="40">
        <f t="shared" si="11"/>
        <v>-0.69</v>
      </c>
      <c r="AC29" s="41">
        <v>0.14755497685185187</v>
      </c>
      <c r="AD29" s="39">
        <f t="shared" si="12"/>
        <v>-0.40725173611111115</v>
      </c>
      <c r="AE29" s="39">
        <v>-6.28</v>
      </c>
      <c r="AF29" s="25">
        <v>-10.635225</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864</v>
      </c>
      <c r="U30" s="36">
        <v>160</v>
      </c>
      <c r="V30" s="37" t="s">
        <v>600</v>
      </c>
      <c r="W30" s="14">
        <v>0</v>
      </c>
      <c r="X30" s="38">
        <f t="shared" si="9"/>
        <v>0</v>
      </c>
      <c r="Y30" s="39">
        <f t="shared" si="10"/>
        <v>0</v>
      </c>
      <c r="Z30" s="14">
        <v>0</v>
      </c>
      <c r="AA30" s="28" t="s">
        <v>34</v>
      </c>
      <c r="AB30" s="40">
        <f t="shared" si="11"/>
        <v>-0.69</v>
      </c>
      <c r="AC30" s="41">
        <v>0.14755497685185187</v>
      </c>
      <c r="AD30" s="39">
        <f t="shared" si="12"/>
        <v>0</v>
      </c>
      <c r="AE30" s="25">
        <v>-6.28</v>
      </c>
      <c r="AF30" s="25">
        <v>-9.7917137437499999</v>
      </c>
      <c r="AG30" s="25">
        <v>0</v>
      </c>
    </row>
    <row r="31" spans="1:33" ht="15.75" customHeight="1" x14ac:dyDescent="0.2">
      <c r="A31" s="14" t="s">
        <v>75</v>
      </c>
      <c r="B31" s="14"/>
      <c r="C31" s="15" t="str">
        <f t="shared" si="4"/>
        <v xml:space="preserve"> - </v>
      </c>
      <c r="D31" s="16">
        <v>0</v>
      </c>
      <c r="E31" s="16">
        <v>1</v>
      </c>
      <c r="F31" s="17">
        <v>0</v>
      </c>
      <c r="G31" s="42">
        <v>0</v>
      </c>
      <c r="H31" s="31" t="e">
        <f t="shared" si="1"/>
        <v>#DIV/0!</v>
      </c>
      <c r="I31" s="31" t="e">
        <f t="shared" si="2"/>
        <v>#DIV/0!</v>
      </c>
      <c r="J31" s="32">
        <f t="shared" si="5"/>
        <v>0</v>
      </c>
      <c r="K31" s="32" t="e">
        <f t="shared" si="3"/>
        <v>#DIV/0!</v>
      </c>
      <c r="L31" s="16">
        <v>0</v>
      </c>
      <c r="M31" s="33" t="str">
        <f t="shared" si="6"/>
        <v>-</v>
      </c>
      <c r="N31" s="16">
        <v>237</v>
      </c>
      <c r="O31" s="34">
        <f t="shared" ref="O31:P32" si="39">D31/7</f>
        <v>0</v>
      </c>
      <c r="P31" s="34">
        <f t="shared" si="39"/>
        <v>0.14285714285714285</v>
      </c>
      <c r="Q31" s="29">
        <f t="shared" si="8"/>
        <v>1659</v>
      </c>
      <c r="R31" s="29"/>
      <c r="S31" s="21">
        <v>1.64399421128798</v>
      </c>
      <c r="T31" s="14" t="s">
        <v>33</v>
      </c>
      <c r="U31" s="22">
        <v>160</v>
      </c>
      <c r="V31" s="1" t="s">
        <v>942</v>
      </c>
      <c r="W31" s="14">
        <v>0</v>
      </c>
      <c r="X31" s="38">
        <f t="shared" si="9"/>
        <v>0</v>
      </c>
      <c r="Y31" s="39">
        <f t="shared" si="10"/>
        <v>0</v>
      </c>
      <c r="Z31" s="14">
        <v>0</v>
      </c>
      <c r="AA31" s="14" t="s">
        <v>34</v>
      </c>
      <c r="AB31" s="40">
        <f t="shared" si="11"/>
        <v>-0.69</v>
      </c>
      <c r="AC31" s="27">
        <v>0.14755497685185187</v>
      </c>
      <c r="AD31" s="39">
        <f t="shared" si="12"/>
        <v>0</v>
      </c>
      <c r="AE31" s="43">
        <v>-6.28</v>
      </c>
      <c r="AF31" s="43">
        <v>-9.7917137437499999</v>
      </c>
      <c r="AG31" s="25">
        <v>0</v>
      </c>
    </row>
    <row r="32" spans="1:33" s="51" customFormat="1" ht="15.75" customHeight="1" x14ac:dyDescent="0.2">
      <c r="A32" s="51" t="s">
        <v>934</v>
      </c>
      <c r="C32" s="15" t="str">
        <f t="shared" si="4"/>
        <v xml:space="preserve"> - </v>
      </c>
      <c r="D32" s="52">
        <v>0</v>
      </c>
      <c r="E32" s="52">
        <v>1</v>
      </c>
      <c r="F32" s="53">
        <v>0</v>
      </c>
      <c r="G32" s="53">
        <v>0</v>
      </c>
      <c r="H32" s="31" t="e">
        <f t="shared" si="1"/>
        <v>#DIV/0!</v>
      </c>
      <c r="I32" s="31" t="e">
        <f t="shared" si="2"/>
        <v>#DIV/0!</v>
      </c>
      <c r="J32" s="32">
        <f t="shared" si="5"/>
        <v>0</v>
      </c>
      <c r="K32" s="32" t="e">
        <f t="shared" si="3"/>
        <v>#DIV/0!</v>
      </c>
      <c r="L32" s="52">
        <v>0</v>
      </c>
      <c r="M32" s="33" t="str">
        <f t="shared" si="6"/>
        <v>-</v>
      </c>
      <c r="N32" s="52">
        <v>236</v>
      </c>
      <c r="O32" s="34">
        <f t="shared" si="39"/>
        <v>0</v>
      </c>
      <c r="P32" s="34">
        <f t="shared" si="39"/>
        <v>0.14285714285714285</v>
      </c>
      <c r="Q32" s="29">
        <f t="shared" si="8"/>
        <v>1652</v>
      </c>
      <c r="R32" s="29" t="str">
        <f ca="1">IFERROR(VLOOKUP($B$2,IMPORTRANGE("https://docs.google.com/spreadsheets/d/1KiWZV1ko8G7lnRucBRBd29jj3Be6ltMfljMDqzOkQmI/edit#gid=1381463014","Lookup!A:F"),6,FALSE),"")</f>
        <v/>
      </c>
      <c r="S32" s="54">
        <v>1.7508650519031139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0.14755497685185187</v>
      </c>
      <c r="AD32" s="39">
        <f t="shared" si="12"/>
        <v>0</v>
      </c>
      <c r="AE32" s="58">
        <v>-6.28</v>
      </c>
      <c r="AF32" s="58">
        <v>-9.7917137437499999</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7.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18.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Info!B1:BJ5000""),3,FALSE),"""")"),"18 Gauge Automotive Wire - 4 Roll Assortment Pack -100 Ft of Copper Clad Aluminum Primary Wire per Roll")</f>
        <v>18 Gauge Automotive Wire - 4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Info!B1:BJ5000""),2,FALSE),"""")"),"B07QJYVN57")</f>
        <v>B07QJYVN57</v>
      </c>
      <c r="B2" s="49" t="s">
        <v>780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78.75" customHeight="1" x14ac:dyDescent="0.2">
      <c r="A3" s="76" t="s">
        <v>30</v>
      </c>
      <c r="B3" s="77"/>
      <c r="C3" s="47">
        <f>((AE32+AF32)/0.85)*-1</f>
        <v>11.112416127941165</v>
      </c>
      <c r="D3" s="5">
        <f>SUM(D4:D99634)</f>
        <v>12</v>
      </c>
      <c r="E3" s="5"/>
      <c r="F3" s="6">
        <f t="shared" ref="F3:G3" si="0">SUM(F4:F99634)</f>
        <v>203.88</v>
      </c>
      <c r="G3" s="6">
        <f t="shared" si="0"/>
        <v>-0.15000000000000002</v>
      </c>
      <c r="H3" s="7">
        <f t="shared" ref="H3:H32" si="1">G3/F3*-1</f>
        <v>7.3572689817539747E-4</v>
      </c>
      <c r="I3" s="8">
        <f t="shared" ref="I3:I32" si="2">J3/F3</f>
        <v>0.27942330954585665</v>
      </c>
      <c r="J3" s="6">
        <f>SUM(J4:J99634)</f>
        <v>56.968824350209253</v>
      </c>
      <c r="K3" s="6">
        <f t="shared" ref="K3:K32" si="3">J3/D3</f>
        <v>4.7474020291841041</v>
      </c>
      <c r="L3" s="5"/>
      <c r="M3" s="9"/>
      <c r="N3" s="10"/>
      <c r="O3" s="5" t="str">
        <f ca="1">IFERROR(__xludf.DUMMYFUNCTION("IFERROR(VLOOKUP(B2,IMPORTRANGE(""https://docs.google.com/spreadsheets/d/1N8jvpEHDVkurDv7NrPxwI3eH6hQsvtb1QltGNCalRjU/edit#gid=865736387"",""Compiled Sheet!a1:g5000""),2,FALSE),"""")"),"discontinue - March
discontinue - April
0.5 - May
0.5 - June
0.5 - July
0.5 - Aug
0.5 - Sept
0.5 - Oct
0.5 - Nov
0.5 - Dec
discontinue - Jan
discontinue - Feb")</f>
        <v>discontinue - March
discontinue - April
0.5 - May
0.5 - June
0.5 - July
0.5 - Aug
0.5 - Sept
0.5 - Oct
0.5 - Nov
0.5 - Dec
discontinue - Jan
discontinue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0</v>
      </c>
      <c r="X3" s="7">
        <f>W3/D3</f>
        <v>0</v>
      </c>
      <c r="Y3" s="6"/>
      <c r="Z3" s="5"/>
      <c r="AA3" s="5"/>
      <c r="AB3" s="5"/>
      <c r="AC3" s="5"/>
      <c r="AD3" s="6">
        <f>SUM(AD4:AD99634)</f>
        <v>-0.96171397146903548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Info!B2:BZ7000""),37,FALSE)),"""")*-1"),-4.02555370874999)</f>
        <v>-4.0255537087499897</v>
      </c>
      <c r="AG3" s="6">
        <f>SUM(AG4:AG99634)</f>
        <v>0</v>
      </c>
    </row>
    <row r="4" spans="1:33" ht="15.75" customHeight="1" x14ac:dyDescent="0.2">
      <c r="A4" s="14" t="s">
        <v>31</v>
      </c>
      <c r="B4" s="14" t="s">
        <v>781</v>
      </c>
      <c r="C4" s="15">
        <f t="shared" ref="C4:C32" si="4">IFERROR(F4/D4," - ")</f>
        <v>16.989999999999998</v>
      </c>
      <c r="D4" s="16">
        <v>8</v>
      </c>
      <c r="E4" s="16">
        <v>0</v>
      </c>
      <c r="F4" s="17">
        <v>135.91999999999999</v>
      </c>
      <c r="G4" s="17">
        <v>-7.0000000000000007E-2</v>
      </c>
      <c r="H4" s="18">
        <f t="shared" si="1"/>
        <v>5.1500882872277819E-4</v>
      </c>
      <c r="I4" s="18">
        <f t="shared" si="2"/>
        <v>0.27964584887357741</v>
      </c>
      <c r="J4" s="17">
        <f t="shared" ref="J4:J32" si="5">F4*0.85+G4+AF4*D4+D4*AE4+AG4+AD4</f>
        <v>38.009463778896638</v>
      </c>
      <c r="K4" s="17">
        <f t="shared" si="3"/>
        <v>4.7511829723620798</v>
      </c>
      <c r="L4" s="16">
        <v>11</v>
      </c>
      <c r="M4" s="19">
        <f t="shared" ref="M4:M32" si="6">IFERROR(D4/L4,"-")</f>
        <v>0.72727272727272729</v>
      </c>
      <c r="N4" s="16">
        <v>5</v>
      </c>
      <c r="O4" s="20">
        <f t="shared" ref="O4:P4" si="7">D4/7</f>
        <v>1.1428571428571428</v>
      </c>
      <c r="P4" s="20">
        <f t="shared" si="7"/>
        <v>0</v>
      </c>
      <c r="Q4" s="16">
        <f t="shared" ref="Q4:Q32" si="8">ROUNDDOWN(N4/(O4+P4),0)</f>
        <v>4</v>
      </c>
      <c r="R4" s="16"/>
      <c r="S4" s="21">
        <v>2.13043478260869</v>
      </c>
      <c r="T4" s="14">
        <v>0</v>
      </c>
      <c r="U4" s="22" t="s">
        <v>33</v>
      </c>
      <c r="V4" s="23" t="s">
        <v>33</v>
      </c>
      <c r="W4" s="14">
        <v>0</v>
      </c>
      <c r="X4" s="24">
        <f t="shared" ref="X4:X32" si="9">IFERROR(W4/D4,0)</f>
        <v>0</v>
      </c>
      <c r="Y4" s="25">
        <f t="shared" ref="Y4:Y32" si="10">IFERROR(G4/(W4+Z4)*-1,0)</f>
        <v>7.0000000000000007E-2</v>
      </c>
      <c r="Z4" s="14">
        <v>1</v>
      </c>
      <c r="AA4" s="2" t="s">
        <v>34</v>
      </c>
      <c r="AB4" s="26">
        <f t="shared" ref="AB4:AB32" si="11">IF(OR(AA4="UsLargeStandardSize",AA4="UsSmallStandardSize"),-0.69,-0.48)</f>
        <v>-0.69</v>
      </c>
      <c r="AC4" s="27">
        <v>5.8052092592592593E-2</v>
      </c>
      <c r="AD4" s="25">
        <f t="shared" ref="AD4:AD32" si="12">IFERROR(AB4*AC4*D4*2,0)</f>
        <v>-0.64089510222222212</v>
      </c>
      <c r="AE4" s="25">
        <v>-5.42</v>
      </c>
      <c r="AF4" s="25">
        <v>-4.1814551398601401</v>
      </c>
      <c r="AG4" s="25">
        <v>0</v>
      </c>
    </row>
    <row r="5" spans="1:33" ht="15.75" customHeight="1" x14ac:dyDescent="0.2">
      <c r="A5" s="28" t="s">
        <v>35</v>
      </c>
      <c r="B5" s="28" t="s">
        <v>52</v>
      </c>
      <c r="C5" s="15">
        <f t="shared" si="4"/>
        <v>16.989999999999998</v>
      </c>
      <c r="D5" s="29">
        <v>4</v>
      </c>
      <c r="E5" s="29">
        <v>0</v>
      </c>
      <c r="F5" s="30">
        <v>67.959999999999994</v>
      </c>
      <c r="G5" s="30">
        <v>-0.08</v>
      </c>
      <c r="H5" s="31">
        <f t="shared" si="1"/>
        <v>1.1771630370806358E-3</v>
      </c>
      <c r="I5" s="31">
        <f t="shared" si="2"/>
        <v>0.27897823089041518</v>
      </c>
      <c r="J5" s="32">
        <f t="shared" si="5"/>
        <v>18.959360571312615</v>
      </c>
      <c r="K5" s="32">
        <f t="shared" si="3"/>
        <v>4.7398401428281538</v>
      </c>
      <c r="L5" s="29">
        <v>17</v>
      </c>
      <c r="M5" s="33">
        <f t="shared" si="6"/>
        <v>0.23529411764705882</v>
      </c>
      <c r="N5" s="29">
        <v>2</v>
      </c>
      <c r="O5" s="34">
        <f t="shared" ref="O5:P5" si="13">D5/7</f>
        <v>0.5714285714285714</v>
      </c>
      <c r="P5" s="34">
        <f t="shared" si="13"/>
        <v>0</v>
      </c>
      <c r="Q5" s="29">
        <f t="shared" si="8"/>
        <v>3</v>
      </c>
      <c r="R5" s="29"/>
      <c r="S5" s="35">
        <v>2.875</v>
      </c>
      <c r="T5" s="28">
        <v>0</v>
      </c>
      <c r="U5" s="36" t="s">
        <v>33</v>
      </c>
      <c r="V5" s="37" t="s">
        <v>33</v>
      </c>
      <c r="W5" s="28">
        <v>0</v>
      </c>
      <c r="X5" s="38">
        <f t="shared" si="9"/>
        <v>0</v>
      </c>
      <c r="Y5" s="39">
        <f t="shared" si="10"/>
        <v>0</v>
      </c>
      <c r="Z5" s="28">
        <v>0</v>
      </c>
      <c r="AA5" s="28" t="s">
        <v>34</v>
      </c>
      <c r="AB5" s="40">
        <f t="shared" si="11"/>
        <v>-0.69</v>
      </c>
      <c r="AC5" s="41">
        <v>5.8119360370799532E-2</v>
      </c>
      <c r="AD5" s="39">
        <f t="shared" si="12"/>
        <v>-0.32081886924681341</v>
      </c>
      <c r="AE5" s="39">
        <v>-5.42</v>
      </c>
      <c r="AF5" s="39">
        <v>-4.1814551398601401</v>
      </c>
      <c r="AG5" s="39">
        <v>0</v>
      </c>
    </row>
    <row r="6" spans="1:33" ht="15.75" customHeight="1" x14ac:dyDescent="0.2">
      <c r="A6" s="28" t="s">
        <v>37</v>
      </c>
      <c r="B6" s="28"/>
      <c r="C6" s="15" t="str">
        <f t="shared" si="4"/>
        <v xml:space="preserve"> - </v>
      </c>
      <c r="D6" s="29">
        <v>0</v>
      </c>
      <c r="E6" s="29">
        <v>0</v>
      </c>
      <c r="F6" s="30">
        <v>0</v>
      </c>
      <c r="G6" s="30">
        <v>0</v>
      </c>
      <c r="H6" s="31" t="e">
        <f t="shared" si="1"/>
        <v>#DIV/0!</v>
      </c>
      <c r="I6" s="31" t="e">
        <f t="shared" si="2"/>
        <v>#DIV/0!</v>
      </c>
      <c r="J6" s="32">
        <f t="shared" si="5"/>
        <v>0</v>
      </c>
      <c r="K6" s="32" t="e">
        <f t="shared" si="3"/>
        <v>#DIV/0!</v>
      </c>
      <c r="L6" s="29">
        <v>0</v>
      </c>
      <c r="M6" s="33" t="str">
        <f t="shared" si="6"/>
        <v>-</v>
      </c>
      <c r="N6" s="29">
        <v>0</v>
      </c>
      <c r="O6" s="34">
        <f t="shared" ref="O6:P6" si="14">D6/7</f>
        <v>0</v>
      </c>
      <c r="P6" s="34">
        <f t="shared" si="14"/>
        <v>0</v>
      </c>
      <c r="Q6" s="29" t="e">
        <f t="shared" si="8"/>
        <v>#DIV/0!</v>
      </c>
      <c r="R6" s="29"/>
      <c r="S6" s="35" t="e">
        <v>#N/A</v>
      </c>
      <c r="T6" s="28">
        <v>0</v>
      </c>
      <c r="U6" s="36" t="s">
        <v>33</v>
      </c>
      <c r="V6" s="37" t="s">
        <v>39</v>
      </c>
      <c r="W6" s="28">
        <v>0</v>
      </c>
      <c r="X6" s="38">
        <f t="shared" si="9"/>
        <v>0</v>
      </c>
      <c r="Y6" s="39">
        <f t="shared" si="10"/>
        <v>0</v>
      </c>
      <c r="Z6" s="28">
        <v>0</v>
      </c>
      <c r="AA6" s="28" t="e">
        <v>#N/A</v>
      </c>
      <c r="AB6" s="40" t="e">
        <f t="shared" si="11"/>
        <v>#N/A</v>
      </c>
      <c r="AC6" s="41" t="e">
        <v>#N/A</v>
      </c>
      <c r="AD6" s="39">
        <f t="shared" si="12"/>
        <v>0</v>
      </c>
      <c r="AE6" s="39">
        <v>0</v>
      </c>
      <c r="AF6" s="39">
        <v>-4.1814551398601401</v>
      </c>
      <c r="AG6" s="39">
        <v>0</v>
      </c>
    </row>
    <row r="7" spans="1:33" ht="15.75" customHeight="1" x14ac:dyDescent="0.2">
      <c r="A7" s="28" t="s">
        <v>40</v>
      </c>
      <c r="B7" s="28"/>
      <c r="C7" s="15" t="str">
        <f t="shared" si="4"/>
        <v xml:space="preserve"> - </v>
      </c>
      <c r="D7" s="29">
        <v>0</v>
      </c>
      <c r="E7" s="29">
        <v>0</v>
      </c>
      <c r="F7" s="30">
        <v>0</v>
      </c>
      <c r="G7" s="30">
        <v>0</v>
      </c>
      <c r="H7" s="31" t="e">
        <f t="shared" si="1"/>
        <v>#DIV/0!</v>
      </c>
      <c r="I7" s="31" t="e">
        <f t="shared" si="2"/>
        <v>#DIV/0!</v>
      </c>
      <c r="J7" s="32">
        <f t="shared" si="5"/>
        <v>0</v>
      </c>
      <c r="K7" s="32" t="e">
        <f t="shared" si="3"/>
        <v>#DIV/0!</v>
      </c>
      <c r="L7" s="29">
        <v>0</v>
      </c>
      <c r="M7" s="33" t="str">
        <f t="shared" si="6"/>
        <v>-</v>
      </c>
      <c r="N7" s="29">
        <v>0</v>
      </c>
      <c r="O7" s="34">
        <f t="shared" ref="O7:P7" si="15">D7/7</f>
        <v>0</v>
      </c>
      <c r="P7" s="34">
        <f t="shared" si="15"/>
        <v>0</v>
      </c>
      <c r="Q7" s="29" t="e">
        <f t="shared" si="8"/>
        <v>#DIV/0!</v>
      </c>
      <c r="R7" s="29"/>
      <c r="S7" s="35" t="e">
        <v>#N/A</v>
      </c>
      <c r="T7" s="28">
        <v>0</v>
      </c>
      <c r="U7" s="36" t="s">
        <v>33</v>
      </c>
      <c r="V7" s="37" t="s">
        <v>39</v>
      </c>
      <c r="W7" s="28">
        <v>0</v>
      </c>
      <c r="X7" s="38">
        <f t="shared" si="9"/>
        <v>0</v>
      </c>
      <c r="Y7" s="39">
        <f t="shared" si="10"/>
        <v>0</v>
      </c>
      <c r="Z7" s="28">
        <v>0</v>
      </c>
      <c r="AA7" s="28" t="e">
        <v>#N/A</v>
      </c>
      <c r="AB7" s="40" t="e">
        <f t="shared" si="11"/>
        <v>#N/A</v>
      </c>
      <c r="AC7" s="41" t="e">
        <v>#N/A</v>
      </c>
      <c r="AD7" s="39">
        <f t="shared" si="12"/>
        <v>0</v>
      </c>
      <c r="AE7" s="39">
        <v>0</v>
      </c>
      <c r="AF7" s="39">
        <v>-4.1814551398601401</v>
      </c>
      <c r="AG7" s="39">
        <v>0</v>
      </c>
    </row>
    <row r="8" spans="1:33" ht="15.75" customHeight="1" x14ac:dyDescent="0.2">
      <c r="A8" s="28" t="s">
        <v>42</v>
      </c>
      <c r="B8" s="28"/>
      <c r="C8" s="15" t="str">
        <f t="shared" si="4"/>
        <v xml:space="preserve"> - </v>
      </c>
      <c r="D8" s="29">
        <v>0</v>
      </c>
      <c r="E8" s="29">
        <v>0</v>
      </c>
      <c r="F8" s="30">
        <v>0</v>
      </c>
      <c r="G8" s="30">
        <v>0</v>
      </c>
      <c r="H8" s="31" t="e">
        <f t="shared" si="1"/>
        <v>#DIV/0!</v>
      </c>
      <c r="I8" s="31" t="e">
        <f t="shared" si="2"/>
        <v>#DIV/0!</v>
      </c>
      <c r="J8" s="32">
        <f t="shared" si="5"/>
        <v>0</v>
      </c>
      <c r="K8" s="32" t="e">
        <f t="shared" si="3"/>
        <v>#DIV/0!</v>
      </c>
      <c r="L8" s="29">
        <v>0</v>
      </c>
      <c r="M8" s="33" t="str">
        <f t="shared" si="6"/>
        <v>-</v>
      </c>
      <c r="N8" s="29">
        <v>0</v>
      </c>
      <c r="O8" s="34">
        <f t="shared" ref="O8:P8" si="16">D8/7</f>
        <v>0</v>
      </c>
      <c r="P8" s="34">
        <f t="shared" si="16"/>
        <v>0</v>
      </c>
      <c r="Q8" s="29" t="e">
        <f t="shared" si="8"/>
        <v>#DIV/0!</v>
      </c>
      <c r="R8" s="29"/>
      <c r="S8" s="35" t="e">
        <v>#N/A</v>
      </c>
      <c r="T8" s="28">
        <v>0</v>
      </c>
      <c r="U8" s="36" t="s">
        <v>33</v>
      </c>
      <c r="V8" s="37" t="s">
        <v>33</v>
      </c>
      <c r="W8" s="28">
        <v>0</v>
      </c>
      <c r="X8" s="38">
        <f t="shared" si="9"/>
        <v>0</v>
      </c>
      <c r="Y8" s="39">
        <f t="shared" si="10"/>
        <v>0</v>
      </c>
      <c r="Z8" s="28">
        <v>0</v>
      </c>
      <c r="AA8" s="28" t="e">
        <v>#N/A</v>
      </c>
      <c r="AB8" s="40" t="e">
        <f t="shared" si="11"/>
        <v>#N/A</v>
      </c>
      <c r="AC8" s="41" t="e">
        <v>#N/A</v>
      </c>
      <c r="AD8" s="39">
        <f t="shared" si="12"/>
        <v>0</v>
      </c>
      <c r="AE8" s="39">
        <v>0</v>
      </c>
      <c r="AF8" s="39">
        <v>-4.18</v>
      </c>
      <c r="AG8" s="39">
        <v>0</v>
      </c>
    </row>
    <row r="9" spans="1:33" ht="15.75" customHeight="1" x14ac:dyDescent="0.2">
      <c r="A9" s="28" t="s">
        <v>44</v>
      </c>
      <c r="B9" s="28" t="s">
        <v>782</v>
      </c>
      <c r="C9" s="15" t="str">
        <f t="shared" si="4"/>
        <v xml:space="preserve"> - </v>
      </c>
      <c r="D9" s="29">
        <v>0</v>
      </c>
      <c r="E9" s="29">
        <v>0</v>
      </c>
      <c r="F9" s="30">
        <v>0</v>
      </c>
      <c r="G9" s="30">
        <v>0</v>
      </c>
      <c r="H9" s="31" t="e">
        <f t="shared" si="1"/>
        <v>#DIV/0!</v>
      </c>
      <c r="I9" s="31" t="e">
        <f t="shared" si="2"/>
        <v>#DIV/0!</v>
      </c>
      <c r="J9" s="32">
        <f t="shared" si="5"/>
        <v>0</v>
      </c>
      <c r="K9" s="32" t="e">
        <f t="shared" si="3"/>
        <v>#DIV/0!</v>
      </c>
      <c r="L9" s="29">
        <v>0</v>
      </c>
      <c r="M9" s="33" t="str">
        <f t="shared" si="6"/>
        <v>-</v>
      </c>
      <c r="N9" s="29">
        <v>0</v>
      </c>
      <c r="O9" s="34">
        <f t="shared" ref="O9:P9" si="17">D9/7</f>
        <v>0</v>
      </c>
      <c r="P9" s="34">
        <f t="shared" si="17"/>
        <v>0</v>
      </c>
      <c r="Q9" s="29" t="e">
        <f t="shared" si="8"/>
        <v>#DIV/0!</v>
      </c>
      <c r="R9" s="29"/>
      <c r="S9" s="35" t="e">
        <v>#N/A</v>
      </c>
      <c r="T9" s="28">
        <v>0</v>
      </c>
      <c r="U9" s="36" t="s">
        <v>33</v>
      </c>
      <c r="V9" s="37" t="s">
        <v>33</v>
      </c>
      <c r="W9" s="28">
        <v>0</v>
      </c>
      <c r="X9" s="38">
        <f t="shared" si="9"/>
        <v>0</v>
      </c>
      <c r="Y9" s="39">
        <f t="shared" si="10"/>
        <v>0</v>
      </c>
      <c r="Z9" s="28">
        <v>0</v>
      </c>
      <c r="AA9" s="28" t="e">
        <v>#N/A</v>
      </c>
      <c r="AB9" s="40" t="e">
        <f t="shared" si="11"/>
        <v>#N/A</v>
      </c>
      <c r="AC9" s="41" t="e">
        <v>#N/A</v>
      </c>
      <c r="AD9" s="39">
        <f t="shared" si="12"/>
        <v>0</v>
      </c>
      <c r="AE9" s="39">
        <v>0</v>
      </c>
      <c r="AF9" s="39">
        <v>-4.2744621328671304</v>
      </c>
      <c r="AG9" s="39">
        <v>0</v>
      </c>
    </row>
    <row r="10" spans="1:33" ht="15.75" customHeight="1" x14ac:dyDescent="0.2">
      <c r="A10" s="28" t="s">
        <v>46</v>
      </c>
      <c r="B10" s="28"/>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0</v>
      </c>
      <c r="O10" s="34">
        <f t="shared" ref="O10:P10" si="18">D10/7</f>
        <v>0</v>
      </c>
      <c r="P10" s="34">
        <f t="shared" si="18"/>
        <v>0</v>
      </c>
      <c r="Q10" s="29" t="e">
        <f t="shared" si="8"/>
        <v>#DIV/0!</v>
      </c>
      <c r="R10" s="29"/>
      <c r="S10" s="35" t="e">
        <v>#N/A</v>
      </c>
      <c r="T10" s="28">
        <v>0</v>
      </c>
      <c r="U10" s="36" t="s">
        <v>33</v>
      </c>
      <c r="V10" s="37" t="s">
        <v>33</v>
      </c>
      <c r="W10" s="28">
        <v>0</v>
      </c>
      <c r="X10" s="38">
        <f t="shared" si="9"/>
        <v>0</v>
      </c>
      <c r="Y10" s="39">
        <f t="shared" si="10"/>
        <v>0</v>
      </c>
      <c r="Z10" s="28">
        <v>0</v>
      </c>
      <c r="AA10" s="28" t="e">
        <v>#N/A</v>
      </c>
      <c r="AB10" s="40" t="e">
        <f t="shared" si="11"/>
        <v>#N/A</v>
      </c>
      <c r="AC10" s="41" t="e">
        <v>#N/A</v>
      </c>
      <c r="AD10" s="39">
        <f t="shared" si="12"/>
        <v>0</v>
      </c>
      <c r="AE10" s="39">
        <v>0</v>
      </c>
      <c r="AF10" s="39">
        <v>-4.2744621328671304</v>
      </c>
      <c r="AG10" s="39">
        <v>0</v>
      </c>
    </row>
    <row r="11" spans="1:33" ht="15.75" customHeight="1" x14ac:dyDescent="0.2">
      <c r="A11" s="28" t="s">
        <v>48</v>
      </c>
      <c r="B11" s="28"/>
      <c r="C11" s="15" t="str">
        <f t="shared" si="4"/>
        <v xml:space="preserve"> - </v>
      </c>
      <c r="D11" s="29">
        <v>0</v>
      </c>
      <c r="E11" s="29">
        <v>0</v>
      </c>
      <c r="F11" s="30">
        <v>0</v>
      </c>
      <c r="G11" s="30">
        <v>0</v>
      </c>
      <c r="H11" s="31" t="e">
        <f t="shared" si="1"/>
        <v>#DIV/0!</v>
      </c>
      <c r="I11" s="31" t="e">
        <f t="shared" si="2"/>
        <v>#DIV/0!</v>
      </c>
      <c r="J11" s="32">
        <f t="shared" si="5"/>
        <v>0</v>
      </c>
      <c r="K11" s="32" t="e">
        <f t="shared" si="3"/>
        <v>#DIV/0!</v>
      </c>
      <c r="L11" s="29">
        <v>0</v>
      </c>
      <c r="M11" s="33" t="str">
        <f t="shared" si="6"/>
        <v>-</v>
      </c>
      <c r="N11" s="29">
        <v>0</v>
      </c>
      <c r="O11" s="34">
        <f t="shared" ref="O11:P11" si="19">D11/7</f>
        <v>0</v>
      </c>
      <c r="P11" s="34">
        <f t="shared" si="19"/>
        <v>0</v>
      </c>
      <c r="Q11" s="29" t="e">
        <f t="shared" si="8"/>
        <v>#DIV/0!</v>
      </c>
      <c r="R11" s="29"/>
      <c r="S11" s="35" t="e">
        <v>#N/A</v>
      </c>
      <c r="T11" s="28">
        <v>0</v>
      </c>
      <c r="U11" s="36" t="s">
        <v>33</v>
      </c>
      <c r="V11" s="37" t="s">
        <v>33</v>
      </c>
      <c r="W11" s="28">
        <v>0</v>
      </c>
      <c r="X11" s="38">
        <f t="shared" si="9"/>
        <v>0</v>
      </c>
      <c r="Y11" s="39">
        <f t="shared" si="10"/>
        <v>0</v>
      </c>
      <c r="Z11" s="28">
        <v>0</v>
      </c>
      <c r="AA11" s="28" t="e">
        <v>#N/A</v>
      </c>
      <c r="AB11" s="40" t="e">
        <f t="shared" si="11"/>
        <v>#N/A</v>
      </c>
      <c r="AC11" s="41" t="e">
        <v>#N/A</v>
      </c>
      <c r="AD11" s="39">
        <f t="shared" si="12"/>
        <v>0</v>
      </c>
      <c r="AE11" s="39">
        <v>0</v>
      </c>
      <c r="AF11" s="39">
        <v>-4.2744621328671304</v>
      </c>
      <c r="AG11" s="39">
        <v>0</v>
      </c>
    </row>
    <row r="12" spans="1:33" ht="15.75" customHeight="1" x14ac:dyDescent="0.2">
      <c r="A12" s="28" t="s">
        <v>49</v>
      </c>
      <c r="B12" s="28"/>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0</v>
      </c>
      <c r="O12" s="34">
        <f t="shared" ref="O12:P12" si="20">D12/7</f>
        <v>0</v>
      </c>
      <c r="P12" s="34">
        <f t="shared" si="20"/>
        <v>0</v>
      </c>
      <c r="Q12" s="29" t="e">
        <f t="shared" si="8"/>
        <v>#DIV/0!</v>
      </c>
      <c r="R12" s="29"/>
      <c r="S12" s="35" t="e">
        <v>#N/A</v>
      </c>
      <c r="T12" s="28">
        <v>0</v>
      </c>
      <c r="U12" s="36" t="s">
        <v>33</v>
      </c>
      <c r="V12" s="37" t="s">
        <v>33</v>
      </c>
      <c r="W12" s="28">
        <v>0</v>
      </c>
      <c r="X12" s="38">
        <f t="shared" si="9"/>
        <v>0</v>
      </c>
      <c r="Y12" s="39">
        <f t="shared" si="10"/>
        <v>0</v>
      </c>
      <c r="Z12" s="28">
        <v>0</v>
      </c>
      <c r="AA12" s="28" t="e">
        <v>#N/A</v>
      </c>
      <c r="AB12" s="40" t="e">
        <f t="shared" si="11"/>
        <v>#N/A</v>
      </c>
      <c r="AC12" s="41" t="e">
        <v>#N/A</v>
      </c>
      <c r="AD12" s="39">
        <f t="shared" si="12"/>
        <v>0</v>
      </c>
      <c r="AE12" s="39">
        <v>0</v>
      </c>
      <c r="AF12" s="39">
        <v>-4.2744621328671304</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0</v>
      </c>
      <c r="O13" s="34">
        <f t="shared" ref="O13:P13" si="21">D13/7</f>
        <v>0</v>
      </c>
      <c r="P13" s="34">
        <f t="shared" si="21"/>
        <v>0</v>
      </c>
      <c r="Q13" s="29" t="e">
        <f t="shared" si="8"/>
        <v>#DIV/0!</v>
      </c>
      <c r="R13" s="29"/>
      <c r="S13" s="35" t="e">
        <v>#N/A</v>
      </c>
      <c r="T13" s="28">
        <v>0</v>
      </c>
      <c r="U13" s="36" t="s">
        <v>33</v>
      </c>
      <c r="V13" s="37" t="s">
        <v>33</v>
      </c>
      <c r="W13" s="28">
        <v>0</v>
      </c>
      <c r="X13" s="38">
        <f t="shared" si="9"/>
        <v>0</v>
      </c>
      <c r="Y13" s="39">
        <f t="shared" si="10"/>
        <v>0</v>
      </c>
      <c r="Z13" s="28">
        <v>0</v>
      </c>
      <c r="AA13" s="28" t="e">
        <v>#N/A</v>
      </c>
      <c r="AB13" s="40" t="e">
        <f t="shared" si="11"/>
        <v>#N/A</v>
      </c>
      <c r="AC13" s="41" t="e">
        <v>#N/A</v>
      </c>
      <c r="AD13" s="39">
        <f t="shared" si="12"/>
        <v>0</v>
      </c>
      <c r="AE13" s="39">
        <v>0</v>
      </c>
      <c r="AF13" s="39">
        <v>-4.3234131818181796</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0</v>
      </c>
      <c r="U14" s="36" t="s">
        <v>33</v>
      </c>
      <c r="V14" s="37" t="s">
        <v>33</v>
      </c>
      <c r="W14" s="28">
        <v>0</v>
      </c>
      <c r="X14" s="38">
        <f t="shared" si="9"/>
        <v>0</v>
      </c>
      <c r="Y14" s="39">
        <f t="shared" si="10"/>
        <v>0</v>
      </c>
      <c r="Z14" s="28">
        <v>0</v>
      </c>
      <c r="AA14" s="28" t="e">
        <v>#N/A</v>
      </c>
      <c r="AB14" s="40" t="e">
        <f t="shared" si="11"/>
        <v>#N/A</v>
      </c>
      <c r="AC14" s="41" t="e">
        <v>#N/A</v>
      </c>
      <c r="AD14" s="39">
        <f t="shared" si="12"/>
        <v>0</v>
      </c>
      <c r="AE14" s="39">
        <v>0</v>
      </c>
      <c r="AF14" s="39">
        <v>-4.3234131818181796</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0</v>
      </c>
      <c r="U15" s="36" t="s">
        <v>33</v>
      </c>
      <c r="V15" s="37" t="s">
        <v>33</v>
      </c>
      <c r="W15" s="28">
        <v>0</v>
      </c>
      <c r="X15" s="38">
        <f t="shared" si="9"/>
        <v>0</v>
      </c>
      <c r="Y15" s="39">
        <f t="shared" si="10"/>
        <v>0</v>
      </c>
      <c r="Z15" s="28">
        <v>0</v>
      </c>
      <c r="AA15" s="28" t="e">
        <v>#N/A</v>
      </c>
      <c r="AB15" s="40" t="e">
        <f t="shared" si="11"/>
        <v>#N/A</v>
      </c>
      <c r="AC15" s="41" t="e">
        <v>#N/A</v>
      </c>
      <c r="AD15" s="39">
        <f t="shared" si="12"/>
        <v>0</v>
      </c>
      <c r="AE15" s="39">
        <v>0</v>
      </c>
      <c r="AF15" s="39">
        <v>-4.3234131818181796</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0</v>
      </c>
      <c r="O16" s="34">
        <f t="shared" ref="O16:P16" si="24">D16/7</f>
        <v>0</v>
      </c>
      <c r="P16" s="34">
        <f t="shared" si="24"/>
        <v>0</v>
      </c>
      <c r="Q16" s="29" t="e">
        <f t="shared" si="8"/>
        <v>#DIV/0!</v>
      </c>
      <c r="R16" s="29"/>
      <c r="S16" s="35" t="e">
        <v>#N/A</v>
      </c>
      <c r="T16" s="28">
        <v>0</v>
      </c>
      <c r="U16" s="36" t="s">
        <v>33</v>
      </c>
      <c r="V16" s="37" t="s">
        <v>33</v>
      </c>
      <c r="W16" s="28">
        <v>0</v>
      </c>
      <c r="X16" s="38">
        <f t="shared" si="9"/>
        <v>0</v>
      </c>
      <c r="Y16" s="39">
        <f t="shared" si="10"/>
        <v>0</v>
      </c>
      <c r="Z16" s="28">
        <v>0</v>
      </c>
      <c r="AA16" s="28" t="e">
        <v>#N/A</v>
      </c>
      <c r="AB16" s="40" t="e">
        <f t="shared" si="11"/>
        <v>#N/A</v>
      </c>
      <c r="AC16" s="41" t="e">
        <v>#N/A</v>
      </c>
      <c r="AD16" s="39">
        <f t="shared" si="12"/>
        <v>0</v>
      </c>
      <c r="AE16" s="39">
        <v>0</v>
      </c>
      <c r="AF16" s="39">
        <v>-4.3234131818181796</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0</v>
      </c>
      <c r="O17" s="34">
        <f t="shared" ref="O17:P17" si="25">D17/7</f>
        <v>0</v>
      </c>
      <c r="P17" s="34">
        <f t="shared" si="25"/>
        <v>0</v>
      </c>
      <c r="Q17" s="29" t="e">
        <f t="shared" si="8"/>
        <v>#DIV/0!</v>
      </c>
      <c r="R17" s="29"/>
      <c r="S17" s="35" t="e">
        <v>#N/A</v>
      </c>
      <c r="T17" s="28">
        <v>0</v>
      </c>
      <c r="U17" s="36" t="s">
        <v>33</v>
      </c>
      <c r="V17" s="37" t="s">
        <v>33</v>
      </c>
      <c r="W17" s="28">
        <v>0</v>
      </c>
      <c r="X17" s="38">
        <f t="shared" si="9"/>
        <v>0</v>
      </c>
      <c r="Y17" s="39">
        <f t="shared" si="10"/>
        <v>0</v>
      </c>
      <c r="Z17" s="28">
        <v>0</v>
      </c>
      <c r="AA17" s="28" t="e">
        <v>#N/A</v>
      </c>
      <c r="AB17" s="40" t="e">
        <f t="shared" si="11"/>
        <v>#N/A</v>
      </c>
      <c r="AC17" s="41" t="e">
        <v>#N/A</v>
      </c>
      <c r="AD17" s="39">
        <f t="shared" si="12"/>
        <v>0</v>
      </c>
      <c r="AE17" s="39">
        <v>0</v>
      </c>
      <c r="AF17" s="39">
        <v>-4.2331131818181804</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0</v>
      </c>
      <c r="O18" s="34">
        <f t="shared" ref="O18:P18" si="26">D18/7</f>
        <v>0</v>
      </c>
      <c r="P18" s="34">
        <f t="shared" si="26"/>
        <v>0</v>
      </c>
      <c r="Q18" s="29" t="e">
        <f t="shared" si="8"/>
        <v>#DIV/0!</v>
      </c>
      <c r="R18" s="29"/>
      <c r="S18" s="35" t="e">
        <v>#N/A</v>
      </c>
      <c r="T18" s="28">
        <v>0</v>
      </c>
      <c r="U18" s="36" t="s">
        <v>33</v>
      </c>
      <c r="V18" s="37" t="s">
        <v>33</v>
      </c>
      <c r="W18" s="28">
        <v>0</v>
      </c>
      <c r="X18" s="38">
        <f t="shared" si="9"/>
        <v>0</v>
      </c>
      <c r="Y18" s="39">
        <f t="shared" si="10"/>
        <v>0</v>
      </c>
      <c r="Z18" s="28">
        <v>0</v>
      </c>
      <c r="AA18" s="28" t="e">
        <v>#N/A</v>
      </c>
      <c r="AB18" s="40" t="e">
        <f t="shared" si="11"/>
        <v>#N/A</v>
      </c>
      <c r="AC18" s="41" t="e">
        <v>#N/A</v>
      </c>
      <c r="AD18" s="39">
        <f t="shared" si="12"/>
        <v>0</v>
      </c>
      <c r="AE18" s="39">
        <v>0</v>
      </c>
      <c r="AF18" s="39">
        <v>-4.2331131818181804</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t="e">
        <v>#N/A</v>
      </c>
      <c r="T19" s="28">
        <v>0</v>
      </c>
      <c r="U19" s="36" t="s">
        <v>33</v>
      </c>
      <c r="V19" s="37" t="s">
        <v>33</v>
      </c>
      <c r="W19" s="28">
        <v>0</v>
      </c>
      <c r="X19" s="38">
        <f t="shared" si="9"/>
        <v>0</v>
      </c>
      <c r="Y19" s="39">
        <f t="shared" si="10"/>
        <v>0</v>
      </c>
      <c r="Z19" s="28">
        <v>0</v>
      </c>
      <c r="AA19" s="28" t="e">
        <v>#N/A</v>
      </c>
      <c r="AB19" s="40" t="e">
        <f t="shared" si="11"/>
        <v>#N/A</v>
      </c>
      <c r="AC19" s="41" t="e">
        <v>#N/A</v>
      </c>
      <c r="AD19" s="39">
        <f t="shared" si="12"/>
        <v>0</v>
      </c>
      <c r="AE19" s="39">
        <v>0</v>
      </c>
      <c r="AF19" s="39">
        <v>-4.4256779318181811</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0</v>
      </c>
      <c r="U20" s="36" t="s">
        <v>33</v>
      </c>
      <c r="V20" s="37" t="s">
        <v>33</v>
      </c>
      <c r="W20" s="28">
        <v>0</v>
      </c>
      <c r="X20" s="38">
        <f t="shared" si="9"/>
        <v>0</v>
      </c>
      <c r="Y20" s="39">
        <f t="shared" si="10"/>
        <v>0</v>
      </c>
      <c r="Z20" s="28">
        <v>0</v>
      </c>
      <c r="AA20" s="28" t="e">
        <v>#N/A</v>
      </c>
      <c r="AB20" s="40" t="e">
        <f t="shared" si="11"/>
        <v>#N/A</v>
      </c>
      <c r="AC20" s="41" t="e">
        <v>#N/A</v>
      </c>
      <c r="AD20" s="39">
        <f t="shared" si="12"/>
        <v>0</v>
      </c>
      <c r="AE20" s="39">
        <v>0</v>
      </c>
      <c r="AF20" s="39">
        <v>-4.4256779318181811</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0</v>
      </c>
      <c r="U21" s="36" t="s">
        <v>33</v>
      </c>
      <c r="V21" s="37" t="s">
        <v>33</v>
      </c>
      <c r="W21" s="28">
        <v>0</v>
      </c>
      <c r="X21" s="38">
        <f t="shared" si="9"/>
        <v>0</v>
      </c>
      <c r="Y21" s="39">
        <f t="shared" si="10"/>
        <v>0</v>
      </c>
      <c r="Z21" s="28">
        <v>0</v>
      </c>
      <c r="AA21" s="28" t="e">
        <v>#N/A</v>
      </c>
      <c r="AB21" s="40" t="e">
        <f t="shared" si="11"/>
        <v>#N/A</v>
      </c>
      <c r="AC21" s="41" t="e">
        <v>#N/A</v>
      </c>
      <c r="AD21" s="39">
        <f t="shared" si="12"/>
        <v>0</v>
      </c>
      <c r="AE21" s="39">
        <v>0</v>
      </c>
      <c r="AF21" s="39">
        <v>-4.4256779318181811</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0</v>
      </c>
      <c r="U22" s="36" t="s">
        <v>33</v>
      </c>
      <c r="V22" s="37" t="s">
        <v>33</v>
      </c>
      <c r="W22" s="28">
        <v>0</v>
      </c>
      <c r="X22" s="38">
        <f t="shared" si="9"/>
        <v>0</v>
      </c>
      <c r="Y22" s="39">
        <f t="shared" si="10"/>
        <v>0</v>
      </c>
      <c r="Z22" s="28">
        <v>0</v>
      </c>
      <c r="AA22" s="28" t="e">
        <v>#N/A</v>
      </c>
      <c r="AB22" s="40" t="e">
        <f t="shared" si="11"/>
        <v>#N/A</v>
      </c>
      <c r="AC22" s="41" t="e">
        <v>#N/A</v>
      </c>
      <c r="AD22" s="39">
        <f t="shared" si="12"/>
        <v>0</v>
      </c>
      <c r="AE22" s="39">
        <v>0</v>
      </c>
      <c r="AF22" s="39">
        <v>-4.4256779318181811</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0</v>
      </c>
      <c r="U23" s="36" t="s">
        <v>33</v>
      </c>
      <c r="V23" s="37" t="s">
        <v>33</v>
      </c>
      <c r="W23" s="28">
        <v>0</v>
      </c>
      <c r="X23" s="38">
        <f t="shared" si="9"/>
        <v>0</v>
      </c>
      <c r="Y23" s="39">
        <f t="shared" si="10"/>
        <v>0</v>
      </c>
      <c r="Z23" s="28">
        <v>0</v>
      </c>
      <c r="AA23" s="28" t="e">
        <v>#N/A</v>
      </c>
      <c r="AB23" s="40" t="e">
        <f t="shared" si="11"/>
        <v>#N/A</v>
      </c>
      <c r="AC23" s="41" t="e">
        <v>#N/A</v>
      </c>
      <c r="AD23" s="39">
        <f t="shared" si="12"/>
        <v>0</v>
      </c>
      <c r="AE23" s="39">
        <v>0</v>
      </c>
      <c r="AF23" s="39">
        <v>-4.4256779318181811</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0</v>
      </c>
      <c r="U24" s="36" t="s">
        <v>33</v>
      </c>
      <c r="V24" s="37" t="s">
        <v>33</v>
      </c>
      <c r="W24" s="28">
        <v>0</v>
      </c>
      <c r="X24" s="38">
        <f t="shared" si="9"/>
        <v>0</v>
      </c>
      <c r="Y24" s="39">
        <f t="shared" si="10"/>
        <v>0</v>
      </c>
      <c r="Z24" s="28">
        <v>0</v>
      </c>
      <c r="AA24" s="28" t="s">
        <v>34</v>
      </c>
      <c r="AB24" s="40">
        <f t="shared" si="11"/>
        <v>-0.69</v>
      </c>
      <c r="AC24" s="41">
        <v>5.8119360370799532E-2</v>
      </c>
      <c r="AD24" s="39">
        <f t="shared" si="12"/>
        <v>0</v>
      </c>
      <c r="AE24" s="39">
        <v>-5.42</v>
      </c>
      <c r="AF24" s="39">
        <v>-4.4256779318181811</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0</v>
      </c>
      <c r="U25" s="36" t="s">
        <v>33</v>
      </c>
      <c r="V25" s="37" t="s">
        <v>33</v>
      </c>
      <c r="W25" s="14">
        <v>0</v>
      </c>
      <c r="X25" s="38">
        <f t="shared" si="9"/>
        <v>0</v>
      </c>
      <c r="Y25" s="39">
        <f t="shared" si="10"/>
        <v>0</v>
      </c>
      <c r="Z25" s="14">
        <v>0</v>
      </c>
      <c r="AA25" s="28" t="s">
        <v>34</v>
      </c>
      <c r="AB25" s="40">
        <f t="shared" si="11"/>
        <v>-0.69</v>
      </c>
      <c r="AC25" s="41">
        <v>5.8119360370799532E-2</v>
      </c>
      <c r="AD25" s="39">
        <f t="shared" si="12"/>
        <v>0</v>
      </c>
      <c r="AE25" s="39">
        <v>-5.42</v>
      </c>
      <c r="AF25" s="39">
        <v>-4.43</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0</v>
      </c>
      <c r="U26" s="36" t="s">
        <v>33</v>
      </c>
      <c r="V26" s="37" t="s">
        <v>33</v>
      </c>
      <c r="W26" s="14">
        <v>0</v>
      </c>
      <c r="X26" s="38">
        <f t="shared" si="9"/>
        <v>0</v>
      </c>
      <c r="Y26" s="39">
        <f t="shared" si="10"/>
        <v>0</v>
      </c>
      <c r="Z26" s="14">
        <v>0</v>
      </c>
      <c r="AA26" s="28" t="s">
        <v>34</v>
      </c>
      <c r="AB26" s="40">
        <f t="shared" si="11"/>
        <v>-0.69</v>
      </c>
      <c r="AC26" s="41">
        <v>5.8119360370799532E-2</v>
      </c>
      <c r="AD26" s="39">
        <f t="shared" si="12"/>
        <v>0</v>
      </c>
      <c r="AE26" s="25">
        <v>-5.42</v>
      </c>
      <c r="AF26" s="25">
        <v>-4.4447688409090897</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0</v>
      </c>
      <c r="U27" s="36" t="s">
        <v>33</v>
      </c>
      <c r="V27" s="37" t="s">
        <v>33</v>
      </c>
      <c r="W27" s="14">
        <v>0</v>
      </c>
      <c r="X27" s="38">
        <f t="shared" si="9"/>
        <v>0</v>
      </c>
      <c r="Y27" s="39">
        <f t="shared" si="10"/>
        <v>0</v>
      </c>
      <c r="Z27" s="14">
        <v>0</v>
      </c>
      <c r="AA27" s="28" t="s">
        <v>34</v>
      </c>
      <c r="AB27" s="40">
        <f t="shared" si="11"/>
        <v>-0.69</v>
      </c>
      <c r="AC27" s="41">
        <v>5.8119360370799532E-2</v>
      </c>
      <c r="AD27" s="39">
        <f t="shared" si="12"/>
        <v>0</v>
      </c>
      <c r="AE27" s="25">
        <v>-5.42</v>
      </c>
      <c r="AF27" s="25">
        <v>-4.2331131818181804</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0</v>
      </c>
      <c r="U28" s="36" t="s">
        <v>33</v>
      </c>
      <c r="V28" s="37" t="s">
        <v>33</v>
      </c>
      <c r="W28" s="14">
        <v>0</v>
      </c>
      <c r="X28" s="38">
        <f t="shared" si="9"/>
        <v>0</v>
      </c>
      <c r="Y28" s="39">
        <f t="shared" si="10"/>
        <v>0</v>
      </c>
      <c r="Z28" s="14">
        <v>0</v>
      </c>
      <c r="AA28" s="28" t="s">
        <v>34</v>
      </c>
      <c r="AB28" s="40">
        <f t="shared" si="11"/>
        <v>-0.69</v>
      </c>
      <c r="AC28" s="41">
        <v>5.8119360370799532E-2</v>
      </c>
      <c r="AD28" s="39">
        <f t="shared" si="12"/>
        <v>0</v>
      </c>
      <c r="AE28" s="25">
        <v>-5.42</v>
      </c>
      <c r="AF28" s="25">
        <v>-4.2331131818181804</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0</v>
      </c>
      <c r="U29" s="36" t="s">
        <v>33</v>
      </c>
      <c r="V29" s="37" t="s">
        <v>33</v>
      </c>
      <c r="W29" s="14">
        <v>0</v>
      </c>
      <c r="X29" s="38">
        <f t="shared" si="9"/>
        <v>0</v>
      </c>
      <c r="Y29" s="39">
        <f t="shared" si="10"/>
        <v>0</v>
      </c>
      <c r="Z29" s="14">
        <v>0</v>
      </c>
      <c r="AA29" s="28" t="s">
        <v>34</v>
      </c>
      <c r="AB29" s="40">
        <f t="shared" si="11"/>
        <v>-0.69</v>
      </c>
      <c r="AC29" s="41">
        <v>5.8119360370799532E-2</v>
      </c>
      <c r="AD29" s="39">
        <f t="shared" si="12"/>
        <v>0</v>
      </c>
      <c r="AE29" s="39">
        <v>-5.42</v>
      </c>
      <c r="AF29" s="25">
        <v>-4.2331131818181804</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0</v>
      </c>
      <c r="U30" s="36" t="s">
        <v>33</v>
      </c>
      <c r="V30" s="37" t="s">
        <v>33</v>
      </c>
      <c r="W30" s="14">
        <v>0</v>
      </c>
      <c r="X30" s="38">
        <f t="shared" si="9"/>
        <v>0</v>
      </c>
      <c r="Y30" s="39">
        <f t="shared" si="10"/>
        <v>0</v>
      </c>
      <c r="Z30" s="14">
        <v>0</v>
      </c>
      <c r="AA30" s="28" t="s">
        <v>34</v>
      </c>
      <c r="AB30" s="40">
        <f t="shared" si="11"/>
        <v>-0.69</v>
      </c>
      <c r="AC30" s="41">
        <v>5.8119360370799532E-2</v>
      </c>
      <c r="AD30" s="39">
        <f t="shared" si="12"/>
        <v>0</v>
      </c>
      <c r="AE30" s="25">
        <v>-5.42</v>
      </c>
      <c r="AF30" s="25">
        <v>-4.0255537087499897</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0</v>
      </c>
      <c r="O31" s="34">
        <f t="shared" ref="O31:P32" si="39">D31/7</f>
        <v>0</v>
      </c>
      <c r="P31" s="34">
        <f t="shared" si="39"/>
        <v>0</v>
      </c>
      <c r="Q31" s="29" t="e">
        <f t="shared" si="8"/>
        <v>#DIV/0!</v>
      </c>
      <c r="R31" s="29"/>
      <c r="S31" s="21" t="e">
        <v>#N/A</v>
      </c>
      <c r="T31" s="14" t="s">
        <v>33</v>
      </c>
      <c r="U31" s="22" t="s">
        <v>33</v>
      </c>
      <c r="V31" s="1" t="s">
        <v>33</v>
      </c>
      <c r="W31" s="14">
        <v>0</v>
      </c>
      <c r="X31" s="38">
        <f t="shared" si="9"/>
        <v>0</v>
      </c>
      <c r="Y31" s="39">
        <f t="shared" si="10"/>
        <v>0</v>
      </c>
      <c r="Z31" s="14">
        <v>0</v>
      </c>
      <c r="AA31" s="14" t="s">
        <v>34</v>
      </c>
      <c r="AB31" s="40">
        <f t="shared" si="11"/>
        <v>-0.69</v>
      </c>
      <c r="AC31" s="27">
        <v>5.8119360370799532E-2</v>
      </c>
      <c r="AD31" s="39">
        <f t="shared" si="12"/>
        <v>0</v>
      </c>
      <c r="AE31" s="43">
        <v>-5.42</v>
      </c>
      <c r="AF31" s="43">
        <v>-4.0255537087499995</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0</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5.8119360370799532E-2</v>
      </c>
      <c r="AD32" s="39">
        <f t="shared" si="12"/>
        <v>0</v>
      </c>
      <c r="AE32" s="58">
        <v>-5.42</v>
      </c>
      <c r="AF32" s="58">
        <v>-4.0255537087499897</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5" customWidth="1"/>
    <col min="2" max="2" width="21.6640625" customWidth="1"/>
    <col min="3" max="3" width="9.1640625" customWidth="1"/>
    <col min="4" max="4" width="6.5" customWidth="1"/>
    <col min="5" max="5" width="9.5" customWidth="1"/>
    <col min="6" max="6" width="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53.1640625" customWidth="1"/>
    <col min="23" max="23" width="8.83203125" customWidth="1"/>
    <col min="24" max="24" width="8.6640625" customWidth="1"/>
    <col min="25" max="25" width="9.33203125" customWidth="1"/>
    <col min="26" max="26" width="12.83203125" customWidth="1"/>
    <col min="27" max="27" width="12.1640625" customWidth="1"/>
    <col min="28" max="28" width="11.1640625" customWidth="1"/>
    <col min="29" max="29" width="8.1640625" customWidth="1"/>
    <col min="30" max="30" width="12.5" customWidth="1"/>
    <col min="31" max="31" width="8.6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Info!B1:BJ5000""),3,FALSE),"""")"),"18 Gauge Automotive Wire - 6 Roll Assortment Pack -100 Ft of Copper Clad Aluminum Primary Wire per Roll")</f>
        <v>18 Gauge Automotive Wire - 6 Roll Assortment Pack -100 Ft of Copper Clad Aluminum Primary Wire per Roll</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64"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Info!B1:BJ5000""),2,FALSE),"""")"),"B07QK119BP")</f>
        <v>B07QK119BP</v>
      </c>
      <c r="B2" s="49" t="s">
        <v>783</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71.25" customHeight="1" x14ac:dyDescent="0.2">
      <c r="A3" s="76" t="s">
        <v>30</v>
      </c>
      <c r="B3" s="77"/>
      <c r="C3" s="47">
        <f>((AE32+AF32)/0.85)*-1</f>
        <v>13.935581305882353</v>
      </c>
      <c r="D3" s="5">
        <f>SUM(D4:D99634)</f>
        <v>86</v>
      </c>
      <c r="E3" s="5"/>
      <c r="F3" s="6">
        <f t="shared" ref="F3:G3" si="0">SUM(F4:F99634)</f>
        <v>2040.53</v>
      </c>
      <c r="G3" s="6">
        <f t="shared" si="0"/>
        <v>-9.35</v>
      </c>
      <c r="H3" s="7">
        <f t="shared" ref="H3:H32" si="1">G3/F3*-1</f>
        <v>4.5821428746453128E-3</v>
      </c>
      <c r="I3" s="8">
        <f t="shared" ref="I3:I32" si="2">J3/F3</f>
        <v>0.32655427635127487</v>
      </c>
      <c r="J3" s="6">
        <f>SUM(J4:J99634)</f>
        <v>666.34379752306688</v>
      </c>
      <c r="K3" s="6">
        <f t="shared" ref="K3:K32" si="3">J3/D3</f>
        <v>7.7481836921286851</v>
      </c>
      <c r="L3" s="5"/>
      <c r="M3" s="9"/>
      <c r="N3" s="10"/>
      <c r="O3" s="5" t="str">
        <f ca="1">IFERROR(__xludf.DUMMYFUNCTION("IFERROR(VLOOKUP(B2,IMPORTRANGE(""https://docs.google.com/spreadsheets/d/1N8jvpEHDVkurDv7NrPxwI3eH6hQsvtb1QltGNCalRjU/edit#gid=865736387"",""Compiled Sheet!a1:g5000""),2,FALSE),"""")"),"1.5 - March
1.5 - April
1.5 - May
1.5 - June
1.5 - July
1.5 - Aug
1.5 - Sept
1.5 - Oct
1.5 - Nov
1.5 - Dec
1.5 - Jan
1.5 - Feb")</f>
        <v>1.5 - March
1.5 - April
1.5 - May
1.5 - June
1.5 - July
1.5 - Aug
1.5 - Sept
1.5 - Oct
1.5 - Nov
1.5 -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SUM(W4:W99634)</f>
        <v>2</v>
      </c>
      <c r="X3" s="7">
        <f>W3/D3</f>
        <v>2.3255813953488372E-2</v>
      </c>
      <c r="Y3" s="6"/>
      <c r="Z3" s="5"/>
      <c r="AA3" s="5"/>
      <c r="AB3" s="5"/>
      <c r="AC3" s="5"/>
      <c r="AD3" s="6">
        <f>SUM(AD4:AD99634)</f>
        <v>-12.08671987253766</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Info!B2:BZ7000""),37,FALSE)),"""")*-1"),-6.04524411)</f>
        <v>-6.0452441099999996</v>
      </c>
      <c r="AG3" s="6">
        <f>SUM(AG4:AG99634)</f>
        <v>0</v>
      </c>
    </row>
    <row r="4" spans="1:33" ht="15.75" customHeight="1" x14ac:dyDescent="0.2">
      <c r="A4" s="14" t="s">
        <v>31</v>
      </c>
      <c r="B4" s="14" t="s">
        <v>631</v>
      </c>
      <c r="C4" s="15">
        <f t="shared" ref="C4:C32" si="4">IFERROR(F4/D4," - ")</f>
        <v>19.990000000000002</v>
      </c>
      <c r="D4" s="16">
        <v>13</v>
      </c>
      <c r="E4" s="16">
        <v>0</v>
      </c>
      <c r="F4" s="17">
        <v>259.87</v>
      </c>
      <c r="G4" s="17">
        <v>-8.08</v>
      </c>
      <c r="H4" s="18">
        <f t="shared" si="1"/>
        <v>3.1092469311578864E-2</v>
      </c>
      <c r="I4" s="18">
        <f t="shared" si="2"/>
        <v>0.20767969882377083</v>
      </c>
      <c r="J4" s="17">
        <f t="shared" ref="J4:J32" si="5">F4*0.85+G4+AF4*D4+D4*AE4+AG4+AD4</f>
        <v>53.969723333333327</v>
      </c>
      <c r="K4" s="17">
        <f t="shared" si="3"/>
        <v>4.151517179487179</v>
      </c>
      <c r="L4" s="16">
        <v>21</v>
      </c>
      <c r="M4" s="19">
        <f t="shared" ref="M4:M32" si="6">IFERROR(D4/L4,"-")</f>
        <v>0.61904761904761907</v>
      </c>
      <c r="N4" s="16">
        <v>74</v>
      </c>
      <c r="O4" s="20">
        <f t="shared" ref="O4:P4" si="7">D4/7</f>
        <v>1.8571428571428572</v>
      </c>
      <c r="P4" s="20">
        <f t="shared" si="7"/>
        <v>0</v>
      </c>
      <c r="Q4" s="16">
        <f t="shared" ref="Q4:Q32" si="8">ROUNDDOWN(N4/(O4+P4),0)</f>
        <v>39</v>
      </c>
      <c r="R4" s="16"/>
      <c r="S4" s="21">
        <v>0.85154061624649802</v>
      </c>
      <c r="T4" s="14">
        <v>0</v>
      </c>
      <c r="U4" s="22" t="s">
        <v>33</v>
      </c>
      <c r="V4" s="23" t="s">
        <v>33</v>
      </c>
      <c r="W4" s="14">
        <v>2</v>
      </c>
      <c r="X4" s="24">
        <f t="shared" ref="X4:X32" si="9">IFERROR(W4/D4,0)</f>
        <v>0.15384615384615385</v>
      </c>
      <c r="Y4" s="25">
        <f t="shared" ref="Y4:Y32" si="10">IFERROR(G4/(W4+Z4)*-1,0)</f>
        <v>4.04</v>
      </c>
      <c r="Z4" s="14">
        <v>0</v>
      </c>
      <c r="AA4" s="2" t="s">
        <v>34</v>
      </c>
      <c r="AB4" s="26">
        <f t="shared" ref="AB4:AB32" si="11">IF(OR(AA4="UsLargeStandardSize",AA4="UsSmallStandardSize"),-0.69,-0.48)</f>
        <v>-0.69</v>
      </c>
      <c r="AC4" s="27">
        <v>0.10183333333333333</v>
      </c>
      <c r="AD4" s="25">
        <f t="shared" ref="AD4:AD32" si="12">IFERROR(AB4*AC4*D4*2,0)</f>
        <v>-1.8268899999999999</v>
      </c>
      <c r="AE4" s="25">
        <v>-5.8</v>
      </c>
      <c r="AF4" s="25">
        <v>-6.2779143589743587</v>
      </c>
      <c r="AG4" s="25">
        <v>0</v>
      </c>
    </row>
    <row r="5" spans="1:33" ht="15.75" customHeight="1" x14ac:dyDescent="0.2">
      <c r="A5" s="28" t="s">
        <v>35</v>
      </c>
      <c r="B5" s="28" t="s">
        <v>47</v>
      </c>
      <c r="C5" s="15">
        <f t="shared" si="4"/>
        <v>22.34</v>
      </c>
      <c r="D5" s="29">
        <v>7</v>
      </c>
      <c r="E5" s="29">
        <v>0</v>
      </c>
      <c r="F5" s="30">
        <v>156.38</v>
      </c>
      <c r="G5" s="30">
        <v>0</v>
      </c>
      <c r="H5" s="31">
        <f t="shared" si="1"/>
        <v>0</v>
      </c>
      <c r="I5" s="31">
        <f t="shared" si="2"/>
        <v>0.30306145040696914</v>
      </c>
      <c r="J5" s="32">
        <f t="shared" si="5"/>
        <v>47.392749614641829</v>
      </c>
      <c r="K5" s="32">
        <f t="shared" si="3"/>
        <v>6.7703928020916901</v>
      </c>
      <c r="L5" s="29">
        <v>32</v>
      </c>
      <c r="M5" s="33">
        <f t="shared" si="6"/>
        <v>0.21875</v>
      </c>
      <c r="N5" s="29">
        <v>69</v>
      </c>
      <c r="O5" s="34">
        <f t="shared" ref="O5:P5" si="13">D5/7</f>
        <v>1</v>
      </c>
      <c r="P5" s="34">
        <f t="shared" si="13"/>
        <v>0</v>
      </c>
      <c r="Q5" s="29">
        <f t="shared" si="8"/>
        <v>69</v>
      </c>
      <c r="R5" s="29"/>
      <c r="S5" s="35">
        <v>1.03343465045592</v>
      </c>
      <c r="T5" s="28">
        <v>0</v>
      </c>
      <c r="U5" s="36" t="s">
        <v>33</v>
      </c>
      <c r="V5" s="37" t="s">
        <v>33</v>
      </c>
      <c r="W5" s="28">
        <v>0</v>
      </c>
      <c r="X5" s="38">
        <f t="shared" si="9"/>
        <v>0</v>
      </c>
      <c r="Y5" s="39">
        <f t="shared" si="10"/>
        <v>0</v>
      </c>
      <c r="Z5" s="28">
        <v>0</v>
      </c>
      <c r="AA5" s="28" t="s">
        <v>34</v>
      </c>
      <c r="AB5" s="40">
        <f t="shared" si="11"/>
        <v>-0.69</v>
      </c>
      <c r="AC5" s="41">
        <v>0.10195133256083429</v>
      </c>
      <c r="AD5" s="39">
        <f t="shared" si="12"/>
        <v>-0.9848498725376591</v>
      </c>
      <c r="AE5" s="39">
        <v>-5.8</v>
      </c>
      <c r="AF5" s="39">
        <v>-6.2779143589743587</v>
      </c>
      <c r="AG5" s="39">
        <v>0</v>
      </c>
    </row>
    <row r="6" spans="1:33" ht="15.75" customHeight="1" x14ac:dyDescent="0.2">
      <c r="A6" s="28" t="s">
        <v>37</v>
      </c>
      <c r="B6" s="28" t="s">
        <v>47</v>
      </c>
      <c r="C6" s="15">
        <f t="shared" si="4"/>
        <v>23.03833333333333</v>
      </c>
      <c r="D6" s="29">
        <v>6</v>
      </c>
      <c r="E6" s="29">
        <v>0</v>
      </c>
      <c r="F6" s="30">
        <v>138.22999999999999</v>
      </c>
      <c r="G6" s="30">
        <v>-0.04</v>
      </c>
      <c r="H6" s="31">
        <f t="shared" si="1"/>
        <v>2.8937278448961875E-4</v>
      </c>
      <c r="I6" s="31">
        <f t="shared" si="2"/>
        <v>0.31935783727232758</v>
      </c>
      <c r="J6" s="32">
        <f t="shared" si="5"/>
        <v>44.144833846153837</v>
      </c>
      <c r="K6" s="32">
        <f t="shared" si="3"/>
        <v>7.3574723076923059</v>
      </c>
      <c r="L6" s="29">
        <v>47</v>
      </c>
      <c r="M6" s="33">
        <f t="shared" si="6"/>
        <v>0.1276595744680851</v>
      </c>
      <c r="N6" s="29">
        <v>62</v>
      </c>
      <c r="O6" s="34">
        <f t="shared" ref="O6:P6" si="14">D6/7</f>
        <v>0.8571428571428571</v>
      </c>
      <c r="P6" s="34">
        <f t="shared" si="14"/>
        <v>0</v>
      </c>
      <c r="Q6" s="29">
        <f t="shared" si="8"/>
        <v>72</v>
      </c>
      <c r="R6" s="29"/>
      <c r="S6" s="35">
        <v>1.18954248366013</v>
      </c>
      <c r="T6" s="28">
        <v>0</v>
      </c>
      <c r="U6" s="36" t="s">
        <v>33</v>
      </c>
      <c r="V6" s="37" t="s">
        <v>39</v>
      </c>
      <c r="W6" s="28">
        <v>0</v>
      </c>
      <c r="X6" s="38">
        <f t="shared" si="9"/>
        <v>0</v>
      </c>
      <c r="Y6" s="39">
        <f t="shared" si="10"/>
        <v>0</v>
      </c>
      <c r="Z6" s="28">
        <v>0</v>
      </c>
      <c r="AA6" s="28" t="s">
        <v>34</v>
      </c>
      <c r="AB6" s="40">
        <f t="shared" si="11"/>
        <v>-0.69</v>
      </c>
      <c r="AC6" s="41">
        <v>0.10183333333333333</v>
      </c>
      <c r="AD6" s="39">
        <f t="shared" si="12"/>
        <v>-0.84317999999999993</v>
      </c>
      <c r="AE6" s="39">
        <v>-5.8</v>
      </c>
      <c r="AF6" s="39">
        <v>-6.2779143589743587</v>
      </c>
      <c r="AG6" s="39">
        <v>0</v>
      </c>
    </row>
    <row r="7" spans="1:33" ht="15.75" customHeight="1" x14ac:dyDescent="0.2">
      <c r="A7" s="28" t="s">
        <v>40</v>
      </c>
      <c r="B7" s="28" t="s">
        <v>784</v>
      </c>
      <c r="C7" s="15">
        <f t="shared" si="4"/>
        <v>23.291538461538469</v>
      </c>
      <c r="D7" s="29">
        <v>13</v>
      </c>
      <c r="E7" s="29">
        <v>0</v>
      </c>
      <c r="F7" s="30">
        <v>302.79000000000008</v>
      </c>
      <c r="G7" s="30">
        <v>-0.1</v>
      </c>
      <c r="H7" s="31">
        <f t="shared" si="1"/>
        <v>3.3026189768486404E-4</v>
      </c>
      <c r="I7" s="31">
        <f t="shared" si="2"/>
        <v>0.32508247740458196</v>
      </c>
      <c r="J7" s="32">
        <f t="shared" si="5"/>
        <v>98.431723333333395</v>
      </c>
      <c r="K7" s="32">
        <f t="shared" si="3"/>
        <v>7.57167102564103</v>
      </c>
      <c r="L7" s="29">
        <v>53</v>
      </c>
      <c r="M7" s="33">
        <f t="shared" si="6"/>
        <v>0.24528301886792453</v>
      </c>
      <c r="N7" s="29">
        <v>50</v>
      </c>
      <c r="O7" s="34">
        <f t="shared" ref="O7:P7" si="15">D7/7</f>
        <v>1.8571428571428572</v>
      </c>
      <c r="P7" s="34">
        <f t="shared" si="15"/>
        <v>0</v>
      </c>
      <c r="Q7" s="29">
        <f t="shared" si="8"/>
        <v>26</v>
      </c>
      <c r="R7" s="29"/>
      <c r="S7" s="35">
        <v>1.3950177935943</v>
      </c>
      <c r="T7" s="28">
        <v>0</v>
      </c>
      <c r="U7" s="36" t="s">
        <v>33</v>
      </c>
      <c r="V7" s="37" t="s">
        <v>39</v>
      </c>
      <c r="W7" s="28">
        <v>0</v>
      </c>
      <c r="X7" s="38">
        <f t="shared" si="9"/>
        <v>0</v>
      </c>
      <c r="Y7" s="39">
        <f t="shared" si="10"/>
        <v>0</v>
      </c>
      <c r="Z7" s="28">
        <v>0</v>
      </c>
      <c r="AA7" s="28" t="s">
        <v>34</v>
      </c>
      <c r="AB7" s="40">
        <f t="shared" si="11"/>
        <v>-0.69</v>
      </c>
      <c r="AC7" s="41">
        <v>0.10183333333333333</v>
      </c>
      <c r="AD7" s="39">
        <f t="shared" si="12"/>
        <v>-1.8268899999999999</v>
      </c>
      <c r="AE7" s="39">
        <v>-5.8</v>
      </c>
      <c r="AF7" s="39">
        <v>-6.2779143589743587</v>
      </c>
      <c r="AG7" s="39">
        <v>0</v>
      </c>
    </row>
    <row r="8" spans="1:33" ht="15.75" customHeight="1" x14ac:dyDescent="0.2">
      <c r="A8" s="28" t="s">
        <v>42</v>
      </c>
      <c r="B8" s="28" t="s">
        <v>47</v>
      </c>
      <c r="C8" s="15">
        <f t="shared" si="4"/>
        <v>24.803333333333331</v>
      </c>
      <c r="D8" s="29">
        <v>3</v>
      </c>
      <c r="E8" s="29">
        <v>0</v>
      </c>
      <c r="F8" s="30">
        <v>74.41</v>
      </c>
      <c r="G8" s="30">
        <v>-0.27</v>
      </c>
      <c r="H8" s="31">
        <f t="shared" si="1"/>
        <v>3.6285445504636478E-3</v>
      </c>
      <c r="I8" s="31">
        <f t="shared" si="2"/>
        <v>0.35367437172423061</v>
      </c>
      <c r="J8" s="32">
        <f t="shared" si="5"/>
        <v>26.316909999999996</v>
      </c>
      <c r="K8" s="32">
        <f t="shared" si="3"/>
        <v>8.7723033333333316</v>
      </c>
      <c r="L8" s="29">
        <v>39</v>
      </c>
      <c r="M8" s="33">
        <f t="shared" si="6"/>
        <v>7.6923076923076927E-2</v>
      </c>
      <c r="N8" s="29">
        <v>45</v>
      </c>
      <c r="O8" s="34">
        <f t="shared" ref="O8:P8" si="16">D8/7</f>
        <v>0.42857142857142855</v>
      </c>
      <c r="P8" s="34">
        <f t="shared" si="16"/>
        <v>0</v>
      </c>
      <c r="Q8" s="29">
        <f t="shared" si="8"/>
        <v>105</v>
      </c>
      <c r="R8" s="29"/>
      <c r="S8" s="35">
        <v>1.06265664160401</v>
      </c>
      <c r="T8" s="28">
        <v>0</v>
      </c>
      <c r="U8" s="36" t="s">
        <v>33</v>
      </c>
      <c r="V8" s="37" t="s">
        <v>33</v>
      </c>
      <c r="W8" s="28">
        <v>0</v>
      </c>
      <c r="X8" s="38">
        <f t="shared" si="9"/>
        <v>0</v>
      </c>
      <c r="Y8" s="39">
        <f t="shared" si="10"/>
        <v>0</v>
      </c>
      <c r="Z8" s="28">
        <v>0</v>
      </c>
      <c r="AA8" s="28" t="s">
        <v>34</v>
      </c>
      <c r="AB8" s="40">
        <f t="shared" si="11"/>
        <v>-0.69</v>
      </c>
      <c r="AC8" s="41">
        <v>0.10183333333333333</v>
      </c>
      <c r="AD8" s="39">
        <f t="shared" si="12"/>
        <v>-0.42158999999999996</v>
      </c>
      <c r="AE8" s="39">
        <v>-5.8</v>
      </c>
      <c r="AF8" s="39">
        <v>-6.28</v>
      </c>
      <c r="AG8" s="39">
        <v>0</v>
      </c>
    </row>
    <row r="9" spans="1:33" ht="15.75" customHeight="1" x14ac:dyDescent="0.2">
      <c r="A9" s="28" t="s">
        <v>44</v>
      </c>
      <c r="B9" s="28" t="s">
        <v>47</v>
      </c>
      <c r="C9" s="15">
        <f t="shared" si="4"/>
        <v>25.352</v>
      </c>
      <c r="D9" s="29">
        <v>5</v>
      </c>
      <c r="E9" s="29">
        <v>0</v>
      </c>
      <c r="F9" s="30">
        <v>126.76</v>
      </c>
      <c r="G9" s="30">
        <v>-0.32</v>
      </c>
      <c r="H9" s="31">
        <f t="shared" si="1"/>
        <v>2.5244556642473968E-3</v>
      </c>
      <c r="I9" s="31">
        <f t="shared" si="2"/>
        <v>0.36003319271976603</v>
      </c>
      <c r="J9" s="32">
        <f t="shared" si="5"/>
        <v>45.637807509157547</v>
      </c>
      <c r="K9" s="32">
        <f t="shared" si="3"/>
        <v>9.1275615018315097</v>
      </c>
      <c r="L9" s="29">
        <v>30</v>
      </c>
      <c r="M9" s="33">
        <f t="shared" si="6"/>
        <v>0.16666666666666666</v>
      </c>
      <c r="N9" s="29">
        <v>41</v>
      </c>
      <c r="O9" s="34">
        <f t="shared" ref="O9:P9" si="17">D9/7</f>
        <v>0.7142857142857143</v>
      </c>
      <c r="P9" s="34">
        <f t="shared" si="17"/>
        <v>0</v>
      </c>
      <c r="Q9" s="29">
        <f t="shared" si="8"/>
        <v>57</v>
      </c>
      <c r="R9" s="29"/>
      <c r="S9" s="35">
        <v>1.15675675675675</v>
      </c>
      <c r="T9" s="28">
        <v>0</v>
      </c>
      <c r="U9" s="36" t="s">
        <v>33</v>
      </c>
      <c r="V9" s="37" t="s">
        <v>33</v>
      </c>
      <c r="W9" s="28">
        <v>0</v>
      </c>
      <c r="X9" s="38">
        <f t="shared" si="9"/>
        <v>0</v>
      </c>
      <c r="Y9" s="39">
        <f t="shared" si="10"/>
        <v>0</v>
      </c>
      <c r="Z9" s="28">
        <v>0</v>
      </c>
      <c r="AA9" s="28" t="s">
        <v>34</v>
      </c>
      <c r="AB9" s="40">
        <f t="shared" si="11"/>
        <v>-0.69</v>
      </c>
      <c r="AC9" s="41">
        <v>0.10183333333333333</v>
      </c>
      <c r="AD9" s="39">
        <f t="shared" si="12"/>
        <v>-0.70265</v>
      </c>
      <c r="AE9" s="39">
        <v>-5.8</v>
      </c>
      <c r="AF9" s="39">
        <v>-6.4171084981684903</v>
      </c>
      <c r="AG9" s="39">
        <v>0</v>
      </c>
    </row>
    <row r="10" spans="1:33" ht="15.75" customHeight="1" x14ac:dyDescent="0.2">
      <c r="A10" s="28" t="s">
        <v>46</v>
      </c>
      <c r="B10" s="28" t="s">
        <v>47</v>
      </c>
      <c r="C10" s="15">
        <f t="shared" si="4"/>
        <v>25.369999999999997</v>
      </c>
      <c r="D10" s="29">
        <v>2</v>
      </c>
      <c r="E10" s="29">
        <v>1</v>
      </c>
      <c r="F10" s="30">
        <v>50.739999999999995</v>
      </c>
      <c r="G10" s="30">
        <v>-0.32</v>
      </c>
      <c r="H10" s="31">
        <f t="shared" si="1"/>
        <v>6.3066614111154913E-3</v>
      </c>
      <c r="I10" s="31">
        <f t="shared" si="2"/>
        <v>0.35659682703316953</v>
      </c>
      <c r="J10" s="32">
        <f t="shared" si="5"/>
        <v>18.093723003663019</v>
      </c>
      <c r="K10" s="32">
        <f t="shared" si="3"/>
        <v>9.0468615018315095</v>
      </c>
      <c r="L10" s="29">
        <v>26</v>
      </c>
      <c r="M10" s="33">
        <f t="shared" si="6"/>
        <v>7.6923076923076927E-2</v>
      </c>
      <c r="N10" s="29">
        <v>37</v>
      </c>
      <c r="O10" s="34">
        <f t="shared" ref="O10:P10" si="18">D10/7</f>
        <v>0.2857142857142857</v>
      </c>
      <c r="P10" s="34">
        <f t="shared" si="18"/>
        <v>0.14285714285714285</v>
      </c>
      <c r="Q10" s="29">
        <f t="shared" si="8"/>
        <v>86</v>
      </c>
      <c r="R10" s="29"/>
      <c r="S10" s="35">
        <v>1.1895043731778401</v>
      </c>
      <c r="T10" s="28">
        <v>0</v>
      </c>
      <c r="U10" s="36" t="s">
        <v>33</v>
      </c>
      <c r="V10" s="37" t="s">
        <v>33</v>
      </c>
      <c r="W10" s="28">
        <v>0</v>
      </c>
      <c r="X10" s="38">
        <f t="shared" si="9"/>
        <v>0</v>
      </c>
      <c r="Y10" s="39">
        <f t="shared" si="10"/>
        <v>0</v>
      </c>
      <c r="Z10" s="28">
        <v>0</v>
      </c>
      <c r="AA10" s="28" t="s">
        <v>34</v>
      </c>
      <c r="AB10" s="40">
        <f t="shared" si="11"/>
        <v>-0.69</v>
      </c>
      <c r="AC10" s="41">
        <v>0.10183333333333333</v>
      </c>
      <c r="AD10" s="39">
        <f t="shared" si="12"/>
        <v>-0.28105999999999998</v>
      </c>
      <c r="AE10" s="39">
        <v>-5.8</v>
      </c>
      <c r="AF10" s="39">
        <v>-6.4171084981684903</v>
      </c>
      <c r="AG10" s="39">
        <v>0</v>
      </c>
    </row>
    <row r="11" spans="1:33" ht="15.75" customHeight="1" x14ac:dyDescent="0.2">
      <c r="A11" s="28" t="s">
        <v>48</v>
      </c>
      <c r="B11" s="28" t="s">
        <v>47</v>
      </c>
      <c r="C11" s="15">
        <f t="shared" si="4"/>
        <v>24.52</v>
      </c>
      <c r="D11" s="29">
        <v>5</v>
      </c>
      <c r="E11" s="29">
        <v>1</v>
      </c>
      <c r="F11" s="30">
        <v>122.6</v>
      </c>
      <c r="G11" s="30">
        <v>-0.08</v>
      </c>
      <c r="H11" s="31">
        <f t="shared" si="1"/>
        <v>6.5252854812398043E-4</v>
      </c>
      <c r="I11" s="31">
        <f t="shared" si="2"/>
        <v>0.34536547723619543</v>
      </c>
      <c r="J11" s="32">
        <f t="shared" si="5"/>
        <v>42.341807509157555</v>
      </c>
      <c r="K11" s="32">
        <f t="shared" si="3"/>
        <v>8.4683615018315113</v>
      </c>
      <c r="L11" s="29">
        <v>30</v>
      </c>
      <c r="M11" s="33">
        <f t="shared" si="6"/>
        <v>0.16666666666666666</v>
      </c>
      <c r="N11" s="29">
        <v>32</v>
      </c>
      <c r="O11" s="34">
        <f t="shared" ref="O11:P11" si="19">D11/7</f>
        <v>0.7142857142857143</v>
      </c>
      <c r="P11" s="34">
        <f t="shared" si="19"/>
        <v>0.14285714285714285</v>
      </c>
      <c r="Q11" s="29">
        <f t="shared" si="8"/>
        <v>37</v>
      </c>
      <c r="R11" s="29"/>
      <c r="S11" s="35">
        <v>1.24050632911392</v>
      </c>
      <c r="T11" s="28">
        <v>0</v>
      </c>
      <c r="U11" s="36" t="s">
        <v>33</v>
      </c>
      <c r="V11" s="37" t="s">
        <v>33</v>
      </c>
      <c r="W11" s="28">
        <v>0</v>
      </c>
      <c r="X11" s="38">
        <f t="shared" si="9"/>
        <v>0</v>
      </c>
      <c r="Y11" s="39">
        <f t="shared" si="10"/>
        <v>0</v>
      </c>
      <c r="Z11" s="28">
        <v>0</v>
      </c>
      <c r="AA11" s="28" t="s">
        <v>34</v>
      </c>
      <c r="AB11" s="40">
        <f t="shared" si="11"/>
        <v>-0.69</v>
      </c>
      <c r="AC11" s="41">
        <v>0.10183333333333333</v>
      </c>
      <c r="AD11" s="39">
        <f t="shared" si="12"/>
        <v>-0.70265</v>
      </c>
      <c r="AE11" s="39">
        <v>-5.8</v>
      </c>
      <c r="AF11" s="39">
        <v>-6.4171084981684903</v>
      </c>
      <c r="AG11" s="39">
        <v>0</v>
      </c>
    </row>
    <row r="12" spans="1:33" ht="15.75" customHeight="1" x14ac:dyDescent="0.2">
      <c r="A12" s="28" t="s">
        <v>49</v>
      </c>
      <c r="B12" s="28" t="s">
        <v>47</v>
      </c>
      <c r="C12" s="15">
        <f t="shared" si="4"/>
        <v>24.747777777777781</v>
      </c>
      <c r="D12" s="29">
        <v>9</v>
      </c>
      <c r="E12" s="29">
        <v>0</v>
      </c>
      <c r="F12" s="30">
        <v>222.73000000000002</v>
      </c>
      <c r="G12" s="30">
        <v>-0.06</v>
      </c>
      <c r="H12" s="31">
        <f t="shared" si="1"/>
        <v>2.6938445651685894E-4</v>
      </c>
      <c r="I12" s="31">
        <f t="shared" si="2"/>
        <v>0.35038725594434333</v>
      </c>
      <c r="J12" s="32">
        <f t="shared" si="5"/>
        <v>78.041753516483595</v>
      </c>
      <c r="K12" s="32">
        <f t="shared" si="3"/>
        <v>8.6713059462759556</v>
      </c>
      <c r="L12" s="29">
        <v>31</v>
      </c>
      <c r="M12" s="33">
        <f t="shared" si="6"/>
        <v>0.29032258064516131</v>
      </c>
      <c r="N12" s="29">
        <v>23</v>
      </c>
      <c r="O12" s="34">
        <f t="shared" ref="O12:P12" si="20">D12/7</f>
        <v>1.2857142857142858</v>
      </c>
      <c r="P12" s="34">
        <f t="shared" si="20"/>
        <v>0</v>
      </c>
      <c r="Q12" s="29">
        <f t="shared" si="8"/>
        <v>17</v>
      </c>
      <c r="R12" s="29"/>
      <c r="S12" s="35">
        <v>1.34736842105263</v>
      </c>
      <c r="T12" s="28">
        <v>0</v>
      </c>
      <c r="U12" s="36" t="s">
        <v>33</v>
      </c>
      <c r="V12" s="37" t="s">
        <v>33</v>
      </c>
      <c r="W12" s="28">
        <v>0</v>
      </c>
      <c r="X12" s="38">
        <f t="shared" si="9"/>
        <v>0</v>
      </c>
      <c r="Y12" s="39">
        <f t="shared" si="10"/>
        <v>0</v>
      </c>
      <c r="Z12" s="28">
        <v>0</v>
      </c>
      <c r="AA12" s="28" t="s">
        <v>34</v>
      </c>
      <c r="AB12" s="40">
        <f t="shared" si="11"/>
        <v>-0.69</v>
      </c>
      <c r="AC12" s="41">
        <v>0.10183333333333333</v>
      </c>
      <c r="AD12" s="39">
        <f t="shared" si="12"/>
        <v>-1.2647699999999999</v>
      </c>
      <c r="AE12" s="39">
        <v>-5.8</v>
      </c>
      <c r="AF12" s="39">
        <v>-6.4171084981684903</v>
      </c>
      <c r="AG12" s="39">
        <v>0</v>
      </c>
    </row>
    <row r="13" spans="1:33" ht="15.75" customHeight="1" x14ac:dyDescent="0.2">
      <c r="A13" s="28" t="s">
        <v>50</v>
      </c>
      <c r="B13" s="28" t="s">
        <v>47</v>
      </c>
      <c r="C13" s="15">
        <f t="shared" si="4"/>
        <v>23.99</v>
      </c>
      <c r="D13" s="29">
        <v>5</v>
      </c>
      <c r="E13" s="29">
        <v>0</v>
      </c>
      <c r="F13" s="32">
        <v>119.94999999999999</v>
      </c>
      <c r="G13" s="30">
        <v>0</v>
      </c>
      <c r="H13" s="31">
        <f t="shared" si="1"/>
        <v>0</v>
      </c>
      <c r="I13" s="31">
        <f t="shared" si="2"/>
        <v>0.33182998868576186</v>
      </c>
      <c r="J13" s="32">
        <f t="shared" si="5"/>
        <v>39.803007142857133</v>
      </c>
      <c r="K13" s="32">
        <f t="shared" si="3"/>
        <v>7.9606014285714268</v>
      </c>
      <c r="L13" s="29">
        <v>21</v>
      </c>
      <c r="M13" s="33">
        <f t="shared" si="6"/>
        <v>0.23809523809523808</v>
      </c>
      <c r="N13" s="29">
        <v>17</v>
      </c>
      <c r="O13" s="34">
        <f t="shared" ref="O13:P13" si="21">D13/7</f>
        <v>0.7142857142857143</v>
      </c>
      <c r="P13" s="34">
        <f t="shared" si="21"/>
        <v>0</v>
      </c>
      <c r="Q13" s="29">
        <f t="shared" si="8"/>
        <v>23</v>
      </c>
      <c r="R13" s="29"/>
      <c r="S13" s="35">
        <v>1.5652173913043399</v>
      </c>
      <c r="T13" s="28">
        <v>0</v>
      </c>
      <c r="U13" s="36" t="s">
        <v>33</v>
      </c>
      <c r="V13" s="37" t="s">
        <v>33</v>
      </c>
      <c r="W13" s="28">
        <v>0</v>
      </c>
      <c r="X13" s="38">
        <f t="shared" si="9"/>
        <v>0</v>
      </c>
      <c r="Y13" s="39">
        <f t="shared" si="10"/>
        <v>0</v>
      </c>
      <c r="Z13" s="28">
        <v>0</v>
      </c>
      <c r="AA13" s="28" t="s">
        <v>34</v>
      </c>
      <c r="AB13" s="40">
        <f t="shared" si="11"/>
        <v>-0.69</v>
      </c>
      <c r="AC13" s="41">
        <v>0.10183333333333333</v>
      </c>
      <c r="AD13" s="39">
        <f t="shared" si="12"/>
        <v>-0.70265</v>
      </c>
      <c r="AE13" s="39">
        <v>-5.8</v>
      </c>
      <c r="AF13" s="39">
        <v>-6.4903685714285704</v>
      </c>
      <c r="AG13" s="39">
        <v>0</v>
      </c>
    </row>
    <row r="14" spans="1:33" ht="15.75" customHeight="1" x14ac:dyDescent="0.2">
      <c r="A14" s="28" t="s">
        <v>51</v>
      </c>
      <c r="B14" s="28" t="s">
        <v>47</v>
      </c>
      <c r="C14" s="15">
        <f t="shared" si="4"/>
        <v>26.02333333333333</v>
      </c>
      <c r="D14" s="29">
        <v>3</v>
      </c>
      <c r="E14" s="29">
        <v>0</v>
      </c>
      <c r="F14" s="32">
        <v>78.069999999999993</v>
      </c>
      <c r="G14" s="30">
        <v>0</v>
      </c>
      <c r="H14" s="31">
        <f t="shared" si="1"/>
        <v>0</v>
      </c>
      <c r="I14" s="31">
        <f t="shared" si="2"/>
        <v>0.3723172061702868</v>
      </c>
      <c r="J14" s="32">
        <f t="shared" si="5"/>
        <v>29.066804285714287</v>
      </c>
      <c r="K14" s="32">
        <f t="shared" si="3"/>
        <v>9.688934761904763</v>
      </c>
      <c r="L14" s="29">
        <v>22</v>
      </c>
      <c r="M14" s="33">
        <f t="shared" si="6"/>
        <v>0.13636363636363635</v>
      </c>
      <c r="N14" s="29">
        <v>14</v>
      </c>
      <c r="O14" s="34">
        <f t="shared" ref="O14:P14" si="22">D14/7</f>
        <v>0.42857142857142855</v>
      </c>
      <c r="P14" s="34">
        <f t="shared" si="22"/>
        <v>0</v>
      </c>
      <c r="Q14" s="29">
        <f t="shared" si="8"/>
        <v>32</v>
      </c>
      <c r="R14" s="29"/>
      <c r="S14" s="35">
        <v>1.5495495495495399</v>
      </c>
      <c r="T14" s="28">
        <v>0</v>
      </c>
      <c r="U14" s="36" t="s">
        <v>33</v>
      </c>
      <c r="V14" s="37" t="s">
        <v>33</v>
      </c>
      <c r="W14" s="28">
        <v>0</v>
      </c>
      <c r="X14" s="38">
        <f t="shared" si="9"/>
        <v>0</v>
      </c>
      <c r="Y14" s="39">
        <f t="shared" si="10"/>
        <v>0</v>
      </c>
      <c r="Z14" s="28">
        <v>0</v>
      </c>
      <c r="AA14" s="28" t="s">
        <v>34</v>
      </c>
      <c r="AB14" s="40">
        <f t="shared" si="11"/>
        <v>-0.69</v>
      </c>
      <c r="AC14" s="41">
        <v>0.10183333333333333</v>
      </c>
      <c r="AD14" s="39">
        <f t="shared" si="12"/>
        <v>-0.42158999999999996</v>
      </c>
      <c r="AE14" s="39">
        <v>-5.8</v>
      </c>
      <c r="AF14" s="39">
        <v>-6.4903685714285704</v>
      </c>
      <c r="AG14" s="39">
        <v>0</v>
      </c>
    </row>
    <row r="15" spans="1:33" ht="15.75" customHeight="1" x14ac:dyDescent="0.2">
      <c r="A15" s="28" t="s">
        <v>53</v>
      </c>
      <c r="B15" s="28" t="s">
        <v>150</v>
      </c>
      <c r="C15" s="15">
        <f t="shared" si="4"/>
        <v>25.983636363636364</v>
      </c>
      <c r="D15" s="29">
        <v>11</v>
      </c>
      <c r="E15" s="29">
        <v>0</v>
      </c>
      <c r="F15" s="32">
        <v>285.82</v>
      </c>
      <c r="G15" s="30">
        <v>-0.08</v>
      </c>
      <c r="H15" s="31">
        <f t="shared" si="1"/>
        <v>2.7989643831782243E-4</v>
      </c>
      <c r="I15" s="31">
        <f t="shared" si="2"/>
        <v>0.37130752121714961</v>
      </c>
      <c r="J15" s="32">
        <f t="shared" si="5"/>
        <v>106.12711571428569</v>
      </c>
      <c r="K15" s="32">
        <f t="shared" si="3"/>
        <v>9.647919610389609</v>
      </c>
      <c r="L15" s="29">
        <v>42</v>
      </c>
      <c r="M15" s="33">
        <f t="shared" si="6"/>
        <v>0.26190476190476192</v>
      </c>
      <c r="N15" s="29">
        <v>6</v>
      </c>
      <c r="O15" s="34">
        <f t="shared" ref="O15:P15" si="23">D15/7</f>
        <v>1.5714285714285714</v>
      </c>
      <c r="P15" s="34">
        <f t="shared" si="23"/>
        <v>0</v>
      </c>
      <c r="Q15" s="29">
        <f t="shared" si="8"/>
        <v>3</v>
      </c>
      <c r="R15" s="29"/>
      <c r="S15" s="35">
        <v>1.75510204081632</v>
      </c>
      <c r="T15" s="28">
        <v>0</v>
      </c>
      <c r="U15" s="36" t="s">
        <v>33</v>
      </c>
      <c r="V15" s="37" t="s">
        <v>33</v>
      </c>
      <c r="W15" s="28">
        <v>0</v>
      </c>
      <c r="X15" s="38">
        <f t="shared" si="9"/>
        <v>0</v>
      </c>
      <c r="Y15" s="39">
        <f t="shared" si="10"/>
        <v>0</v>
      </c>
      <c r="Z15" s="28">
        <v>0</v>
      </c>
      <c r="AA15" s="28" t="s">
        <v>34</v>
      </c>
      <c r="AB15" s="40">
        <f t="shared" si="11"/>
        <v>-0.69</v>
      </c>
      <c r="AC15" s="41">
        <v>0.10183333333333333</v>
      </c>
      <c r="AD15" s="39">
        <f t="shared" si="12"/>
        <v>-1.5458299999999998</v>
      </c>
      <c r="AE15" s="39">
        <v>-5.8</v>
      </c>
      <c r="AF15" s="39">
        <v>-6.4903685714285704</v>
      </c>
      <c r="AG15" s="39">
        <v>0</v>
      </c>
    </row>
    <row r="16" spans="1:33" ht="15.75" customHeight="1" x14ac:dyDescent="0.2">
      <c r="A16" s="28" t="s">
        <v>54</v>
      </c>
      <c r="B16" s="28" t="s">
        <v>52</v>
      </c>
      <c r="C16" s="15">
        <f t="shared" si="4"/>
        <v>25.25</v>
      </c>
      <c r="D16" s="29">
        <v>3</v>
      </c>
      <c r="E16" s="29">
        <v>0</v>
      </c>
      <c r="F16" s="32">
        <v>75.75</v>
      </c>
      <c r="G16" s="30">
        <v>0</v>
      </c>
      <c r="H16" s="31">
        <f t="shared" si="1"/>
        <v>0</v>
      </c>
      <c r="I16" s="31">
        <f t="shared" si="2"/>
        <v>0.35768718528995769</v>
      </c>
      <c r="J16" s="32">
        <f t="shared" si="5"/>
        <v>27.094804285714293</v>
      </c>
      <c r="K16" s="32">
        <f t="shared" si="3"/>
        <v>9.031601428571431</v>
      </c>
      <c r="L16" s="29">
        <v>12</v>
      </c>
      <c r="M16" s="33">
        <f t="shared" si="6"/>
        <v>0.25</v>
      </c>
      <c r="N16" s="29">
        <v>0</v>
      </c>
      <c r="O16" s="34">
        <f t="shared" ref="O16:P16" si="24">D16/7</f>
        <v>0.42857142857142855</v>
      </c>
      <c r="P16" s="34">
        <f t="shared" si="24"/>
        <v>0</v>
      </c>
      <c r="Q16" s="29">
        <f t="shared" si="8"/>
        <v>0</v>
      </c>
      <c r="R16" s="29"/>
      <c r="S16" s="35">
        <v>2.09523809523809</v>
      </c>
      <c r="T16" s="28">
        <v>0</v>
      </c>
      <c r="U16" s="36" t="s">
        <v>33</v>
      </c>
      <c r="V16" s="37" t="s">
        <v>33</v>
      </c>
      <c r="W16" s="28">
        <v>0</v>
      </c>
      <c r="X16" s="38">
        <f t="shared" si="9"/>
        <v>0</v>
      </c>
      <c r="Y16" s="39">
        <f t="shared" si="10"/>
        <v>0</v>
      </c>
      <c r="Z16" s="28">
        <v>0</v>
      </c>
      <c r="AA16" s="28" t="s">
        <v>34</v>
      </c>
      <c r="AB16" s="40">
        <f t="shared" si="11"/>
        <v>-0.69</v>
      </c>
      <c r="AC16" s="41">
        <v>0.10183333333333333</v>
      </c>
      <c r="AD16" s="39">
        <f t="shared" si="12"/>
        <v>-0.42158999999999996</v>
      </c>
      <c r="AE16" s="39">
        <v>-5.8</v>
      </c>
      <c r="AF16" s="39">
        <v>-6.4903685714285704</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0</v>
      </c>
      <c r="O17" s="34">
        <f t="shared" ref="O17:P17" si="25">D17/7</f>
        <v>0</v>
      </c>
      <c r="P17" s="34">
        <f t="shared" si="25"/>
        <v>0</v>
      </c>
      <c r="Q17" s="29" t="e">
        <f t="shared" si="8"/>
        <v>#DIV/0!</v>
      </c>
      <c r="R17" s="29"/>
      <c r="S17" s="35">
        <v>2.0939597315436198</v>
      </c>
      <c r="T17" s="28">
        <v>0</v>
      </c>
      <c r="U17" s="36" t="s">
        <v>33</v>
      </c>
      <c r="V17" s="37" t="s">
        <v>33</v>
      </c>
      <c r="W17" s="28">
        <v>0</v>
      </c>
      <c r="X17" s="38">
        <f t="shared" si="9"/>
        <v>0</v>
      </c>
      <c r="Y17" s="39">
        <f t="shared" si="10"/>
        <v>0</v>
      </c>
      <c r="Z17" s="28">
        <v>0</v>
      </c>
      <c r="AA17" s="28" t="e">
        <v>#N/A</v>
      </c>
      <c r="AB17" s="40" t="e">
        <f t="shared" si="11"/>
        <v>#N/A</v>
      </c>
      <c r="AC17" s="41" t="e">
        <v>#N/A</v>
      </c>
      <c r="AD17" s="39">
        <f t="shared" si="12"/>
        <v>0</v>
      </c>
      <c r="AE17" s="39">
        <v>0</v>
      </c>
      <c r="AF17" s="39">
        <v>-6.3547685714285702</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0</v>
      </c>
      <c r="O18" s="34">
        <f t="shared" ref="O18:P18" si="26">D18/7</f>
        <v>0</v>
      </c>
      <c r="P18" s="34">
        <f t="shared" si="26"/>
        <v>0</v>
      </c>
      <c r="Q18" s="29" t="e">
        <f t="shared" si="8"/>
        <v>#DIV/0!</v>
      </c>
      <c r="R18" s="29"/>
      <c r="S18" s="35" t="e">
        <v>#N/A</v>
      </c>
      <c r="T18" s="28">
        <v>0</v>
      </c>
      <c r="U18" s="36" t="s">
        <v>33</v>
      </c>
      <c r="V18" s="37" t="s">
        <v>33</v>
      </c>
      <c r="W18" s="28">
        <v>0</v>
      </c>
      <c r="X18" s="38">
        <f t="shared" si="9"/>
        <v>0</v>
      </c>
      <c r="Y18" s="39">
        <f t="shared" si="10"/>
        <v>0</v>
      </c>
      <c r="Z18" s="28">
        <v>0</v>
      </c>
      <c r="AA18" s="28" t="e">
        <v>#N/A</v>
      </c>
      <c r="AB18" s="40" t="e">
        <f t="shared" si="11"/>
        <v>#N/A</v>
      </c>
      <c r="AC18" s="41" t="e">
        <v>#N/A</v>
      </c>
      <c r="AD18" s="39">
        <f t="shared" si="12"/>
        <v>0</v>
      </c>
      <c r="AE18" s="39">
        <v>0</v>
      </c>
      <c r="AF18" s="39">
        <v>-6.3547685714285702</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t="e">
        <v>#N/A</v>
      </c>
      <c r="T19" s="28">
        <v>0</v>
      </c>
      <c r="U19" s="36" t="s">
        <v>33</v>
      </c>
      <c r="V19" s="37" t="s">
        <v>33</v>
      </c>
      <c r="W19" s="28">
        <v>0</v>
      </c>
      <c r="X19" s="38">
        <f t="shared" si="9"/>
        <v>0</v>
      </c>
      <c r="Y19" s="39">
        <f t="shared" si="10"/>
        <v>0</v>
      </c>
      <c r="Z19" s="28">
        <v>0</v>
      </c>
      <c r="AA19" s="28" t="e">
        <v>#N/A</v>
      </c>
      <c r="AB19" s="40" t="e">
        <f t="shared" si="11"/>
        <v>#N/A</v>
      </c>
      <c r="AC19" s="41" t="e">
        <v>#N/A</v>
      </c>
      <c r="AD19" s="39">
        <f t="shared" si="12"/>
        <v>0</v>
      </c>
      <c r="AE19" s="39">
        <v>0</v>
      </c>
      <c r="AF19" s="39">
        <v>-6.6439355714285711</v>
      </c>
      <c r="AG19" s="39">
        <v>0</v>
      </c>
    </row>
    <row r="20" spans="1:33" ht="15.75" customHeight="1" x14ac:dyDescent="0.2">
      <c r="A20" s="28" t="s">
        <v>58</v>
      </c>
      <c r="B20" s="28"/>
      <c r="C20" s="15">
        <f t="shared" si="4"/>
        <v>26.43</v>
      </c>
      <c r="D20" s="29">
        <v>1</v>
      </c>
      <c r="E20" s="29">
        <v>0</v>
      </c>
      <c r="F20" s="32">
        <v>26.43</v>
      </c>
      <c r="G20" s="30">
        <v>0</v>
      </c>
      <c r="H20" s="31">
        <f t="shared" si="1"/>
        <v>0</v>
      </c>
      <c r="I20" s="31">
        <f t="shared" si="2"/>
        <v>0.37385676990432942</v>
      </c>
      <c r="J20" s="32">
        <f t="shared" si="5"/>
        <v>9.8810344285714269</v>
      </c>
      <c r="K20" s="32">
        <f t="shared" si="3"/>
        <v>9.8810344285714269</v>
      </c>
      <c r="L20" s="29">
        <v>0</v>
      </c>
      <c r="M20" s="33" t="str">
        <f t="shared" si="6"/>
        <v>-</v>
      </c>
      <c r="N20" s="29">
        <v>0</v>
      </c>
      <c r="O20" s="34">
        <f t="shared" ref="O20:P20" si="28">D20/7</f>
        <v>0.14285714285714285</v>
      </c>
      <c r="P20" s="34">
        <f t="shared" si="28"/>
        <v>0</v>
      </c>
      <c r="Q20" s="29">
        <f t="shared" si="8"/>
        <v>0</v>
      </c>
      <c r="R20" s="29"/>
      <c r="S20" s="35" t="e">
        <v>#N/A</v>
      </c>
      <c r="T20" s="28">
        <v>0</v>
      </c>
      <c r="U20" s="36" t="s">
        <v>33</v>
      </c>
      <c r="V20" s="37" t="s">
        <v>33</v>
      </c>
      <c r="W20" s="28">
        <v>0</v>
      </c>
      <c r="X20" s="38">
        <f t="shared" si="9"/>
        <v>0</v>
      </c>
      <c r="Y20" s="39">
        <f t="shared" si="10"/>
        <v>0</v>
      </c>
      <c r="Z20" s="28">
        <v>0</v>
      </c>
      <c r="AA20" s="28" t="s">
        <v>34</v>
      </c>
      <c r="AB20" s="40">
        <f t="shared" si="11"/>
        <v>-0.69</v>
      </c>
      <c r="AC20" s="41">
        <v>0.10183333333333333</v>
      </c>
      <c r="AD20" s="39">
        <f t="shared" si="12"/>
        <v>-0.14052999999999999</v>
      </c>
      <c r="AE20" s="39">
        <v>-5.8</v>
      </c>
      <c r="AF20" s="39">
        <v>-6.6439355714285711</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0</v>
      </c>
      <c r="U21" s="36" t="s">
        <v>33</v>
      </c>
      <c r="V21" s="37" t="s">
        <v>33</v>
      </c>
      <c r="W21" s="28">
        <v>0</v>
      </c>
      <c r="X21" s="38">
        <f t="shared" si="9"/>
        <v>0</v>
      </c>
      <c r="Y21" s="39">
        <f t="shared" si="10"/>
        <v>0</v>
      </c>
      <c r="Z21" s="28">
        <v>0</v>
      </c>
      <c r="AA21" s="28" t="s">
        <v>34</v>
      </c>
      <c r="AB21" s="40">
        <f t="shared" si="11"/>
        <v>-0.69</v>
      </c>
      <c r="AC21" s="41">
        <v>0.10183333333333333</v>
      </c>
      <c r="AD21" s="39">
        <f t="shared" si="12"/>
        <v>0</v>
      </c>
      <c r="AE21" s="39">
        <v>-5.8</v>
      </c>
      <c r="AF21" s="39">
        <v>-6.6439355714285711</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0</v>
      </c>
      <c r="U22" s="36" t="s">
        <v>33</v>
      </c>
      <c r="V22" s="37" t="s">
        <v>33</v>
      </c>
      <c r="W22" s="28">
        <v>0</v>
      </c>
      <c r="X22" s="38">
        <f t="shared" si="9"/>
        <v>0</v>
      </c>
      <c r="Y22" s="39">
        <f t="shared" si="10"/>
        <v>0</v>
      </c>
      <c r="Z22" s="28">
        <v>0</v>
      </c>
      <c r="AA22" s="28" t="s">
        <v>34</v>
      </c>
      <c r="AB22" s="40">
        <f t="shared" si="11"/>
        <v>-0.69</v>
      </c>
      <c r="AC22" s="41">
        <v>0.10183333333333333</v>
      </c>
      <c r="AD22" s="39">
        <f t="shared" si="12"/>
        <v>0</v>
      </c>
      <c r="AE22" s="39">
        <v>-5.8</v>
      </c>
      <c r="AF22" s="39">
        <v>-6.6439355714285711</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0</v>
      </c>
      <c r="U23" s="36" t="s">
        <v>33</v>
      </c>
      <c r="V23" s="37" t="s">
        <v>33</v>
      </c>
      <c r="W23" s="28">
        <v>0</v>
      </c>
      <c r="X23" s="38">
        <f t="shared" si="9"/>
        <v>0</v>
      </c>
      <c r="Y23" s="39">
        <f t="shared" si="10"/>
        <v>0</v>
      </c>
      <c r="Z23" s="28">
        <v>0</v>
      </c>
      <c r="AA23" s="28" t="s">
        <v>34</v>
      </c>
      <c r="AB23" s="40">
        <f t="shared" si="11"/>
        <v>-0.69</v>
      </c>
      <c r="AC23" s="41">
        <v>0.10183333333333333</v>
      </c>
      <c r="AD23" s="39">
        <f t="shared" si="12"/>
        <v>0</v>
      </c>
      <c r="AE23" s="39">
        <v>-5.8</v>
      </c>
      <c r="AF23" s="39">
        <v>-6.6439355714285711</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0</v>
      </c>
      <c r="U24" s="36" t="s">
        <v>33</v>
      </c>
      <c r="V24" s="37" t="s">
        <v>33</v>
      </c>
      <c r="W24" s="28">
        <v>0</v>
      </c>
      <c r="X24" s="38">
        <f t="shared" si="9"/>
        <v>0</v>
      </c>
      <c r="Y24" s="39">
        <f t="shared" si="10"/>
        <v>0</v>
      </c>
      <c r="Z24" s="28">
        <v>0</v>
      </c>
      <c r="AA24" s="28" t="s">
        <v>34</v>
      </c>
      <c r="AB24" s="40">
        <f t="shared" si="11"/>
        <v>-0.69</v>
      </c>
      <c r="AC24" s="41">
        <v>0.10183333333333333</v>
      </c>
      <c r="AD24" s="39">
        <f t="shared" si="12"/>
        <v>0</v>
      </c>
      <c r="AE24" s="39">
        <v>-5.8</v>
      </c>
      <c r="AF24" s="39">
        <v>-6.6439355714285711</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0</v>
      </c>
      <c r="U25" s="36" t="s">
        <v>33</v>
      </c>
      <c r="V25" s="37" t="s">
        <v>33</v>
      </c>
      <c r="W25" s="14">
        <v>0</v>
      </c>
      <c r="X25" s="38">
        <f t="shared" si="9"/>
        <v>0</v>
      </c>
      <c r="Y25" s="39">
        <f t="shared" si="10"/>
        <v>0</v>
      </c>
      <c r="Z25" s="14">
        <v>0</v>
      </c>
      <c r="AA25" s="28" t="s">
        <v>34</v>
      </c>
      <c r="AB25" s="40">
        <f t="shared" si="11"/>
        <v>-0.69</v>
      </c>
      <c r="AC25" s="41">
        <v>0.10183333333333333</v>
      </c>
      <c r="AD25" s="39">
        <f t="shared" si="12"/>
        <v>0</v>
      </c>
      <c r="AE25" s="39">
        <v>-5.8</v>
      </c>
      <c r="AF25" s="39">
        <v>-6.64</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280</v>
      </c>
      <c r="U26" s="36" t="s">
        <v>33</v>
      </c>
      <c r="V26" s="37" t="s">
        <v>33</v>
      </c>
      <c r="W26" s="14">
        <v>0</v>
      </c>
      <c r="X26" s="38">
        <f t="shared" si="9"/>
        <v>0</v>
      </c>
      <c r="Y26" s="39">
        <f t="shared" si="10"/>
        <v>0</v>
      </c>
      <c r="Z26" s="14">
        <v>0</v>
      </c>
      <c r="AA26" s="28" t="s">
        <v>34</v>
      </c>
      <c r="AB26" s="40">
        <f t="shared" si="11"/>
        <v>-0.69</v>
      </c>
      <c r="AC26" s="41">
        <v>0.10183333333333333</v>
      </c>
      <c r="AD26" s="39">
        <f t="shared" si="12"/>
        <v>0</v>
      </c>
      <c r="AE26" s="25">
        <v>-5.8</v>
      </c>
      <c r="AF26" s="25">
        <v>-6.6725069999999898</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280</v>
      </c>
      <c r="U27" s="36" t="s">
        <v>33</v>
      </c>
      <c r="V27" s="37" t="s">
        <v>33</v>
      </c>
      <c r="W27" s="14">
        <v>0</v>
      </c>
      <c r="X27" s="38">
        <f t="shared" si="9"/>
        <v>0</v>
      </c>
      <c r="Y27" s="39">
        <f t="shared" si="10"/>
        <v>0</v>
      </c>
      <c r="Z27" s="14">
        <v>0</v>
      </c>
      <c r="AA27" s="28" t="s">
        <v>34</v>
      </c>
      <c r="AB27" s="40">
        <f t="shared" si="11"/>
        <v>-0.69</v>
      </c>
      <c r="AC27" s="41">
        <v>0.10183333333333333</v>
      </c>
      <c r="AD27" s="39">
        <f t="shared" si="12"/>
        <v>0</v>
      </c>
      <c r="AE27" s="25">
        <v>-5.8</v>
      </c>
      <c r="AF27" s="25">
        <v>-6.3547685714285702</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280</v>
      </c>
      <c r="U28" s="36" t="s">
        <v>33</v>
      </c>
      <c r="V28" s="37" t="s">
        <v>33</v>
      </c>
      <c r="W28" s="14">
        <v>0</v>
      </c>
      <c r="X28" s="38">
        <f t="shared" si="9"/>
        <v>0</v>
      </c>
      <c r="Y28" s="39">
        <f t="shared" si="10"/>
        <v>0</v>
      </c>
      <c r="Z28" s="14">
        <v>0</v>
      </c>
      <c r="AA28" s="28" t="s">
        <v>34</v>
      </c>
      <c r="AB28" s="40">
        <f t="shared" si="11"/>
        <v>-0.69</v>
      </c>
      <c r="AC28" s="41">
        <v>0.10183333333333333</v>
      </c>
      <c r="AD28" s="39">
        <f t="shared" si="12"/>
        <v>0</v>
      </c>
      <c r="AE28" s="25">
        <v>-5.8</v>
      </c>
      <c r="AF28" s="25">
        <v>-6.3547685714285702</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280</v>
      </c>
      <c r="U29" s="36" t="s">
        <v>33</v>
      </c>
      <c r="V29" s="37" t="s">
        <v>33</v>
      </c>
      <c r="W29" s="14">
        <v>0</v>
      </c>
      <c r="X29" s="38">
        <f t="shared" si="9"/>
        <v>0</v>
      </c>
      <c r="Y29" s="39">
        <f t="shared" si="10"/>
        <v>0</v>
      </c>
      <c r="Z29" s="14">
        <v>0</v>
      </c>
      <c r="AA29" s="28" t="s">
        <v>34</v>
      </c>
      <c r="AB29" s="40">
        <f t="shared" si="11"/>
        <v>-0.69</v>
      </c>
      <c r="AC29" s="41">
        <v>0.10183333333333333</v>
      </c>
      <c r="AD29" s="39">
        <f t="shared" si="12"/>
        <v>0</v>
      </c>
      <c r="AE29" s="39">
        <v>-5.8</v>
      </c>
      <c r="AF29" s="25">
        <v>-6.3547685714285702</v>
      </c>
      <c r="AG29" s="39">
        <v>0</v>
      </c>
    </row>
    <row r="30" spans="1:33" ht="15.75" customHeight="1" x14ac:dyDescent="0.2">
      <c r="A30" s="28" t="s">
        <v>74</v>
      </c>
      <c r="B30" s="28"/>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280</v>
      </c>
      <c r="U30" s="36" t="s">
        <v>33</v>
      </c>
      <c r="V30" s="37" t="s">
        <v>33</v>
      </c>
      <c r="W30" s="14">
        <v>0</v>
      </c>
      <c r="X30" s="38">
        <f t="shared" si="9"/>
        <v>0</v>
      </c>
      <c r="Y30" s="39">
        <f t="shared" si="10"/>
        <v>0</v>
      </c>
      <c r="Z30" s="14">
        <v>0</v>
      </c>
      <c r="AA30" s="28" t="s">
        <v>34</v>
      </c>
      <c r="AB30" s="40">
        <f t="shared" si="11"/>
        <v>-0.69</v>
      </c>
      <c r="AC30" s="41">
        <v>0.10183333333333333</v>
      </c>
      <c r="AD30" s="39">
        <f t="shared" si="12"/>
        <v>0</v>
      </c>
      <c r="AE30" s="25">
        <v>-5.8</v>
      </c>
      <c r="AF30" s="25">
        <v>-6.0452441099999996</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0</v>
      </c>
      <c r="O31" s="34">
        <f t="shared" ref="O31:P32" si="39">D31/7</f>
        <v>0</v>
      </c>
      <c r="P31" s="34">
        <f t="shared" si="39"/>
        <v>0</v>
      </c>
      <c r="Q31" s="29" t="e">
        <f t="shared" si="8"/>
        <v>#DIV/0!</v>
      </c>
      <c r="R31" s="29"/>
      <c r="S31" s="21" t="e">
        <v>#N/A</v>
      </c>
      <c r="T31" s="14" t="s">
        <v>33</v>
      </c>
      <c r="U31" s="22" t="s">
        <v>33</v>
      </c>
      <c r="V31" s="1" t="s">
        <v>941</v>
      </c>
      <c r="W31" s="14">
        <v>0</v>
      </c>
      <c r="X31" s="38">
        <f t="shared" si="9"/>
        <v>0</v>
      </c>
      <c r="Y31" s="39">
        <f t="shared" si="10"/>
        <v>0</v>
      </c>
      <c r="Z31" s="14">
        <v>0</v>
      </c>
      <c r="AA31" s="14" t="s">
        <v>34</v>
      </c>
      <c r="AB31" s="40">
        <f t="shared" si="11"/>
        <v>-0.69</v>
      </c>
      <c r="AC31" s="27">
        <v>0.10183333333333333</v>
      </c>
      <c r="AD31" s="39">
        <f t="shared" si="12"/>
        <v>0</v>
      </c>
      <c r="AE31" s="43">
        <v>-5.8</v>
      </c>
      <c r="AF31" s="43">
        <v>-6.0452441099999996</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0</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0.10183333333333333</v>
      </c>
      <c r="AD32" s="39">
        <f t="shared" si="12"/>
        <v>0</v>
      </c>
      <c r="AE32" s="58">
        <v>-5.8</v>
      </c>
      <c r="AF32" s="58">
        <v>-6.0452441099999996</v>
      </c>
      <c r="AG32" s="58">
        <v>0</v>
      </c>
    </row>
    <row r="33" spans="1:33" ht="15.75" customHeight="1" x14ac:dyDescent="0.2">
      <c r="A33" s="28"/>
      <c r="B33" s="28"/>
      <c r="C33" s="44"/>
      <c r="D33" s="16"/>
      <c r="E33" s="16"/>
      <c r="F33" s="17"/>
      <c r="G33" s="17"/>
      <c r="H33" s="17"/>
      <c r="I33" s="16"/>
      <c r="J33" s="16"/>
      <c r="K33" s="16"/>
      <c r="L33" s="16"/>
      <c r="M33" s="19"/>
      <c r="N33" s="16"/>
      <c r="O33" s="16"/>
      <c r="P33" s="16"/>
      <c r="Q33" s="46"/>
      <c r="R33" s="46"/>
      <c r="S33" s="35"/>
      <c r="T33" s="28"/>
      <c r="U33" s="28"/>
      <c r="V33" s="28"/>
      <c r="W33" s="28"/>
      <c r="X33" s="28"/>
      <c r="Y33" s="28"/>
      <c r="Z33" s="28"/>
      <c r="AA33" s="28"/>
      <c r="AB33" s="28"/>
      <c r="AC33" s="28"/>
      <c r="AD33" s="28"/>
      <c r="AE33" s="28"/>
      <c r="AF33" s="28"/>
      <c r="AG33" s="28"/>
    </row>
    <row r="34" spans="1:33" ht="15.75" customHeight="1" x14ac:dyDescent="0.2">
      <c r="A34" s="28"/>
      <c r="B34" s="28"/>
      <c r="C34" s="44"/>
      <c r="D34" s="16"/>
      <c r="E34" s="16"/>
      <c r="F34" s="17"/>
      <c r="G34" s="17"/>
      <c r="H34" s="17"/>
      <c r="I34" s="16"/>
      <c r="J34" s="16"/>
      <c r="K34" s="16"/>
      <c r="L34" s="16"/>
      <c r="M34" s="19"/>
      <c r="N34" s="16"/>
      <c r="O34" s="16"/>
      <c r="P34" s="16"/>
      <c r="Q34" s="46"/>
      <c r="R34" s="46"/>
      <c r="S34" s="35"/>
      <c r="T34" s="28"/>
      <c r="U34" s="28"/>
      <c r="V34" s="28"/>
      <c r="W34" s="28"/>
      <c r="X34" s="28"/>
      <c r="Y34" s="28"/>
      <c r="Z34" s="28"/>
      <c r="AA34" s="28"/>
      <c r="AB34" s="28"/>
      <c r="AC34" s="28"/>
      <c r="AD34" s="28"/>
      <c r="AE34" s="28"/>
      <c r="AF34" s="28"/>
      <c r="AG34" s="28"/>
    </row>
    <row r="35" spans="1:33" ht="15.75" customHeight="1" x14ac:dyDescent="0.2">
      <c r="A35" s="28"/>
      <c r="B35" s="28"/>
      <c r="C35" s="44"/>
      <c r="D35" s="16"/>
      <c r="E35" s="16"/>
      <c r="F35" s="17"/>
      <c r="G35" s="17"/>
      <c r="H35" s="17"/>
      <c r="I35" s="16"/>
      <c r="J35" s="16"/>
      <c r="K35" s="16"/>
      <c r="L35" s="16"/>
      <c r="M35" s="19"/>
      <c r="N35" s="16"/>
      <c r="O35" s="16"/>
      <c r="P35" s="16"/>
      <c r="Q35" s="46"/>
      <c r="R35" s="46"/>
      <c r="S35" s="35"/>
      <c r="T35" s="28"/>
      <c r="U35" s="28"/>
      <c r="V35" s="28"/>
      <c r="W35" s="28"/>
      <c r="X35" s="28"/>
      <c r="Y35" s="28"/>
      <c r="Z35" s="28"/>
      <c r="AA35" s="28"/>
      <c r="AB35" s="28"/>
      <c r="AC35" s="28"/>
      <c r="AD35" s="28"/>
      <c r="AE35" s="28"/>
      <c r="AF35" s="28"/>
      <c r="AG35" s="28"/>
    </row>
    <row r="36" spans="1:33" ht="15.75" customHeight="1" x14ac:dyDescent="0.2">
      <c r="A36" s="28"/>
      <c r="B36" s="28"/>
      <c r="C36" s="44"/>
      <c r="D36" s="16"/>
      <c r="E36" s="16"/>
      <c r="F36" s="17"/>
      <c r="G36" s="17"/>
      <c r="H36" s="17"/>
      <c r="I36" s="16"/>
      <c r="J36" s="16"/>
      <c r="K36" s="16"/>
      <c r="L36" s="16"/>
      <c r="M36" s="19"/>
      <c r="N36" s="16"/>
      <c r="O36" s="16"/>
      <c r="P36" s="16"/>
      <c r="Q36" s="46"/>
      <c r="R36" s="46"/>
      <c r="S36" s="35"/>
      <c r="T36" s="28"/>
      <c r="U36" s="28"/>
      <c r="V36" s="28"/>
      <c r="W36" s="28"/>
      <c r="X36" s="28"/>
      <c r="Y36" s="28"/>
      <c r="Z36" s="28"/>
      <c r="AA36" s="28"/>
      <c r="AB36" s="28"/>
      <c r="AC36" s="28"/>
      <c r="AD36" s="28"/>
      <c r="AE36" s="28"/>
      <c r="AF36" s="28"/>
      <c r="AG36" s="28"/>
    </row>
    <row r="37" spans="1:33" ht="15.75" customHeight="1" x14ac:dyDescent="0.2">
      <c r="A37" s="28"/>
      <c r="B37" s="28"/>
      <c r="C37" s="44"/>
      <c r="D37" s="16"/>
      <c r="E37" s="16"/>
      <c r="F37" s="17"/>
      <c r="G37" s="17"/>
      <c r="H37" s="17"/>
      <c r="I37" s="16"/>
      <c r="J37" s="16"/>
      <c r="K37" s="16"/>
      <c r="L37" s="16"/>
      <c r="M37" s="19"/>
      <c r="N37" s="16"/>
      <c r="O37" s="16"/>
      <c r="P37" s="16"/>
      <c r="Q37" s="46"/>
      <c r="R37" s="46"/>
      <c r="S37" s="35"/>
      <c r="T37" s="28"/>
      <c r="U37" s="28"/>
      <c r="V37" s="28"/>
      <c r="W37" s="28"/>
      <c r="X37" s="28"/>
      <c r="Y37" s="28"/>
      <c r="Z37" s="28"/>
      <c r="AA37" s="28"/>
      <c r="AB37" s="28"/>
      <c r="AC37" s="28"/>
      <c r="AD37" s="28"/>
      <c r="AE37" s="28"/>
      <c r="AF37" s="28"/>
      <c r="AG37" s="28"/>
    </row>
    <row r="38" spans="1:33" ht="15.75" customHeight="1" x14ac:dyDescent="0.2">
      <c r="A38" s="28"/>
      <c r="B38" s="28"/>
      <c r="C38" s="44"/>
      <c r="D38" s="16"/>
      <c r="E38" s="16"/>
      <c r="F38" s="17"/>
      <c r="G38" s="17"/>
      <c r="H38" s="17"/>
      <c r="I38" s="16"/>
      <c r="J38" s="16"/>
      <c r="K38" s="16"/>
      <c r="L38" s="16"/>
      <c r="M38" s="19"/>
      <c r="N38" s="16"/>
      <c r="O38" s="16"/>
      <c r="P38" s="16"/>
      <c r="Q38" s="46"/>
      <c r="R38" s="46"/>
      <c r="S38" s="35"/>
      <c r="T38" s="28"/>
      <c r="U38" s="28"/>
      <c r="V38" s="28"/>
      <c r="W38" s="28"/>
      <c r="X38" s="28"/>
      <c r="Y38" s="28"/>
      <c r="Z38" s="28"/>
      <c r="AA38" s="28"/>
      <c r="AB38" s="28"/>
      <c r="AC38" s="28"/>
      <c r="AD38" s="28"/>
      <c r="AE38" s="28"/>
      <c r="AF38" s="28"/>
      <c r="AG38" s="28"/>
    </row>
    <row r="39" spans="1:33" ht="15.75" customHeight="1" x14ac:dyDescent="0.2">
      <c r="A39" s="28"/>
      <c r="B39" s="28"/>
      <c r="C39" s="44"/>
      <c r="D39" s="16"/>
      <c r="E39" s="16"/>
      <c r="F39" s="17"/>
      <c r="G39" s="17"/>
      <c r="H39" s="17"/>
      <c r="I39" s="16"/>
      <c r="J39" s="16"/>
      <c r="K39" s="16"/>
      <c r="L39" s="16"/>
      <c r="M39" s="19"/>
      <c r="N39" s="16"/>
      <c r="O39" s="16"/>
      <c r="P39" s="16"/>
      <c r="Q39" s="46"/>
      <c r="R39" s="46"/>
      <c r="S39" s="35"/>
      <c r="T39" s="28"/>
      <c r="U39" s="28"/>
      <c r="V39" s="28"/>
      <c r="W39" s="28"/>
      <c r="X39" s="28"/>
      <c r="Y39" s="28"/>
      <c r="Z39" s="28"/>
      <c r="AA39" s="28"/>
      <c r="AB39" s="28"/>
      <c r="AC39" s="28"/>
      <c r="AD39" s="28"/>
      <c r="AE39" s="28"/>
      <c r="AF39" s="28"/>
      <c r="AG39" s="28"/>
    </row>
    <row r="40" spans="1:33" ht="15.75" customHeight="1" x14ac:dyDescent="0.2">
      <c r="A40" s="28"/>
      <c r="B40" s="28"/>
      <c r="C40" s="44"/>
      <c r="D40" s="16"/>
      <c r="E40" s="16"/>
      <c r="F40" s="17"/>
      <c r="G40" s="17"/>
      <c r="H40" s="17"/>
      <c r="I40" s="16"/>
      <c r="J40" s="16"/>
      <c r="K40" s="16"/>
      <c r="L40" s="16"/>
      <c r="M40" s="19"/>
      <c r="N40" s="16"/>
      <c r="O40" s="16"/>
      <c r="P40" s="16"/>
      <c r="Q40" s="46"/>
      <c r="R40" s="46"/>
      <c r="S40" s="35"/>
      <c r="T40" s="28"/>
      <c r="U40" s="28"/>
      <c r="V40" s="28"/>
      <c r="W40" s="28"/>
      <c r="X40" s="28"/>
      <c r="Y40" s="28"/>
      <c r="Z40" s="28"/>
      <c r="AA40" s="28"/>
      <c r="AB40" s="28"/>
      <c r="AC40" s="28"/>
      <c r="AD40" s="28"/>
      <c r="AE40" s="28"/>
      <c r="AF40" s="28"/>
      <c r="AG40" s="28"/>
    </row>
    <row r="41" spans="1:33" ht="15.75" customHeight="1" x14ac:dyDescent="0.2">
      <c r="A41" s="28"/>
      <c r="B41" s="28"/>
      <c r="C41" s="44"/>
      <c r="D41" s="16"/>
      <c r="E41" s="16"/>
      <c r="F41" s="17"/>
      <c r="G41" s="17"/>
      <c r="H41" s="17"/>
      <c r="I41" s="16"/>
      <c r="J41" s="16"/>
      <c r="K41" s="16"/>
      <c r="L41" s="16"/>
      <c r="M41" s="19"/>
      <c r="N41" s="16"/>
      <c r="O41" s="16"/>
      <c r="P41" s="16"/>
      <c r="Q41" s="46"/>
      <c r="R41" s="46"/>
      <c r="S41" s="35"/>
      <c r="T41" s="28"/>
      <c r="U41" s="28"/>
      <c r="V41" s="28"/>
      <c r="W41" s="28"/>
      <c r="X41" s="28"/>
      <c r="Y41" s="28"/>
      <c r="Z41" s="28"/>
      <c r="AA41" s="28"/>
      <c r="AB41" s="28"/>
      <c r="AC41" s="28"/>
      <c r="AD41" s="28"/>
      <c r="AE41" s="28"/>
      <c r="AF41" s="28"/>
      <c r="AG41" s="28"/>
    </row>
    <row r="42" spans="1:33" ht="15.75" customHeight="1" x14ac:dyDescent="0.2">
      <c r="A42" s="28"/>
      <c r="B42" s="28"/>
      <c r="C42" s="44"/>
      <c r="D42" s="16"/>
      <c r="E42" s="16"/>
      <c r="F42" s="17"/>
      <c r="G42" s="17"/>
      <c r="H42" s="17"/>
      <c r="I42" s="16"/>
      <c r="J42" s="16"/>
      <c r="K42" s="16"/>
      <c r="L42" s="16"/>
      <c r="M42" s="19"/>
      <c r="N42" s="16"/>
      <c r="O42" s="16"/>
      <c r="P42" s="16"/>
      <c r="Q42" s="46"/>
      <c r="R42" s="46"/>
      <c r="S42" s="35"/>
      <c r="T42" s="28"/>
      <c r="U42" s="28"/>
      <c r="V42" s="28"/>
      <c r="W42" s="28"/>
      <c r="X42" s="28"/>
      <c r="Y42" s="28"/>
      <c r="Z42" s="28"/>
      <c r="AA42" s="28"/>
      <c r="AB42" s="28"/>
      <c r="AC42" s="28"/>
      <c r="AD42" s="28"/>
      <c r="AE42" s="28"/>
      <c r="AF42" s="28"/>
      <c r="AG42" s="28"/>
    </row>
    <row r="43" spans="1:33" ht="15.75" customHeight="1" x14ac:dyDescent="0.2">
      <c r="A43" s="28"/>
      <c r="B43" s="28"/>
      <c r="C43" s="44"/>
      <c r="D43" s="16"/>
      <c r="E43" s="16"/>
      <c r="F43" s="17"/>
      <c r="G43" s="17"/>
      <c r="H43" s="17"/>
      <c r="I43" s="16"/>
      <c r="J43" s="16"/>
      <c r="K43" s="16"/>
      <c r="L43" s="16"/>
      <c r="M43" s="19"/>
      <c r="N43" s="16"/>
      <c r="O43" s="16"/>
      <c r="P43" s="16"/>
      <c r="Q43" s="46"/>
      <c r="R43" s="46"/>
      <c r="S43" s="35"/>
      <c r="T43" s="28"/>
      <c r="U43" s="28"/>
      <c r="V43" s="28"/>
      <c r="W43" s="28"/>
      <c r="X43" s="28"/>
      <c r="Y43" s="28"/>
      <c r="Z43" s="28"/>
      <c r="AA43" s="28"/>
      <c r="AB43" s="28"/>
      <c r="AC43" s="28"/>
      <c r="AD43" s="28"/>
      <c r="AE43" s="28"/>
      <c r="AF43" s="28"/>
      <c r="AG43" s="28"/>
    </row>
    <row r="44" spans="1:33" ht="15.75" customHeight="1" x14ac:dyDescent="0.2">
      <c r="A44" s="28"/>
      <c r="B44" s="28"/>
      <c r="C44" s="44"/>
      <c r="D44" s="16"/>
      <c r="E44" s="16"/>
      <c r="F44" s="17"/>
      <c r="G44" s="17"/>
      <c r="H44" s="17"/>
      <c r="I44" s="16"/>
      <c r="J44" s="16"/>
      <c r="K44" s="16"/>
      <c r="L44" s="16"/>
      <c r="M44" s="19"/>
      <c r="N44" s="16"/>
      <c r="O44" s="16"/>
      <c r="P44" s="16"/>
      <c r="Q44" s="46"/>
      <c r="R44" s="46"/>
      <c r="S44" s="35"/>
      <c r="T44" s="28"/>
      <c r="U44" s="28"/>
      <c r="V44" s="28"/>
      <c r="W44" s="28"/>
      <c r="X44" s="28"/>
      <c r="Y44" s="28"/>
      <c r="Z44" s="28"/>
      <c r="AA44" s="28"/>
      <c r="AB44" s="28"/>
      <c r="AC44" s="28"/>
      <c r="AD44" s="28"/>
      <c r="AE44" s="28"/>
      <c r="AF44" s="28"/>
      <c r="AG44" s="28"/>
    </row>
    <row r="45" spans="1:33" ht="15.75" customHeight="1" x14ac:dyDescent="0.2">
      <c r="A45" s="28"/>
      <c r="B45" s="28"/>
      <c r="C45" s="44"/>
      <c r="D45" s="16"/>
      <c r="E45" s="16"/>
      <c r="F45" s="17"/>
      <c r="G45" s="17"/>
      <c r="H45" s="17"/>
      <c r="I45" s="16"/>
      <c r="J45" s="16"/>
      <c r="K45" s="16"/>
      <c r="L45" s="16"/>
      <c r="M45" s="19"/>
      <c r="N45" s="16"/>
      <c r="O45" s="16"/>
      <c r="P45" s="16"/>
      <c r="Q45" s="46"/>
      <c r="R45" s="46"/>
      <c r="S45" s="35"/>
      <c r="T45" s="28"/>
      <c r="U45" s="28"/>
      <c r="V45" s="28"/>
      <c r="W45" s="28"/>
      <c r="X45" s="28"/>
      <c r="Y45" s="28"/>
      <c r="Z45" s="28"/>
      <c r="AA45" s="28"/>
      <c r="AB45" s="28"/>
      <c r="AC45" s="28"/>
      <c r="AD45" s="28"/>
      <c r="AE45" s="28"/>
      <c r="AF45" s="28"/>
      <c r="AG45" s="28"/>
    </row>
    <row r="46" spans="1:33" ht="15.75" customHeight="1" x14ac:dyDescent="0.2">
      <c r="A46" s="28"/>
      <c r="B46" s="28"/>
      <c r="C46" s="44"/>
      <c r="D46" s="16"/>
      <c r="E46" s="16"/>
      <c r="F46" s="17"/>
      <c r="G46" s="17"/>
      <c r="H46" s="17"/>
      <c r="I46" s="16"/>
      <c r="J46" s="16"/>
      <c r="K46" s="16"/>
      <c r="L46" s="16"/>
      <c r="M46" s="19"/>
      <c r="N46" s="16"/>
      <c r="O46" s="16"/>
      <c r="P46" s="16"/>
      <c r="Q46" s="46"/>
      <c r="R46" s="46"/>
      <c r="S46" s="35"/>
      <c r="T46" s="28"/>
      <c r="U46" s="28"/>
      <c r="V46" s="28"/>
      <c r="W46" s="28"/>
      <c r="X46" s="28"/>
      <c r="Y46" s="28"/>
      <c r="Z46" s="28"/>
      <c r="AA46" s="28"/>
      <c r="AB46" s="28"/>
      <c r="AC46" s="28"/>
      <c r="AD46" s="28"/>
      <c r="AE46" s="28"/>
      <c r="AF46" s="28"/>
      <c r="AG46" s="28"/>
    </row>
    <row r="47" spans="1:33" ht="15.75" customHeight="1" x14ac:dyDescent="0.2">
      <c r="A47" s="28"/>
      <c r="B47" s="28"/>
      <c r="C47" s="44"/>
      <c r="D47" s="16"/>
      <c r="E47" s="16"/>
      <c r="F47" s="17"/>
      <c r="G47" s="17"/>
      <c r="H47" s="17"/>
      <c r="I47" s="16"/>
      <c r="J47" s="16"/>
      <c r="K47" s="16"/>
      <c r="L47" s="16"/>
      <c r="M47" s="19"/>
      <c r="N47" s="16"/>
      <c r="O47" s="16"/>
      <c r="P47" s="16"/>
      <c r="Q47" s="46"/>
      <c r="R47" s="46"/>
      <c r="S47" s="35"/>
      <c r="T47" s="28"/>
      <c r="U47" s="28"/>
      <c r="V47" s="28"/>
      <c r="W47" s="28"/>
      <c r="X47" s="28"/>
      <c r="Y47" s="28"/>
      <c r="Z47" s="28"/>
      <c r="AA47" s="28"/>
      <c r="AB47" s="28"/>
      <c r="AC47" s="28"/>
      <c r="AD47" s="28"/>
      <c r="AE47" s="28"/>
      <c r="AF47" s="28"/>
      <c r="AG47" s="28"/>
    </row>
    <row r="48" spans="1:33" ht="15.75" customHeight="1" x14ac:dyDescent="0.2">
      <c r="A48" s="28"/>
      <c r="B48" s="28"/>
      <c r="C48" s="44"/>
      <c r="D48" s="16"/>
      <c r="E48" s="16"/>
      <c r="F48" s="17"/>
      <c r="G48" s="17"/>
      <c r="H48" s="17"/>
      <c r="I48" s="16"/>
      <c r="J48" s="16"/>
      <c r="K48" s="16"/>
      <c r="L48" s="16"/>
      <c r="M48" s="19"/>
      <c r="N48" s="16"/>
      <c r="O48" s="16"/>
      <c r="P48" s="16"/>
      <c r="Q48" s="46"/>
      <c r="R48" s="46"/>
      <c r="S48" s="35"/>
      <c r="T48" s="28"/>
      <c r="U48" s="28"/>
      <c r="V48" s="28"/>
      <c r="W48" s="28"/>
      <c r="X48" s="28"/>
      <c r="Y48" s="28"/>
      <c r="Z48" s="28"/>
      <c r="AA48" s="28"/>
      <c r="AB48" s="28"/>
      <c r="AC48" s="28"/>
      <c r="AD48" s="28"/>
      <c r="AE48" s="28"/>
      <c r="AF48" s="28"/>
      <c r="AG48" s="28"/>
    </row>
    <row r="49" spans="1:33" ht="15.75" customHeight="1" x14ac:dyDescent="0.2">
      <c r="A49" s="28"/>
      <c r="B49" s="28"/>
      <c r="C49" s="44"/>
      <c r="D49" s="16"/>
      <c r="E49" s="16"/>
      <c r="F49" s="17"/>
      <c r="G49" s="17"/>
      <c r="H49" s="17"/>
      <c r="I49" s="16"/>
      <c r="J49" s="16"/>
      <c r="K49" s="16"/>
      <c r="L49" s="16"/>
      <c r="M49" s="19"/>
      <c r="N49" s="16"/>
      <c r="O49" s="16"/>
      <c r="P49" s="16"/>
      <c r="Q49" s="46"/>
      <c r="R49" s="46"/>
      <c r="S49" s="35"/>
      <c r="T49" s="28"/>
      <c r="U49" s="28"/>
      <c r="V49" s="28"/>
      <c r="W49" s="28"/>
      <c r="X49" s="28"/>
      <c r="Y49" s="28"/>
      <c r="Z49" s="28"/>
      <c r="AA49" s="28"/>
      <c r="AB49" s="28"/>
      <c r="AC49" s="28"/>
      <c r="AD49" s="28"/>
      <c r="AE49" s="28"/>
      <c r="AF49" s="28"/>
      <c r="AG49" s="28"/>
    </row>
    <row r="50" spans="1:33" ht="15.75" customHeight="1" x14ac:dyDescent="0.2">
      <c r="A50" s="28"/>
      <c r="B50" s="28"/>
      <c r="C50" s="44"/>
      <c r="D50" s="16"/>
      <c r="E50" s="16"/>
      <c r="F50" s="17"/>
      <c r="G50" s="17"/>
      <c r="H50" s="17"/>
      <c r="I50" s="16"/>
      <c r="J50" s="16"/>
      <c r="K50" s="16"/>
      <c r="L50" s="16"/>
      <c r="M50" s="19"/>
      <c r="N50" s="16"/>
      <c r="O50" s="16"/>
      <c r="P50" s="16"/>
      <c r="Q50" s="46"/>
      <c r="R50" s="46"/>
      <c r="S50" s="35"/>
      <c r="T50" s="28"/>
      <c r="U50" s="28"/>
      <c r="V50" s="28"/>
      <c r="W50" s="28"/>
      <c r="X50" s="28"/>
      <c r="Y50" s="28"/>
      <c r="Z50" s="28"/>
      <c r="AA50" s="28"/>
      <c r="AB50" s="28"/>
      <c r="AC50" s="28"/>
      <c r="AD50" s="28"/>
      <c r="AE50" s="28"/>
      <c r="AF50" s="28"/>
      <c r="AG50" s="28"/>
    </row>
    <row r="51" spans="1:33" ht="15.75" customHeight="1" x14ac:dyDescent="0.2">
      <c r="A51" s="28"/>
      <c r="B51" s="28"/>
      <c r="C51" s="44"/>
      <c r="D51" s="16"/>
      <c r="E51" s="16"/>
      <c r="F51" s="17"/>
      <c r="G51" s="17"/>
      <c r="H51" s="17"/>
      <c r="I51" s="16"/>
      <c r="J51" s="16"/>
      <c r="K51" s="16"/>
      <c r="L51" s="16"/>
      <c r="M51" s="19"/>
      <c r="N51" s="16"/>
      <c r="O51" s="16"/>
      <c r="P51" s="16"/>
      <c r="Q51" s="46"/>
      <c r="R51" s="46"/>
      <c r="S51" s="35"/>
      <c r="T51" s="28"/>
      <c r="U51" s="28"/>
      <c r="V51" s="28"/>
      <c r="W51" s="28"/>
      <c r="X51" s="28"/>
      <c r="Y51" s="28"/>
      <c r="Z51" s="28"/>
      <c r="AA51" s="28"/>
      <c r="AB51" s="28"/>
      <c r="AC51" s="28"/>
      <c r="AD51" s="28"/>
      <c r="AE51" s="28"/>
      <c r="AF51" s="28"/>
      <c r="AG51" s="28"/>
    </row>
    <row r="52" spans="1:33" ht="15.75" customHeight="1" x14ac:dyDescent="0.2">
      <c r="A52" s="28"/>
      <c r="B52" s="28"/>
      <c r="C52" s="44"/>
      <c r="D52" s="16"/>
      <c r="E52" s="16"/>
      <c r="F52" s="17"/>
      <c r="G52" s="17"/>
      <c r="H52" s="17"/>
      <c r="I52" s="16"/>
      <c r="J52" s="16"/>
      <c r="K52" s="16"/>
      <c r="L52" s="16"/>
      <c r="M52" s="19"/>
      <c r="N52" s="16"/>
      <c r="O52" s="16"/>
      <c r="P52" s="16"/>
      <c r="Q52" s="46"/>
      <c r="R52" s="46"/>
      <c r="S52" s="35"/>
      <c r="T52" s="28"/>
      <c r="U52" s="28"/>
      <c r="V52" s="28"/>
      <c r="W52" s="28"/>
      <c r="X52" s="28"/>
      <c r="Y52" s="28"/>
      <c r="Z52" s="28"/>
      <c r="AA52" s="28"/>
      <c r="AB52" s="28"/>
      <c r="AC52" s="28"/>
      <c r="AD52" s="28"/>
      <c r="AE52" s="28"/>
      <c r="AF52" s="28"/>
      <c r="AG52" s="28"/>
    </row>
    <row r="53" spans="1:33" ht="15.75" customHeight="1" x14ac:dyDescent="0.2">
      <c r="A53" s="28"/>
      <c r="B53" s="28"/>
      <c r="C53" s="44"/>
      <c r="D53" s="16"/>
      <c r="E53" s="16"/>
      <c r="F53" s="17"/>
      <c r="G53" s="17"/>
      <c r="H53" s="17"/>
      <c r="I53" s="16"/>
      <c r="J53" s="16"/>
      <c r="K53" s="16"/>
      <c r="L53" s="16"/>
      <c r="M53" s="19"/>
      <c r="N53" s="16"/>
      <c r="O53" s="16"/>
      <c r="P53" s="16"/>
      <c r="Q53" s="46"/>
      <c r="R53" s="46"/>
      <c r="S53" s="35"/>
      <c r="T53" s="28"/>
      <c r="U53" s="28"/>
      <c r="V53" s="28"/>
      <c r="W53" s="28"/>
      <c r="X53" s="28"/>
      <c r="Y53" s="28"/>
      <c r="Z53" s="28"/>
      <c r="AA53" s="28"/>
      <c r="AB53" s="28"/>
      <c r="AC53" s="28"/>
      <c r="AD53" s="28"/>
      <c r="AE53" s="28"/>
      <c r="AF53" s="28"/>
      <c r="AG53" s="28"/>
    </row>
    <row r="54" spans="1:33" ht="15.75" customHeight="1" x14ac:dyDescent="0.2">
      <c r="A54" s="28"/>
      <c r="B54" s="28"/>
      <c r="C54" s="44"/>
      <c r="D54" s="16"/>
      <c r="E54" s="16"/>
      <c r="F54" s="17"/>
      <c r="G54" s="17"/>
      <c r="H54" s="17"/>
      <c r="I54" s="16"/>
      <c r="J54" s="16"/>
      <c r="K54" s="16"/>
      <c r="L54" s="16"/>
      <c r="M54" s="19"/>
      <c r="N54" s="16"/>
      <c r="O54" s="16"/>
      <c r="P54" s="16"/>
      <c r="Q54" s="46"/>
      <c r="R54" s="46"/>
      <c r="S54" s="35"/>
      <c r="T54" s="28"/>
      <c r="U54" s="28"/>
      <c r="V54" s="28"/>
      <c r="W54" s="28"/>
      <c r="X54" s="28"/>
      <c r="Y54" s="28"/>
      <c r="Z54" s="28"/>
      <c r="AA54" s="28"/>
      <c r="AB54" s="28"/>
      <c r="AC54" s="28"/>
      <c r="AD54" s="28"/>
      <c r="AE54" s="28"/>
      <c r="AF54" s="28"/>
      <c r="AG54" s="28"/>
    </row>
    <row r="55" spans="1:33" ht="15.75" customHeight="1" x14ac:dyDescent="0.2">
      <c r="A55" s="28"/>
      <c r="B55" s="28"/>
      <c r="C55" s="44"/>
      <c r="D55" s="16"/>
      <c r="E55" s="16"/>
      <c r="F55" s="17"/>
      <c r="G55" s="17"/>
      <c r="H55" s="17"/>
      <c r="I55" s="16"/>
      <c r="J55" s="16"/>
      <c r="K55" s="16"/>
      <c r="L55" s="16"/>
      <c r="M55" s="19"/>
      <c r="N55" s="16"/>
      <c r="O55" s="16"/>
      <c r="P55" s="16"/>
      <c r="Q55" s="46"/>
      <c r="R55" s="46"/>
      <c r="S55" s="35"/>
      <c r="T55" s="28"/>
      <c r="U55" s="28"/>
      <c r="V55" s="28"/>
      <c r="W55" s="28"/>
      <c r="X55" s="28"/>
      <c r="Y55" s="28"/>
      <c r="Z55" s="28"/>
      <c r="AA55" s="28"/>
      <c r="AB55" s="28"/>
      <c r="AC55" s="28"/>
      <c r="AD55" s="28"/>
      <c r="AE55" s="28"/>
      <c r="AF55" s="28"/>
      <c r="AG55" s="28"/>
    </row>
    <row r="56" spans="1:33" ht="15.75" customHeight="1" x14ac:dyDescent="0.2">
      <c r="A56" s="28"/>
      <c r="B56" s="28"/>
      <c r="C56" s="44"/>
      <c r="D56" s="16"/>
      <c r="E56" s="16"/>
      <c r="F56" s="17"/>
      <c r="G56" s="17"/>
      <c r="H56" s="17"/>
      <c r="I56" s="16"/>
      <c r="J56" s="16"/>
      <c r="K56" s="16"/>
      <c r="L56" s="16"/>
      <c r="M56" s="19"/>
      <c r="N56" s="16"/>
      <c r="O56" s="16"/>
      <c r="P56" s="16"/>
      <c r="Q56" s="46"/>
      <c r="R56" s="46"/>
      <c r="S56" s="35"/>
      <c r="T56" s="28"/>
      <c r="U56" s="28"/>
      <c r="V56" s="28"/>
      <c r="W56" s="28"/>
      <c r="X56" s="28"/>
      <c r="Y56" s="28"/>
      <c r="Z56" s="28"/>
      <c r="AA56" s="28"/>
      <c r="AB56" s="28"/>
      <c r="AC56" s="28"/>
      <c r="AD56" s="28"/>
      <c r="AE56" s="28"/>
      <c r="AF56" s="28"/>
      <c r="AG56" s="28"/>
    </row>
    <row r="57" spans="1:33" ht="15.75" customHeight="1" x14ac:dyDescent="0.2">
      <c r="A57" s="28"/>
      <c r="B57" s="28"/>
      <c r="C57" s="44"/>
      <c r="D57" s="16"/>
      <c r="E57" s="16"/>
      <c r="F57" s="17"/>
      <c r="G57" s="17"/>
      <c r="H57" s="17"/>
      <c r="I57" s="16"/>
      <c r="J57" s="16"/>
      <c r="K57" s="16"/>
      <c r="L57" s="16"/>
      <c r="M57" s="19"/>
      <c r="N57" s="16"/>
      <c r="O57" s="16"/>
      <c r="P57" s="16"/>
      <c r="Q57" s="46"/>
      <c r="R57" s="46"/>
      <c r="S57" s="35"/>
      <c r="T57" s="28"/>
      <c r="U57" s="28"/>
      <c r="V57" s="28"/>
      <c r="W57" s="28"/>
      <c r="X57" s="28"/>
      <c r="Y57" s="28"/>
      <c r="Z57" s="28"/>
      <c r="AA57" s="28"/>
      <c r="AB57" s="28"/>
      <c r="AC57" s="28"/>
      <c r="AD57" s="28"/>
      <c r="AE57" s="28"/>
      <c r="AF57" s="28"/>
      <c r="AG57" s="28"/>
    </row>
    <row r="58" spans="1:33" ht="15.75" customHeight="1" x14ac:dyDescent="0.2">
      <c r="A58" s="28"/>
      <c r="B58" s="28"/>
      <c r="C58" s="44"/>
      <c r="D58" s="16"/>
      <c r="E58" s="16"/>
      <c r="F58" s="17"/>
      <c r="G58" s="17"/>
      <c r="H58" s="17"/>
      <c r="I58" s="16"/>
      <c r="J58" s="16"/>
      <c r="K58" s="16"/>
      <c r="L58" s="16"/>
      <c r="M58" s="19"/>
      <c r="N58" s="16"/>
      <c r="O58" s="16"/>
      <c r="P58" s="16"/>
      <c r="Q58" s="46"/>
      <c r="R58" s="46"/>
      <c r="S58" s="35"/>
      <c r="T58" s="28"/>
      <c r="U58" s="28"/>
      <c r="V58" s="28"/>
      <c r="W58" s="28"/>
      <c r="X58" s="28"/>
      <c r="Y58" s="28"/>
      <c r="Z58" s="28"/>
      <c r="AA58" s="28"/>
      <c r="AB58" s="28"/>
      <c r="AC58" s="28"/>
      <c r="AD58" s="28"/>
      <c r="AE58" s="28"/>
      <c r="AF58" s="28"/>
      <c r="AG58" s="28"/>
    </row>
    <row r="59" spans="1:33" ht="15.75" customHeight="1" x14ac:dyDescent="0.2">
      <c r="A59" s="28"/>
      <c r="B59" s="28"/>
      <c r="C59" s="44"/>
      <c r="D59" s="16"/>
      <c r="E59" s="16"/>
      <c r="F59" s="17"/>
      <c r="G59" s="17"/>
      <c r="H59" s="17"/>
      <c r="I59" s="16"/>
      <c r="J59" s="16"/>
      <c r="K59" s="16"/>
      <c r="L59" s="16"/>
      <c r="M59" s="19"/>
      <c r="N59" s="16"/>
      <c r="O59" s="16"/>
      <c r="P59" s="16"/>
      <c r="Q59" s="46"/>
      <c r="R59" s="46"/>
      <c r="S59" s="35"/>
      <c r="T59" s="28"/>
      <c r="U59" s="28"/>
      <c r="V59" s="28"/>
      <c r="W59" s="28"/>
      <c r="X59" s="28"/>
      <c r="Y59" s="28"/>
      <c r="Z59" s="28"/>
      <c r="AA59" s="28"/>
      <c r="AB59" s="28"/>
      <c r="AC59" s="28"/>
      <c r="AD59" s="28"/>
      <c r="AE59" s="28"/>
      <c r="AF59" s="28"/>
      <c r="AG59" s="28"/>
    </row>
    <row r="60" spans="1:33" ht="15.75" customHeight="1" x14ac:dyDescent="0.2">
      <c r="A60" s="28"/>
      <c r="B60" s="28"/>
      <c r="C60" s="44"/>
      <c r="D60" s="16"/>
      <c r="E60" s="16"/>
      <c r="F60" s="17"/>
      <c r="G60" s="17"/>
      <c r="H60" s="17"/>
      <c r="I60" s="16"/>
      <c r="J60" s="16"/>
      <c r="K60" s="16"/>
      <c r="L60" s="16"/>
      <c r="M60" s="19"/>
      <c r="N60" s="16"/>
      <c r="O60" s="16"/>
      <c r="P60" s="16"/>
      <c r="Q60" s="46"/>
      <c r="R60" s="46"/>
      <c r="S60" s="35"/>
      <c r="T60" s="28"/>
      <c r="U60" s="28"/>
      <c r="V60" s="28"/>
      <c r="W60" s="28"/>
      <c r="X60" s="28"/>
      <c r="Y60" s="28"/>
      <c r="Z60" s="28"/>
      <c r="AA60" s="28"/>
      <c r="AB60" s="28"/>
      <c r="AC60" s="28"/>
      <c r="AD60" s="28"/>
      <c r="AE60" s="28"/>
      <c r="AF60" s="28"/>
      <c r="AG60" s="28"/>
    </row>
    <row r="61" spans="1:33" ht="15.75" customHeight="1" x14ac:dyDescent="0.2">
      <c r="A61" s="28"/>
      <c r="B61" s="28"/>
      <c r="C61" s="44"/>
      <c r="D61" s="16"/>
      <c r="E61" s="16"/>
      <c r="F61" s="17"/>
      <c r="G61" s="17"/>
      <c r="H61" s="17"/>
      <c r="I61" s="16"/>
      <c r="J61" s="16"/>
      <c r="K61" s="16"/>
      <c r="L61" s="16"/>
      <c r="M61" s="19"/>
      <c r="N61" s="16"/>
      <c r="O61" s="16"/>
      <c r="P61" s="16"/>
      <c r="Q61" s="46"/>
      <c r="R61" s="46"/>
      <c r="S61" s="35"/>
      <c r="T61" s="28"/>
      <c r="U61" s="28"/>
      <c r="V61" s="28"/>
      <c r="W61" s="28"/>
      <c r="X61" s="28"/>
      <c r="Y61" s="28"/>
      <c r="Z61" s="28"/>
      <c r="AA61" s="28"/>
      <c r="AB61" s="28"/>
      <c r="AC61" s="28"/>
      <c r="AD61" s="28"/>
      <c r="AE61" s="28"/>
      <c r="AF61" s="28"/>
      <c r="AG61" s="28"/>
    </row>
    <row r="62" spans="1:33" ht="15.75" customHeight="1" x14ac:dyDescent="0.2">
      <c r="A62" s="28"/>
      <c r="B62" s="28"/>
      <c r="C62" s="44"/>
      <c r="D62" s="16"/>
      <c r="E62" s="16"/>
      <c r="F62" s="17"/>
      <c r="G62" s="17"/>
      <c r="H62" s="17"/>
      <c r="I62" s="16"/>
      <c r="J62" s="16"/>
      <c r="K62" s="16"/>
      <c r="L62" s="16"/>
      <c r="M62" s="19"/>
      <c r="N62" s="16"/>
      <c r="O62" s="16"/>
      <c r="P62" s="16"/>
      <c r="Q62" s="46"/>
      <c r="R62" s="46"/>
      <c r="S62" s="35"/>
      <c r="T62" s="28"/>
      <c r="U62" s="28"/>
      <c r="V62" s="28"/>
      <c r="W62" s="28"/>
      <c r="X62" s="28"/>
      <c r="Y62" s="28"/>
      <c r="Z62" s="28"/>
      <c r="AA62" s="28"/>
      <c r="AB62" s="28"/>
      <c r="AC62" s="28"/>
      <c r="AD62" s="28"/>
      <c r="AE62" s="28"/>
      <c r="AF62" s="28"/>
      <c r="AG62" s="28"/>
    </row>
    <row r="63" spans="1:33" ht="15.75" customHeight="1" x14ac:dyDescent="0.2">
      <c r="A63" s="28"/>
      <c r="B63" s="28"/>
      <c r="C63" s="44"/>
      <c r="D63" s="16"/>
      <c r="E63" s="16"/>
      <c r="F63" s="17"/>
      <c r="G63" s="17"/>
      <c r="H63" s="17"/>
      <c r="I63" s="16"/>
      <c r="J63" s="16"/>
      <c r="K63" s="16"/>
      <c r="L63" s="16"/>
      <c r="M63" s="19"/>
      <c r="N63" s="16"/>
      <c r="O63" s="16"/>
      <c r="P63" s="16"/>
      <c r="Q63" s="46"/>
      <c r="R63" s="46"/>
      <c r="S63" s="35"/>
      <c r="T63" s="28"/>
      <c r="U63" s="28"/>
      <c r="V63" s="28"/>
      <c r="W63" s="28"/>
      <c r="X63" s="28"/>
      <c r="Y63" s="28"/>
      <c r="Z63" s="28"/>
      <c r="AA63" s="28"/>
      <c r="AB63" s="28"/>
      <c r="AC63" s="28"/>
      <c r="AD63" s="28"/>
      <c r="AE63" s="28"/>
      <c r="AF63" s="28"/>
      <c r="AG63" s="28"/>
    </row>
    <row r="64" spans="1:33" ht="15.75" customHeight="1" x14ac:dyDescent="0.2">
      <c r="A64" s="28"/>
      <c r="B64" s="28"/>
      <c r="C64" s="44"/>
      <c r="D64" s="16"/>
      <c r="E64" s="16"/>
      <c r="F64" s="17"/>
      <c r="G64" s="17"/>
      <c r="H64" s="17"/>
      <c r="I64" s="16"/>
      <c r="J64" s="16"/>
      <c r="K64" s="16"/>
      <c r="L64" s="16"/>
      <c r="M64" s="19"/>
      <c r="N64" s="16"/>
      <c r="O64" s="16"/>
      <c r="P64" s="16"/>
      <c r="Q64" s="46"/>
      <c r="R64" s="46"/>
      <c r="S64" s="35"/>
      <c r="T64" s="28"/>
      <c r="U64" s="28"/>
      <c r="V64" s="28"/>
      <c r="W64" s="28"/>
      <c r="X64" s="28"/>
      <c r="Y64" s="28"/>
      <c r="Z64" s="28"/>
      <c r="AA64" s="28"/>
      <c r="AB64" s="28"/>
      <c r="AC64" s="28"/>
      <c r="AD64" s="28"/>
      <c r="AE64" s="28"/>
      <c r="AF64" s="28"/>
      <c r="AG64" s="28"/>
    </row>
    <row r="65" spans="1:33" ht="15.75" customHeight="1" x14ac:dyDescent="0.2">
      <c r="A65" s="28"/>
      <c r="B65" s="28"/>
      <c r="C65" s="44"/>
      <c r="D65" s="16"/>
      <c r="E65" s="16"/>
      <c r="F65" s="17"/>
      <c r="G65" s="17"/>
      <c r="H65" s="17"/>
      <c r="I65" s="16"/>
      <c r="J65" s="16"/>
      <c r="K65" s="16"/>
      <c r="L65" s="16"/>
      <c r="M65" s="19"/>
      <c r="N65" s="16"/>
      <c r="O65" s="16"/>
      <c r="P65" s="16"/>
      <c r="Q65" s="46"/>
      <c r="R65" s="46"/>
      <c r="S65" s="35"/>
      <c r="T65" s="28"/>
      <c r="U65" s="28"/>
      <c r="V65" s="28"/>
      <c r="W65" s="28"/>
      <c r="X65" s="28"/>
      <c r="Y65" s="28"/>
      <c r="Z65" s="28"/>
      <c r="AA65" s="28"/>
      <c r="AB65" s="28"/>
      <c r="AC65" s="28"/>
      <c r="AD65" s="28"/>
      <c r="AE65" s="28"/>
      <c r="AF65" s="28"/>
      <c r="AG65" s="28"/>
    </row>
    <row r="66" spans="1:33" ht="15.75" customHeight="1" x14ac:dyDescent="0.2">
      <c r="A66" s="28"/>
      <c r="B66" s="28"/>
      <c r="C66" s="44"/>
      <c r="D66" s="16"/>
      <c r="E66" s="16"/>
      <c r="F66" s="17"/>
      <c r="G66" s="17"/>
      <c r="H66" s="17"/>
      <c r="I66" s="16"/>
      <c r="J66" s="16"/>
      <c r="K66" s="16"/>
      <c r="L66" s="16"/>
      <c r="M66" s="19"/>
      <c r="N66" s="16"/>
      <c r="O66" s="16"/>
      <c r="P66" s="16"/>
      <c r="Q66" s="46"/>
      <c r="R66" s="46"/>
      <c r="S66" s="35"/>
      <c r="T66" s="28"/>
      <c r="U66" s="28"/>
      <c r="V66" s="28"/>
      <c r="W66" s="28"/>
      <c r="X66" s="28"/>
      <c r="Y66" s="28"/>
      <c r="Z66" s="28"/>
      <c r="AA66" s="28"/>
      <c r="AB66" s="28"/>
      <c r="AC66" s="28"/>
      <c r="AD66" s="28"/>
      <c r="AE66" s="28"/>
      <c r="AF66" s="28"/>
      <c r="AG66" s="28"/>
    </row>
    <row r="67" spans="1:33" ht="15.75" customHeight="1" x14ac:dyDescent="0.2">
      <c r="A67" s="28"/>
      <c r="B67" s="28"/>
      <c r="C67" s="44"/>
      <c r="D67" s="16"/>
      <c r="E67" s="16"/>
      <c r="F67" s="17"/>
      <c r="G67" s="17"/>
      <c r="H67" s="17"/>
      <c r="I67" s="16"/>
      <c r="J67" s="16"/>
      <c r="K67" s="16"/>
      <c r="L67" s="16"/>
      <c r="M67" s="19"/>
      <c r="N67" s="16"/>
      <c r="O67" s="16"/>
      <c r="P67" s="16"/>
      <c r="Q67" s="46"/>
      <c r="R67" s="46"/>
      <c r="S67" s="35"/>
      <c r="T67" s="28"/>
      <c r="U67" s="28"/>
      <c r="V67" s="28"/>
      <c r="W67" s="28"/>
      <c r="X67" s="28"/>
      <c r="Y67" s="28"/>
      <c r="Z67" s="28"/>
      <c r="AA67" s="28"/>
      <c r="AB67" s="28"/>
      <c r="AC67" s="28"/>
      <c r="AD67" s="28"/>
      <c r="AE67" s="28"/>
      <c r="AF67" s="28"/>
      <c r="AG67" s="28"/>
    </row>
    <row r="68" spans="1:33" ht="15.75" customHeight="1" x14ac:dyDescent="0.2">
      <c r="A68" s="28"/>
      <c r="B68" s="28"/>
      <c r="C68" s="44"/>
      <c r="D68" s="16"/>
      <c r="E68" s="16"/>
      <c r="F68" s="17"/>
      <c r="G68" s="17"/>
      <c r="H68" s="17"/>
      <c r="I68" s="16"/>
      <c r="J68" s="16"/>
      <c r="K68" s="16"/>
      <c r="L68" s="16"/>
      <c r="M68" s="19"/>
      <c r="N68" s="16"/>
      <c r="O68" s="16"/>
      <c r="P68" s="16"/>
      <c r="Q68" s="46"/>
      <c r="R68" s="46"/>
      <c r="S68" s="35"/>
      <c r="T68" s="28"/>
      <c r="U68" s="28"/>
      <c r="V68" s="28"/>
      <c r="W68" s="28"/>
      <c r="X68" s="28"/>
      <c r="Y68" s="28"/>
      <c r="Z68" s="28"/>
      <c r="AA68" s="28"/>
      <c r="AB68" s="28"/>
      <c r="AC68" s="28"/>
      <c r="AD68" s="28"/>
      <c r="AE68" s="28"/>
      <c r="AF68" s="28"/>
      <c r="AG68" s="28"/>
    </row>
    <row r="69" spans="1:33" ht="15.75" customHeight="1" x14ac:dyDescent="0.2">
      <c r="A69" s="28"/>
      <c r="B69" s="28"/>
      <c r="C69" s="44"/>
      <c r="D69" s="16"/>
      <c r="E69" s="16"/>
      <c r="F69" s="17"/>
      <c r="G69" s="17"/>
      <c r="H69" s="17"/>
      <c r="I69" s="16"/>
      <c r="J69" s="16"/>
      <c r="K69" s="16"/>
      <c r="L69" s="16"/>
      <c r="M69" s="19"/>
      <c r="N69" s="16"/>
      <c r="O69" s="16"/>
      <c r="P69" s="16"/>
      <c r="Q69" s="46"/>
      <c r="R69" s="46"/>
      <c r="S69" s="35"/>
      <c r="T69" s="28"/>
      <c r="U69" s="28"/>
      <c r="V69" s="28"/>
      <c r="W69" s="28"/>
      <c r="X69" s="28"/>
      <c r="Y69" s="28"/>
      <c r="Z69" s="28"/>
      <c r="AA69" s="28"/>
      <c r="AB69" s="28"/>
      <c r="AC69" s="28"/>
      <c r="AD69" s="28"/>
      <c r="AE69" s="28"/>
      <c r="AF69" s="28"/>
      <c r="AG69" s="28"/>
    </row>
    <row r="70" spans="1:33" ht="15.75" customHeight="1" x14ac:dyDescent="0.2">
      <c r="A70" s="28"/>
      <c r="B70" s="28"/>
      <c r="C70" s="44"/>
      <c r="D70" s="16"/>
      <c r="E70" s="16"/>
      <c r="F70" s="17"/>
      <c r="G70" s="17"/>
      <c r="H70" s="17"/>
      <c r="I70" s="16"/>
      <c r="J70" s="16"/>
      <c r="K70" s="16"/>
      <c r="L70" s="16"/>
      <c r="M70" s="19"/>
      <c r="N70" s="16"/>
      <c r="O70" s="16"/>
      <c r="P70" s="16"/>
      <c r="Q70" s="46"/>
      <c r="R70" s="46"/>
      <c r="S70" s="35"/>
      <c r="T70" s="28"/>
      <c r="U70" s="28"/>
      <c r="V70" s="28"/>
      <c r="W70" s="28"/>
      <c r="X70" s="28"/>
      <c r="Y70" s="28"/>
      <c r="Z70" s="28"/>
      <c r="AA70" s="28"/>
      <c r="AB70" s="28"/>
      <c r="AC70" s="28"/>
      <c r="AD70" s="28"/>
      <c r="AE70" s="28"/>
      <c r="AF70" s="28"/>
      <c r="AG70" s="28"/>
    </row>
    <row r="71" spans="1:33" ht="15.75" customHeight="1" x14ac:dyDescent="0.2">
      <c r="A71" s="28"/>
      <c r="B71" s="28"/>
      <c r="C71" s="44"/>
      <c r="D71" s="16"/>
      <c r="E71" s="16"/>
      <c r="F71" s="17"/>
      <c r="G71" s="17"/>
      <c r="H71" s="17"/>
      <c r="I71" s="16"/>
      <c r="J71" s="16"/>
      <c r="K71" s="16"/>
      <c r="L71" s="16"/>
      <c r="M71" s="19"/>
      <c r="N71" s="16"/>
      <c r="O71" s="16"/>
      <c r="P71" s="16"/>
      <c r="Q71" s="46"/>
      <c r="R71" s="46"/>
      <c r="S71" s="35"/>
      <c r="T71" s="28"/>
      <c r="U71" s="28"/>
      <c r="V71" s="28"/>
      <c r="W71" s="28"/>
      <c r="X71" s="28"/>
      <c r="Y71" s="28"/>
      <c r="Z71" s="28"/>
      <c r="AA71" s="28"/>
      <c r="AB71" s="28"/>
      <c r="AC71" s="28"/>
      <c r="AD71" s="28"/>
      <c r="AE71" s="28"/>
      <c r="AF71" s="28"/>
      <c r="AG71" s="28"/>
    </row>
    <row r="72" spans="1:33" ht="15.75" customHeight="1" x14ac:dyDescent="0.2">
      <c r="A72" s="28"/>
      <c r="B72" s="28"/>
      <c r="C72" s="44"/>
      <c r="D72" s="16"/>
      <c r="E72" s="16"/>
      <c r="F72" s="17"/>
      <c r="G72" s="17"/>
      <c r="H72" s="17"/>
      <c r="I72" s="16"/>
      <c r="J72" s="16"/>
      <c r="K72" s="16"/>
      <c r="L72" s="16"/>
      <c r="M72" s="19"/>
      <c r="N72" s="16"/>
      <c r="O72" s="16"/>
      <c r="P72" s="16"/>
      <c r="Q72" s="46"/>
      <c r="R72" s="46"/>
      <c r="S72" s="35"/>
      <c r="T72" s="28"/>
      <c r="U72" s="28"/>
      <c r="V72" s="28"/>
      <c r="W72" s="28"/>
      <c r="X72" s="28"/>
      <c r="Y72" s="28"/>
      <c r="Z72" s="28"/>
      <c r="AA72" s="28"/>
      <c r="AB72" s="28"/>
      <c r="AC72" s="28"/>
      <c r="AD72" s="28"/>
      <c r="AE72" s="28"/>
      <c r="AF72" s="28"/>
      <c r="AG72" s="28"/>
    </row>
    <row r="73" spans="1:33" ht="15.75" customHeight="1" x14ac:dyDescent="0.2">
      <c r="A73" s="28"/>
      <c r="B73" s="28"/>
      <c r="C73" s="44"/>
      <c r="D73" s="16"/>
      <c r="E73" s="16"/>
      <c r="F73" s="17"/>
      <c r="G73" s="17"/>
      <c r="H73" s="17"/>
      <c r="I73" s="16"/>
      <c r="J73" s="16"/>
      <c r="K73" s="16"/>
      <c r="L73" s="16"/>
      <c r="M73" s="19"/>
      <c r="N73" s="16"/>
      <c r="O73" s="16"/>
      <c r="P73" s="16"/>
      <c r="Q73" s="46"/>
      <c r="R73" s="46"/>
      <c r="S73" s="35"/>
      <c r="T73" s="28"/>
      <c r="U73" s="28"/>
      <c r="V73" s="28"/>
      <c r="W73" s="28"/>
      <c r="X73" s="28"/>
      <c r="Y73" s="28"/>
      <c r="Z73" s="28"/>
      <c r="AA73" s="28"/>
      <c r="AB73" s="28"/>
      <c r="AC73" s="28"/>
      <c r="AD73" s="28"/>
      <c r="AE73" s="28"/>
      <c r="AF73" s="28"/>
      <c r="AG73" s="28"/>
    </row>
    <row r="74" spans="1:33" ht="15.75" customHeight="1" x14ac:dyDescent="0.2">
      <c r="A74" s="28"/>
      <c r="B74" s="28"/>
      <c r="C74" s="44"/>
      <c r="D74" s="16"/>
      <c r="E74" s="16"/>
      <c r="F74" s="17"/>
      <c r="G74" s="17"/>
      <c r="H74" s="17"/>
      <c r="I74" s="16"/>
      <c r="J74" s="16"/>
      <c r="K74" s="16"/>
      <c r="L74" s="16"/>
      <c r="M74" s="19"/>
      <c r="N74" s="16"/>
      <c r="O74" s="16"/>
      <c r="P74" s="16"/>
      <c r="Q74" s="46"/>
      <c r="R74" s="46"/>
      <c r="S74" s="35"/>
      <c r="T74" s="28"/>
      <c r="U74" s="28"/>
      <c r="V74" s="28"/>
      <c r="W74" s="28"/>
      <c r="X74" s="28"/>
      <c r="Y74" s="28"/>
      <c r="Z74" s="28"/>
      <c r="AA74" s="28"/>
      <c r="AB74" s="28"/>
      <c r="AC74" s="28"/>
      <c r="AD74" s="28"/>
      <c r="AE74" s="28"/>
      <c r="AF74" s="28"/>
      <c r="AG74" s="28"/>
    </row>
    <row r="75" spans="1:33" ht="15.75" customHeight="1" x14ac:dyDescent="0.2">
      <c r="A75" s="28"/>
      <c r="B75" s="28"/>
      <c r="C75" s="44"/>
      <c r="D75" s="16"/>
      <c r="E75" s="16"/>
      <c r="F75" s="17"/>
      <c r="G75" s="17"/>
      <c r="H75" s="17"/>
      <c r="I75" s="16"/>
      <c r="J75" s="16"/>
      <c r="K75" s="16"/>
      <c r="L75" s="16"/>
      <c r="M75" s="19"/>
      <c r="N75" s="16"/>
      <c r="O75" s="16"/>
      <c r="P75" s="16"/>
      <c r="Q75" s="46"/>
      <c r="R75" s="46"/>
      <c r="S75" s="35"/>
      <c r="T75" s="28"/>
      <c r="U75" s="28"/>
      <c r="V75" s="28"/>
      <c r="W75" s="28"/>
      <c r="X75" s="28"/>
      <c r="Y75" s="28"/>
      <c r="Z75" s="28"/>
      <c r="AA75" s="28"/>
      <c r="AB75" s="28"/>
      <c r="AC75" s="28"/>
      <c r="AD75" s="28"/>
      <c r="AE75" s="28"/>
      <c r="AF75" s="28"/>
      <c r="AG75" s="28"/>
    </row>
    <row r="76" spans="1:33" ht="15.75" customHeight="1" x14ac:dyDescent="0.2">
      <c r="A76" s="28"/>
      <c r="B76" s="28"/>
      <c r="C76" s="44"/>
      <c r="D76" s="16"/>
      <c r="E76" s="16"/>
      <c r="F76" s="17"/>
      <c r="G76" s="17"/>
      <c r="H76" s="17"/>
      <c r="I76" s="16"/>
      <c r="J76" s="16"/>
      <c r="K76" s="16"/>
      <c r="L76" s="16"/>
      <c r="M76" s="19"/>
      <c r="N76" s="16"/>
      <c r="O76" s="16"/>
      <c r="P76" s="16"/>
      <c r="Q76" s="46"/>
      <c r="R76" s="46"/>
      <c r="S76" s="35"/>
      <c r="T76" s="28"/>
      <c r="U76" s="28"/>
      <c r="V76" s="28"/>
      <c r="W76" s="28"/>
      <c r="X76" s="28"/>
      <c r="Y76" s="28"/>
      <c r="Z76" s="28"/>
      <c r="AA76" s="28"/>
      <c r="AB76" s="28"/>
      <c r="AC76" s="28"/>
      <c r="AD76" s="28"/>
      <c r="AE76" s="28"/>
      <c r="AF76" s="28"/>
      <c r="AG76" s="28"/>
    </row>
    <row r="77" spans="1:33" ht="15.75" customHeight="1" x14ac:dyDescent="0.2">
      <c r="A77" s="28"/>
      <c r="B77" s="28"/>
      <c r="C77" s="44"/>
      <c r="D77" s="16"/>
      <c r="E77" s="16"/>
      <c r="F77" s="17"/>
      <c r="G77" s="17"/>
      <c r="H77" s="17"/>
      <c r="I77" s="16"/>
      <c r="J77" s="16"/>
      <c r="K77" s="16"/>
      <c r="L77" s="16"/>
      <c r="M77" s="19"/>
      <c r="N77" s="16"/>
      <c r="O77" s="16"/>
      <c r="P77" s="16"/>
      <c r="Q77" s="46"/>
      <c r="R77" s="46"/>
      <c r="S77" s="35"/>
      <c r="T77" s="28"/>
      <c r="U77" s="28"/>
      <c r="V77" s="28"/>
      <c r="W77" s="28"/>
      <c r="X77" s="28"/>
      <c r="Y77" s="28"/>
      <c r="Z77" s="28"/>
      <c r="AA77" s="28"/>
      <c r="AB77" s="28"/>
      <c r="AC77" s="28"/>
      <c r="AD77" s="28"/>
      <c r="AE77" s="28"/>
      <c r="AF77" s="28"/>
      <c r="AG77" s="28"/>
    </row>
    <row r="78" spans="1:33" ht="15.75" customHeight="1" x14ac:dyDescent="0.2">
      <c r="A78" s="28"/>
      <c r="B78" s="28"/>
      <c r="C78" s="44"/>
      <c r="D78" s="16"/>
      <c r="E78" s="16"/>
      <c r="F78" s="17"/>
      <c r="G78" s="17"/>
      <c r="H78" s="17"/>
      <c r="I78" s="16"/>
      <c r="J78" s="16"/>
      <c r="K78" s="16"/>
      <c r="L78" s="16"/>
      <c r="M78" s="19"/>
      <c r="N78" s="16"/>
      <c r="O78" s="16"/>
      <c r="P78" s="16"/>
      <c r="Q78" s="46"/>
      <c r="R78" s="46"/>
      <c r="S78" s="35"/>
      <c r="T78" s="28"/>
      <c r="U78" s="28"/>
      <c r="V78" s="28"/>
      <c r="W78" s="28"/>
      <c r="X78" s="28"/>
      <c r="Y78" s="28"/>
      <c r="Z78" s="28"/>
      <c r="AA78" s="28"/>
      <c r="AB78" s="28"/>
      <c r="AC78" s="28"/>
      <c r="AD78" s="28"/>
      <c r="AE78" s="28"/>
      <c r="AF78" s="28"/>
      <c r="AG78" s="28"/>
    </row>
    <row r="79" spans="1:33" ht="15.75" customHeight="1" x14ac:dyDescent="0.2">
      <c r="A79" s="28"/>
      <c r="B79" s="28"/>
      <c r="C79" s="44"/>
      <c r="D79" s="16"/>
      <c r="E79" s="16"/>
      <c r="F79" s="17"/>
      <c r="G79" s="17"/>
      <c r="H79" s="17"/>
      <c r="I79" s="16"/>
      <c r="J79" s="16"/>
      <c r="K79" s="16"/>
      <c r="L79" s="16"/>
      <c r="M79" s="19"/>
      <c r="N79" s="16"/>
      <c r="O79" s="16"/>
      <c r="P79" s="16"/>
      <c r="Q79" s="46"/>
      <c r="R79" s="46"/>
      <c r="S79" s="35"/>
      <c r="T79" s="28"/>
      <c r="U79" s="28"/>
      <c r="V79" s="28"/>
      <c r="W79" s="28"/>
      <c r="X79" s="28"/>
      <c r="Y79" s="28"/>
      <c r="Z79" s="28"/>
      <c r="AA79" s="28"/>
      <c r="AB79" s="28"/>
      <c r="AC79" s="28"/>
      <c r="AD79" s="28"/>
      <c r="AE79" s="28"/>
      <c r="AF79" s="28"/>
      <c r="AG79" s="28"/>
    </row>
    <row r="80" spans="1:33" ht="15.75" customHeight="1" x14ac:dyDescent="0.2">
      <c r="A80" s="28"/>
      <c r="B80" s="28"/>
      <c r="C80" s="44"/>
      <c r="D80" s="16"/>
      <c r="E80" s="16"/>
      <c r="F80" s="17"/>
      <c r="G80" s="17"/>
      <c r="H80" s="17"/>
      <c r="I80" s="16"/>
      <c r="J80" s="16"/>
      <c r="K80" s="16"/>
      <c r="L80" s="16"/>
      <c r="M80" s="19"/>
      <c r="N80" s="16"/>
      <c r="O80" s="16"/>
      <c r="P80" s="16"/>
      <c r="Q80" s="46"/>
      <c r="R80" s="46"/>
      <c r="S80" s="35"/>
      <c r="T80" s="28"/>
      <c r="U80" s="28"/>
      <c r="V80" s="28"/>
      <c r="W80" s="28"/>
      <c r="X80" s="28"/>
      <c r="Y80" s="28"/>
      <c r="Z80" s="28"/>
      <c r="AA80" s="28"/>
      <c r="AB80" s="28"/>
      <c r="AC80" s="28"/>
      <c r="AD80" s="28"/>
      <c r="AE80" s="28"/>
      <c r="AF80" s="28"/>
      <c r="AG80" s="28"/>
    </row>
    <row r="81" spans="1:33" ht="15.75" customHeight="1" x14ac:dyDescent="0.2">
      <c r="A81" s="28"/>
      <c r="B81" s="28"/>
      <c r="C81" s="44"/>
      <c r="D81" s="16"/>
      <c r="E81" s="16"/>
      <c r="F81" s="17"/>
      <c r="G81" s="17"/>
      <c r="H81" s="17"/>
      <c r="I81" s="16"/>
      <c r="J81" s="16"/>
      <c r="K81" s="16"/>
      <c r="L81" s="16"/>
      <c r="M81" s="19"/>
      <c r="N81" s="16"/>
      <c r="O81" s="16"/>
      <c r="P81" s="16"/>
      <c r="Q81" s="46"/>
      <c r="R81" s="46"/>
      <c r="S81" s="35"/>
      <c r="T81" s="28"/>
      <c r="U81" s="28"/>
      <c r="V81" s="28"/>
      <c r="W81" s="28"/>
      <c r="X81" s="28"/>
      <c r="Y81" s="28"/>
      <c r="Z81" s="28"/>
      <c r="AA81" s="28"/>
      <c r="AB81" s="28"/>
      <c r="AC81" s="28"/>
      <c r="AD81" s="28"/>
      <c r="AE81" s="28"/>
      <c r="AF81" s="28"/>
      <c r="AG81" s="28"/>
    </row>
    <row r="82" spans="1:33" ht="15.75" customHeight="1" x14ac:dyDescent="0.2">
      <c r="A82" s="28"/>
      <c r="B82" s="28"/>
      <c r="C82" s="44"/>
      <c r="D82" s="16"/>
      <c r="E82" s="16"/>
      <c r="F82" s="17"/>
      <c r="G82" s="17"/>
      <c r="H82" s="17"/>
      <c r="I82" s="16"/>
      <c r="J82" s="16"/>
      <c r="K82" s="16"/>
      <c r="L82" s="16"/>
      <c r="M82" s="19"/>
      <c r="N82" s="16"/>
      <c r="O82" s="16"/>
      <c r="P82" s="16"/>
      <c r="Q82" s="46"/>
      <c r="R82" s="46"/>
      <c r="S82" s="35"/>
      <c r="T82" s="28"/>
      <c r="U82" s="28"/>
      <c r="V82" s="28"/>
      <c r="W82" s="28"/>
      <c r="X82" s="28"/>
      <c r="Y82" s="28"/>
      <c r="Z82" s="28"/>
      <c r="AA82" s="28"/>
      <c r="AB82" s="28"/>
      <c r="AC82" s="28"/>
      <c r="AD82" s="28"/>
      <c r="AE82" s="28"/>
      <c r="AF82" s="28"/>
      <c r="AG82" s="28"/>
    </row>
    <row r="83" spans="1:33" ht="15.75" customHeight="1" x14ac:dyDescent="0.2">
      <c r="A83" s="28"/>
      <c r="B83" s="28"/>
      <c r="C83" s="44"/>
      <c r="D83" s="16"/>
      <c r="E83" s="16"/>
      <c r="F83" s="17"/>
      <c r="G83" s="17"/>
      <c r="H83" s="17"/>
      <c r="I83" s="16"/>
      <c r="J83" s="16"/>
      <c r="K83" s="16"/>
      <c r="L83" s="16"/>
      <c r="M83" s="19"/>
      <c r="N83" s="16"/>
      <c r="O83" s="16"/>
      <c r="P83" s="16"/>
      <c r="Q83" s="46"/>
      <c r="R83" s="46"/>
      <c r="S83" s="35"/>
      <c r="T83" s="28"/>
      <c r="U83" s="28"/>
      <c r="V83" s="28"/>
      <c r="W83" s="28"/>
      <c r="X83" s="28"/>
      <c r="Y83" s="28"/>
      <c r="Z83" s="28"/>
      <c r="AA83" s="28"/>
      <c r="AB83" s="28"/>
      <c r="AC83" s="28"/>
      <c r="AD83" s="28"/>
      <c r="AE83" s="28"/>
      <c r="AF83" s="28"/>
      <c r="AG83" s="28"/>
    </row>
    <row r="84" spans="1:33" ht="15.75" customHeight="1" x14ac:dyDescent="0.2">
      <c r="A84" s="28"/>
      <c r="B84" s="28"/>
      <c r="C84" s="44"/>
      <c r="D84" s="16"/>
      <c r="E84" s="16"/>
      <c r="F84" s="17"/>
      <c r="G84" s="17"/>
      <c r="H84" s="17"/>
      <c r="I84" s="16"/>
      <c r="J84" s="16"/>
      <c r="K84" s="16"/>
      <c r="L84" s="16"/>
      <c r="M84" s="19"/>
      <c r="N84" s="16"/>
      <c r="O84" s="16"/>
      <c r="P84" s="16"/>
      <c r="Q84" s="46"/>
      <c r="R84" s="46"/>
      <c r="S84" s="35"/>
      <c r="T84" s="28"/>
      <c r="U84" s="28"/>
      <c r="V84" s="28"/>
      <c r="W84" s="28"/>
      <c r="X84" s="28"/>
      <c r="Y84" s="28"/>
      <c r="Z84" s="28"/>
      <c r="AA84" s="28"/>
      <c r="AB84" s="28"/>
      <c r="AC84" s="28"/>
      <c r="AD84" s="28"/>
      <c r="AE84" s="28"/>
      <c r="AF84" s="28"/>
      <c r="AG84" s="28"/>
    </row>
    <row r="85" spans="1:33" ht="15.75" customHeight="1" x14ac:dyDescent="0.2">
      <c r="A85" s="28"/>
      <c r="B85" s="28"/>
      <c r="C85" s="44"/>
      <c r="D85" s="16"/>
      <c r="E85" s="16"/>
      <c r="F85" s="17"/>
      <c r="G85" s="17"/>
      <c r="H85" s="17"/>
      <c r="I85" s="16"/>
      <c r="J85" s="16"/>
      <c r="K85" s="16"/>
      <c r="L85" s="16"/>
      <c r="M85" s="19"/>
      <c r="N85" s="16"/>
      <c r="O85" s="16"/>
      <c r="P85" s="16"/>
      <c r="Q85" s="46"/>
      <c r="R85" s="46"/>
      <c r="S85" s="35"/>
      <c r="T85" s="28"/>
      <c r="U85" s="28"/>
      <c r="V85" s="28"/>
      <c r="W85" s="28"/>
      <c r="X85" s="28"/>
      <c r="Y85" s="28"/>
      <c r="Z85" s="28"/>
      <c r="AA85" s="28"/>
      <c r="AB85" s="28"/>
      <c r="AC85" s="28"/>
      <c r="AD85" s="28"/>
      <c r="AE85" s="28"/>
      <c r="AF85" s="28"/>
      <c r="AG85" s="28"/>
    </row>
    <row r="86" spans="1:33" ht="15.75" customHeight="1" x14ac:dyDescent="0.2">
      <c r="A86" s="28"/>
      <c r="B86" s="28"/>
      <c r="C86" s="44"/>
      <c r="D86" s="16"/>
      <c r="E86" s="16"/>
      <c r="F86" s="17"/>
      <c r="G86" s="17"/>
      <c r="H86" s="17"/>
      <c r="I86" s="16"/>
      <c r="J86" s="16"/>
      <c r="K86" s="16"/>
      <c r="L86" s="16"/>
      <c r="M86" s="19"/>
      <c r="N86" s="16"/>
      <c r="O86" s="16"/>
      <c r="P86" s="16"/>
      <c r="Q86" s="46"/>
      <c r="R86" s="46"/>
      <c r="S86" s="35"/>
      <c r="T86" s="28"/>
      <c r="U86" s="28"/>
      <c r="V86" s="28"/>
      <c r="W86" s="28"/>
      <c r="X86" s="28"/>
      <c r="Y86" s="28"/>
      <c r="Z86" s="28"/>
      <c r="AA86" s="28"/>
      <c r="AB86" s="28"/>
      <c r="AC86" s="28"/>
      <c r="AD86" s="28"/>
      <c r="AE86" s="28"/>
      <c r="AF86" s="28"/>
      <c r="AG86" s="28"/>
    </row>
    <row r="87" spans="1:33" ht="15.75" customHeight="1" x14ac:dyDescent="0.2">
      <c r="A87" s="28"/>
      <c r="B87" s="28"/>
      <c r="C87" s="44"/>
      <c r="D87" s="16"/>
      <c r="E87" s="16"/>
      <c r="F87" s="17"/>
      <c r="G87" s="17"/>
      <c r="H87" s="17"/>
      <c r="I87" s="16"/>
      <c r="J87" s="16"/>
      <c r="K87" s="16"/>
      <c r="L87" s="16"/>
      <c r="M87" s="19"/>
      <c r="N87" s="16"/>
      <c r="O87" s="16"/>
      <c r="P87" s="16"/>
      <c r="Q87" s="46"/>
      <c r="R87" s="46"/>
      <c r="S87" s="35"/>
      <c r="T87" s="28"/>
      <c r="U87" s="28"/>
      <c r="V87" s="28"/>
      <c r="W87" s="28"/>
      <c r="X87" s="28"/>
      <c r="Y87" s="28"/>
      <c r="Z87" s="28"/>
      <c r="AA87" s="28"/>
      <c r="AB87" s="28"/>
      <c r="AC87" s="28"/>
      <c r="AD87" s="28"/>
      <c r="AE87" s="28"/>
      <c r="AF87" s="28"/>
      <c r="AG87" s="28"/>
    </row>
    <row r="88" spans="1:33" ht="15.75" customHeight="1" x14ac:dyDescent="0.2">
      <c r="A88" s="28"/>
      <c r="B88" s="28"/>
      <c r="C88" s="44"/>
      <c r="D88" s="16"/>
      <c r="E88" s="16"/>
      <c r="F88" s="17"/>
      <c r="G88" s="17"/>
      <c r="H88" s="17"/>
      <c r="I88" s="16"/>
      <c r="J88" s="16"/>
      <c r="K88" s="16"/>
      <c r="L88" s="16"/>
      <c r="M88" s="19"/>
      <c r="N88" s="16"/>
      <c r="O88" s="16"/>
      <c r="P88" s="16"/>
      <c r="Q88" s="46"/>
      <c r="R88" s="46"/>
      <c r="S88" s="35"/>
      <c r="T88" s="28"/>
      <c r="U88" s="28"/>
      <c r="V88" s="28"/>
      <c r="W88" s="28"/>
      <c r="X88" s="28"/>
      <c r="Y88" s="28"/>
      <c r="Z88" s="28"/>
      <c r="AA88" s="28"/>
      <c r="AB88" s="28"/>
      <c r="AC88" s="28"/>
      <c r="AD88" s="28"/>
      <c r="AE88" s="28"/>
      <c r="AF88" s="28"/>
      <c r="AG88" s="28"/>
    </row>
    <row r="89" spans="1:33" ht="15.75" customHeight="1" x14ac:dyDescent="0.2">
      <c r="A89" s="28"/>
      <c r="B89" s="28"/>
      <c r="C89" s="44"/>
      <c r="D89" s="16"/>
      <c r="E89" s="16"/>
      <c r="F89" s="17"/>
      <c r="G89" s="17"/>
      <c r="H89" s="17"/>
      <c r="I89" s="16"/>
      <c r="J89" s="16"/>
      <c r="K89" s="16"/>
      <c r="L89" s="16"/>
      <c r="M89" s="19"/>
      <c r="N89" s="16"/>
      <c r="O89" s="16"/>
      <c r="P89" s="16"/>
      <c r="Q89" s="46"/>
      <c r="R89" s="46"/>
      <c r="S89" s="35"/>
      <c r="T89" s="28"/>
      <c r="U89" s="28"/>
      <c r="V89" s="28"/>
      <c r="W89" s="28"/>
      <c r="X89" s="28"/>
      <c r="Y89" s="28"/>
      <c r="Z89" s="28"/>
      <c r="AA89" s="28"/>
      <c r="AB89" s="28"/>
      <c r="AC89" s="28"/>
      <c r="AD89" s="28"/>
      <c r="AE89" s="28"/>
      <c r="AF89" s="28"/>
      <c r="AG89" s="28"/>
    </row>
    <row r="90" spans="1:33" ht="15.75" customHeight="1" x14ac:dyDescent="0.2">
      <c r="A90" s="28"/>
      <c r="B90" s="28"/>
      <c r="C90" s="44"/>
      <c r="D90" s="16"/>
      <c r="E90" s="16"/>
      <c r="F90" s="17"/>
      <c r="G90" s="17"/>
      <c r="H90" s="17"/>
      <c r="I90" s="16"/>
      <c r="J90" s="16"/>
      <c r="K90" s="16"/>
      <c r="L90" s="16"/>
      <c r="M90" s="19"/>
      <c r="N90" s="16"/>
      <c r="O90" s="16"/>
      <c r="P90" s="16"/>
      <c r="Q90" s="46"/>
      <c r="R90" s="46"/>
      <c r="S90" s="35"/>
      <c r="T90" s="28"/>
      <c r="U90" s="28"/>
      <c r="V90" s="28"/>
      <c r="W90" s="28"/>
      <c r="X90" s="28"/>
      <c r="Y90" s="28"/>
      <c r="Z90" s="28"/>
      <c r="AA90" s="28"/>
      <c r="AB90" s="28"/>
      <c r="AC90" s="28"/>
      <c r="AD90" s="28"/>
      <c r="AE90" s="28"/>
      <c r="AF90" s="28"/>
      <c r="AG90" s="28"/>
    </row>
    <row r="91" spans="1:33" ht="15.75" customHeight="1" x14ac:dyDescent="0.2">
      <c r="A91" s="28"/>
      <c r="B91" s="28"/>
      <c r="C91" s="44"/>
      <c r="D91" s="16"/>
      <c r="E91" s="16"/>
      <c r="F91" s="17"/>
      <c r="G91" s="17"/>
      <c r="H91" s="17"/>
      <c r="I91" s="16"/>
      <c r="J91" s="16"/>
      <c r="K91" s="16"/>
      <c r="L91" s="16"/>
      <c r="M91" s="19"/>
      <c r="N91" s="16"/>
      <c r="O91" s="16"/>
      <c r="P91" s="16"/>
      <c r="Q91" s="46"/>
      <c r="R91" s="46"/>
      <c r="S91" s="35"/>
      <c r="T91" s="28"/>
      <c r="U91" s="28"/>
      <c r="V91" s="28"/>
      <c r="W91" s="28"/>
      <c r="X91" s="28"/>
      <c r="Y91" s="28"/>
      <c r="Z91" s="28"/>
      <c r="AA91" s="28"/>
      <c r="AB91" s="28"/>
      <c r="AC91" s="28"/>
      <c r="AD91" s="28"/>
      <c r="AE91" s="28"/>
      <c r="AF91" s="28"/>
      <c r="AG91" s="28"/>
    </row>
    <row r="92" spans="1:33" ht="15.75" customHeight="1" x14ac:dyDescent="0.2">
      <c r="A92" s="28"/>
      <c r="B92" s="28"/>
      <c r="C92" s="44"/>
      <c r="D92" s="16"/>
      <c r="E92" s="16"/>
      <c r="F92" s="17"/>
      <c r="G92" s="17"/>
      <c r="H92" s="17"/>
      <c r="I92" s="16"/>
      <c r="J92" s="16"/>
      <c r="K92" s="16"/>
      <c r="L92" s="16"/>
      <c r="M92" s="19"/>
      <c r="N92" s="16"/>
      <c r="O92" s="16"/>
      <c r="P92" s="16"/>
      <c r="Q92" s="46"/>
      <c r="R92" s="46"/>
      <c r="S92" s="35"/>
      <c r="T92" s="28"/>
      <c r="U92" s="28"/>
      <c r="V92" s="28"/>
      <c r="W92" s="28"/>
      <c r="X92" s="28"/>
      <c r="Y92" s="28"/>
      <c r="Z92" s="28"/>
      <c r="AA92" s="28"/>
      <c r="AB92" s="28"/>
      <c r="AC92" s="28"/>
      <c r="AD92" s="28"/>
      <c r="AE92" s="28"/>
      <c r="AF92" s="28"/>
      <c r="AG92" s="28"/>
    </row>
    <row r="93" spans="1:33" ht="15.75" customHeight="1" x14ac:dyDescent="0.2">
      <c r="A93" s="28"/>
      <c r="B93" s="28"/>
      <c r="C93" s="44"/>
      <c r="D93" s="16"/>
      <c r="E93" s="16"/>
      <c r="F93" s="17"/>
      <c r="G93" s="17"/>
      <c r="H93" s="17"/>
      <c r="I93" s="16"/>
      <c r="J93" s="16"/>
      <c r="K93" s="16"/>
      <c r="L93" s="16"/>
      <c r="M93" s="19"/>
      <c r="N93" s="16"/>
      <c r="O93" s="16"/>
      <c r="P93" s="16"/>
      <c r="Q93" s="46"/>
      <c r="R93" s="46"/>
      <c r="S93" s="35"/>
      <c r="T93" s="28"/>
      <c r="U93" s="28"/>
      <c r="V93" s="28"/>
      <c r="W93" s="28"/>
      <c r="X93" s="28"/>
      <c r="Y93" s="28"/>
      <c r="Z93" s="28"/>
      <c r="AA93" s="28"/>
      <c r="AB93" s="28"/>
      <c r="AC93" s="28"/>
      <c r="AD93" s="28"/>
      <c r="AE93" s="28"/>
      <c r="AF93" s="28"/>
      <c r="AG93" s="28"/>
    </row>
    <row r="94" spans="1:33" ht="15.75" customHeight="1" x14ac:dyDescent="0.2">
      <c r="A94" s="28"/>
      <c r="B94" s="28"/>
      <c r="C94" s="44"/>
      <c r="D94" s="16"/>
      <c r="E94" s="16"/>
      <c r="F94" s="17"/>
      <c r="G94" s="17"/>
      <c r="H94" s="17"/>
      <c r="I94" s="16"/>
      <c r="J94" s="16"/>
      <c r="K94" s="16"/>
      <c r="L94" s="16"/>
      <c r="M94" s="19"/>
      <c r="N94" s="16"/>
      <c r="O94" s="16"/>
      <c r="P94" s="16"/>
      <c r="Q94" s="46"/>
      <c r="R94" s="46"/>
      <c r="S94" s="35"/>
      <c r="T94" s="28"/>
      <c r="U94" s="28"/>
      <c r="V94" s="28"/>
      <c r="W94" s="28"/>
      <c r="X94" s="28"/>
      <c r="Y94" s="28"/>
      <c r="Z94" s="28"/>
      <c r="AA94" s="28"/>
      <c r="AB94" s="28"/>
      <c r="AC94" s="28"/>
      <c r="AD94" s="28"/>
      <c r="AE94" s="28"/>
      <c r="AF94" s="28"/>
      <c r="AG94" s="28"/>
    </row>
    <row r="95" spans="1:33" ht="15.75" customHeight="1" x14ac:dyDescent="0.2">
      <c r="A95" s="28"/>
      <c r="B95" s="28"/>
      <c r="C95" s="44"/>
      <c r="D95" s="16"/>
      <c r="E95" s="16"/>
      <c r="F95" s="17"/>
      <c r="G95" s="17"/>
      <c r="H95" s="17"/>
      <c r="I95" s="16"/>
      <c r="J95" s="16"/>
      <c r="K95" s="16"/>
      <c r="L95" s="16"/>
      <c r="M95" s="19"/>
      <c r="N95" s="16"/>
      <c r="O95" s="16"/>
      <c r="P95" s="16"/>
      <c r="Q95" s="46"/>
      <c r="R95" s="46"/>
      <c r="S95" s="35"/>
      <c r="T95" s="28"/>
      <c r="U95" s="28"/>
      <c r="V95" s="28"/>
      <c r="W95" s="28"/>
      <c r="X95" s="28"/>
      <c r="Y95" s="28"/>
      <c r="Z95" s="28"/>
      <c r="AA95" s="28"/>
      <c r="AB95" s="28"/>
      <c r="AC95" s="28"/>
      <c r="AD95" s="28"/>
      <c r="AE95" s="28"/>
      <c r="AF95" s="28"/>
      <c r="AG95" s="28"/>
    </row>
    <row r="96" spans="1:33" ht="15.75" customHeight="1" x14ac:dyDescent="0.2">
      <c r="A96" s="28"/>
      <c r="B96" s="28"/>
      <c r="C96" s="44"/>
      <c r="D96" s="16"/>
      <c r="E96" s="16"/>
      <c r="F96" s="17"/>
      <c r="G96" s="17"/>
      <c r="H96" s="17"/>
      <c r="I96" s="16"/>
      <c r="J96" s="16"/>
      <c r="K96" s="16"/>
      <c r="L96" s="16"/>
      <c r="M96" s="19"/>
      <c r="N96" s="16"/>
      <c r="O96" s="16"/>
      <c r="P96" s="16"/>
      <c r="Q96" s="46"/>
      <c r="R96" s="46"/>
      <c r="S96" s="35"/>
      <c r="T96" s="28"/>
      <c r="U96" s="28"/>
      <c r="V96" s="28"/>
      <c r="W96" s="28"/>
      <c r="X96" s="28"/>
      <c r="Y96" s="28"/>
      <c r="Z96" s="28"/>
      <c r="AA96" s="28"/>
      <c r="AB96" s="28"/>
      <c r="AC96" s="28"/>
      <c r="AD96" s="28"/>
      <c r="AE96" s="28"/>
      <c r="AF96" s="28"/>
      <c r="AG96" s="28"/>
    </row>
    <row r="97" spans="1:33" ht="15.75" customHeight="1" x14ac:dyDescent="0.2">
      <c r="A97" s="28"/>
      <c r="B97" s="28"/>
      <c r="C97" s="44"/>
      <c r="D97" s="16"/>
      <c r="E97" s="16"/>
      <c r="F97" s="17"/>
      <c r="G97" s="17"/>
      <c r="H97" s="17"/>
      <c r="I97" s="16"/>
      <c r="J97" s="16"/>
      <c r="K97" s="16"/>
      <c r="L97" s="16"/>
      <c r="M97" s="19"/>
      <c r="N97" s="16"/>
      <c r="O97" s="16"/>
      <c r="P97" s="16"/>
      <c r="Q97" s="46"/>
      <c r="R97" s="46"/>
      <c r="S97" s="35"/>
      <c r="T97" s="28"/>
      <c r="U97" s="28"/>
      <c r="V97" s="28"/>
      <c r="W97" s="28"/>
      <c r="X97" s="28"/>
      <c r="Y97" s="28"/>
      <c r="Z97" s="28"/>
      <c r="AA97" s="28"/>
      <c r="AB97" s="28"/>
      <c r="AC97" s="28"/>
      <c r="AD97" s="28"/>
      <c r="AE97" s="28"/>
      <c r="AF97" s="28"/>
      <c r="AG97" s="28"/>
    </row>
    <row r="98" spans="1:33" ht="15.75" customHeight="1" x14ac:dyDescent="0.2">
      <c r="A98" s="28"/>
      <c r="B98" s="28"/>
      <c r="C98" s="44"/>
      <c r="D98" s="16"/>
      <c r="E98" s="16"/>
      <c r="F98" s="17"/>
      <c r="G98" s="17"/>
      <c r="H98" s="17"/>
      <c r="I98" s="16"/>
      <c r="J98" s="16"/>
      <c r="K98" s="16"/>
      <c r="L98" s="16"/>
      <c r="M98" s="19"/>
      <c r="N98" s="16"/>
      <c r="O98" s="16"/>
      <c r="P98" s="16"/>
      <c r="Q98" s="46"/>
      <c r="R98" s="46"/>
      <c r="S98" s="35"/>
      <c r="T98" s="28"/>
      <c r="U98" s="28"/>
      <c r="V98" s="28"/>
      <c r="W98" s="28"/>
      <c r="X98" s="28"/>
      <c r="Y98" s="28"/>
      <c r="Z98" s="28"/>
      <c r="AA98" s="28"/>
      <c r="AB98" s="28"/>
      <c r="AC98" s="28"/>
      <c r="AD98" s="28"/>
      <c r="AE98" s="28"/>
      <c r="AF98" s="28"/>
      <c r="AG98" s="28"/>
    </row>
    <row r="99" spans="1:33" ht="15.75" customHeight="1" x14ac:dyDescent="0.2">
      <c r="A99" s="28"/>
      <c r="B99" s="28"/>
      <c r="C99" s="44"/>
      <c r="D99" s="16"/>
      <c r="E99" s="16"/>
      <c r="F99" s="17"/>
      <c r="G99" s="17"/>
      <c r="H99" s="17"/>
      <c r="I99" s="16"/>
      <c r="J99" s="16"/>
      <c r="K99" s="16"/>
      <c r="L99" s="16"/>
      <c r="M99" s="19"/>
      <c r="N99" s="16"/>
      <c r="O99" s="16"/>
      <c r="P99" s="16"/>
      <c r="Q99" s="46"/>
      <c r="R99" s="46"/>
      <c r="S99" s="35"/>
      <c r="T99" s="28"/>
      <c r="U99" s="28"/>
      <c r="V99" s="28"/>
      <c r="W99" s="28"/>
      <c r="X99" s="28"/>
      <c r="Y99" s="28"/>
      <c r="Z99" s="28"/>
      <c r="AA99" s="28"/>
      <c r="AB99" s="28"/>
      <c r="AC99" s="28"/>
      <c r="AD99" s="28"/>
      <c r="AE99" s="28"/>
      <c r="AF99" s="28"/>
      <c r="AG99" s="28"/>
    </row>
    <row r="100" spans="1:33" ht="15.75" customHeight="1" x14ac:dyDescent="0.2">
      <c r="A100" s="28"/>
      <c r="B100" s="28"/>
      <c r="C100" s="44"/>
      <c r="D100" s="16"/>
      <c r="E100" s="16"/>
      <c r="F100" s="17"/>
      <c r="G100" s="17"/>
      <c r="H100" s="17"/>
      <c r="I100" s="16"/>
      <c r="J100" s="16"/>
      <c r="K100" s="16"/>
      <c r="L100" s="16"/>
      <c r="M100" s="19"/>
      <c r="N100" s="16"/>
      <c r="O100" s="16"/>
      <c r="P100" s="16"/>
      <c r="Q100" s="46"/>
      <c r="R100" s="46"/>
      <c r="S100" s="35"/>
      <c r="T100" s="28"/>
      <c r="U100" s="28"/>
      <c r="V100" s="28"/>
      <c r="W100" s="28"/>
      <c r="X100" s="28"/>
      <c r="Y100" s="28"/>
      <c r="Z100" s="28"/>
      <c r="AA100" s="28"/>
      <c r="AB100" s="28"/>
      <c r="AC100" s="28"/>
      <c r="AD100" s="28"/>
      <c r="AE100" s="28"/>
      <c r="AF100" s="28"/>
      <c r="AG100" s="28"/>
    </row>
    <row r="101" spans="1:33" ht="15.75" customHeight="1" x14ac:dyDescent="0.2">
      <c r="A101" s="28"/>
      <c r="B101" s="28"/>
      <c r="C101" s="44"/>
      <c r="D101" s="16"/>
      <c r="E101" s="16"/>
      <c r="F101" s="17"/>
      <c r="G101" s="17"/>
      <c r="H101" s="17"/>
      <c r="I101" s="16"/>
      <c r="J101" s="16"/>
      <c r="K101" s="16"/>
      <c r="L101" s="16"/>
      <c r="M101" s="19"/>
      <c r="N101" s="16"/>
      <c r="O101" s="16"/>
      <c r="P101" s="16"/>
      <c r="Q101" s="46"/>
      <c r="R101" s="46"/>
      <c r="S101" s="35"/>
      <c r="T101" s="28"/>
      <c r="U101" s="28"/>
      <c r="V101" s="28"/>
      <c r="W101" s="28"/>
      <c r="X101" s="28"/>
      <c r="Y101" s="28"/>
      <c r="Z101" s="28"/>
      <c r="AA101" s="28"/>
      <c r="AB101" s="28"/>
      <c r="AC101" s="28"/>
      <c r="AD101" s="28"/>
      <c r="AE101" s="28"/>
      <c r="AF101" s="28"/>
      <c r="AG101" s="28"/>
    </row>
    <row r="102" spans="1:33" ht="15.75" customHeight="1" x14ac:dyDescent="0.2">
      <c r="A102" s="28"/>
      <c r="B102" s="28"/>
      <c r="C102" s="44"/>
      <c r="D102" s="16"/>
      <c r="E102" s="16"/>
      <c r="F102" s="17"/>
      <c r="G102" s="17"/>
      <c r="H102" s="17"/>
      <c r="I102" s="16"/>
      <c r="J102" s="16"/>
      <c r="K102" s="16"/>
      <c r="L102" s="16"/>
      <c r="M102" s="19"/>
      <c r="N102" s="16"/>
      <c r="O102" s="16"/>
      <c r="P102" s="16"/>
      <c r="Q102" s="46"/>
      <c r="R102" s="46"/>
      <c r="S102" s="35"/>
      <c r="T102" s="28"/>
      <c r="U102" s="28"/>
      <c r="V102" s="28"/>
      <c r="W102" s="28"/>
      <c r="X102" s="28"/>
      <c r="Y102" s="28"/>
      <c r="Z102" s="28"/>
      <c r="AA102" s="28"/>
      <c r="AB102" s="28"/>
      <c r="AC102" s="28"/>
      <c r="AD102" s="28"/>
      <c r="AE102" s="28"/>
      <c r="AF102" s="28"/>
      <c r="AG102" s="28"/>
    </row>
    <row r="103" spans="1:33" ht="15.75" customHeight="1" x14ac:dyDescent="0.2">
      <c r="A103" s="28"/>
      <c r="B103" s="28"/>
      <c r="C103" s="44"/>
      <c r="D103" s="16"/>
      <c r="E103" s="16"/>
      <c r="F103" s="17"/>
      <c r="G103" s="17"/>
      <c r="H103" s="17"/>
      <c r="I103" s="16"/>
      <c r="J103" s="16"/>
      <c r="K103" s="16"/>
      <c r="L103" s="16"/>
      <c r="M103" s="19"/>
      <c r="N103" s="16"/>
      <c r="O103" s="16"/>
      <c r="P103" s="16"/>
      <c r="Q103" s="46"/>
      <c r="R103" s="46"/>
      <c r="S103" s="35"/>
      <c r="T103" s="28"/>
      <c r="U103" s="28"/>
      <c r="V103" s="28"/>
      <c r="W103" s="28"/>
      <c r="X103" s="28"/>
      <c r="Y103" s="28"/>
      <c r="Z103" s="28"/>
      <c r="AA103" s="28"/>
      <c r="AB103" s="28"/>
      <c r="AC103" s="28"/>
      <c r="AD103" s="28"/>
      <c r="AE103" s="28"/>
      <c r="AF103" s="28"/>
      <c r="AG103" s="28"/>
    </row>
    <row r="104" spans="1:33" ht="15.75" customHeight="1" x14ac:dyDescent="0.2">
      <c r="A104" s="28"/>
      <c r="B104" s="28"/>
      <c r="C104" s="44"/>
      <c r="D104" s="16"/>
      <c r="E104" s="16"/>
      <c r="F104" s="17"/>
      <c r="G104" s="17"/>
      <c r="H104" s="17"/>
      <c r="I104" s="16"/>
      <c r="J104" s="16"/>
      <c r="K104" s="16"/>
      <c r="L104" s="16"/>
      <c r="M104" s="19"/>
      <c r="N104" s="16"/>
      <c r="O104" s="16"/>
      <c r="P104" s="16"/>
      <c r="Q104" s="46"/>
      <c r="R104" s="46"/>
      <c r="S104" s="35"/>
      <c r="T104" s="28"/>
      <c r="U104" s="28"/>
      <c r="V104" s="28"/>
      <c r="W104" s="28"/>
      <c r="X104" s="28"/>
      <c r="Y104" s="28"/>
      <c r="Z104" s="28"/>
      <c r="AA104" s="28"/>
      <c r="AB104" s="28"/>
      <c r="AC104" s="28"/>
      <c r="AD104" s="28"/>
      <c r="AE104" s="28"/>
      <c r="AF104" s="28"/>
      <c r="AG104" s="28"/>
    </row>
    <row r="105" spans="1:33" ht="15.75" customHeight="1" x14ac:dyDescent="0.2">
      <c r="A105" s="28"/>
      <c r="B105" s="28"/>
      <c r="C105" s="44"/>
      <c r="D105" s="16"/>
      <c r="E105" s="16"/>
      <c r="F105" s="17"/>
      <c r="G105" s="17"/>
      <c r="H105" s="17"/>
      <c r="I105" s="16"/>
      <c r="J105" s="16"/>
      <c r="K105" s="16"/>
      <c r="L105" s="16"/>
      <c r="M105" s="19"/>
      <c r="N105" s="16"/>
      <c r="O105" s="16"/>
      <c r="P105" s="16"/>
      <c r="Q105" s="46"/>
      <c r="R105" s="46"/>
      <c r="S105" s="35"/>
      <c r="T105" s="28"/>
      <c r="U105" s="28"/>
      <c r="V105" s="28"/>
      <c r="W105" s="28"/>
      <c r="X105" s="28"/>
      <c r="Y105" s="28"/>
      <c r="Z105" s="28"/>
      <c r="AA105" s="28"/>
      <c r="AB105" s="28"/>
      <c r="AC105" s="28"/>
      <c r="AD105" s="28"/>
      <c r="AE105" s="28"/>
      <c r="AF105" s="28"/>
      <c r="AG105" s="28"/>
    </row>
    <row r="106" spans="1:33" ht="15.75" customHeight="1" x14ac:dyDescent="0.2">
      <c r="A106" s="28"/>
      <c r="B106" s="28"/>
      <c r="C106" s="44"/>
      <c r="D106" s="16"/>
      <c r="E106" s="16"/>
      <c r="F106" s="17"/>
      <c r="G106" s="17"/>
      <c r="H106" s="17"/>
      <c r="I106" s="16"/>
      <c r="J106" s="16"/>
      <c r="K106" s="16"/>
      <c r="L106" s="16"/>
      <c r="M106" s="19"/>
      <c r="N106" s="16"/>
      <c r="O106" s="16"/>
      <c r="P106" s="16"/>
      <c r="Q106" s="46"/>
      <c r="R106" s="46"/>
      <c r="S106" s="35"/>
      <c r="T106" s="28"/>
      <c r="U106" s="28"/>
      <c r="V106" s="28"/>
      <c r="W106" s="28"/>
      <c r="X106" s="28"/>
      <c r="Y106" s="28"/>
      <c r="Z106" s="28"/>
      <c r="AA106" s="28"/>
      <c r="AB106" s="28"/>
      <c r="AC106" s="28"/>
      <c r="AD106" s="28"/>
      <c r="AE106" s="28"/>
      <c r="AF106" s="28"/>
      <c r="AG106" s="28"/>
    </row>
    <row r="107" spans="1:33" ht="15.75" customHeight="1" x14ac:dyDescent="0.2">
      <c r="A107" s="28"/>
      <c r="B107" s="28"/>
      <c r="C107" s="44"/>
      <c r="D107" s="16"/>
      <c r="E107" s="16"/>
      <c r="F107" s="17"/>
      <c r="G107" s="17"/>
      <c r="H107" s="17"/>
      <c r="I107" s="16"/>
      <c r="J107" s="16"/>
      <c r="K107" s="16"/>
      <c r="L107" s="16"/>
      <c r="M107" s="19"/>
      <c r="N107" s="16"/>
      <c r="O107" s="16"/>
      <c r="P107" s="16"/>
      <c r="Q107" s="46"/>
      <c r="R107" s="46"/>
      <c r="S107" s="35"/>
      <c r="T107" s="28"/>
      <c r="U107" s="28"/>
      <c r="V107" s="28"/>
      <c r="W107" s="28"/>
      <c r="X107" s="28"/>
      <c r="Y107" s="28"/>
      <c r="Z107" s="28"/>
      <c r="AA107" s="28"/>
      <c r="AB107" s="28"/>
      <c r="AC107" s="28"/>
      <c r="AD107" s="28"/>
      <c r="AE107" s="28"/>
      <c r="AF107" s="28"/>
      <c r="AG107" s="28"/>
    </row>
    <row r="108" spans="1:33" ht="15.75" customHeight="1" x14ac:dyDescent="0.2">
      <c r="A108" s="28"/>
      <c r="B108" s="28"/>
      <c r="C108" s="44"/>
      <c r="D108" s="16"/>
      <c r="E108" s="16"/>
      <c r="F108" s="17"/>
      <c r="G108" s="17"/>
      <c r="H108" s="17"/>
      <c r="I108" s="16"/>
      <c r="J108" s="16"/>
      <c r="K108" s="16"/>
      <c r="L108" s="16"/>
      <c r="M108" s="19"/>
      <c r="N108" s="16"/>
      <c r="O108" s="16"/>
      <c r="P108" s="16"/>
      <c r="Q108" s="46"/>
      <c r="R108" s="46"/>
      <c r="S108" s="35"/>
      <c r="T108" s="28"/>
      <c r="U108" s="28"/>
      <c r="V108" s="28"/>
      <c r="W108" s="28"/>
      <c r="X108" s="28"/>
      <c r="Y108" s="28"/>
      <c r="Z108" s="28"/>
      <c r="AA108" s="28"/>
      <c r="AB108" s="28"/>
      <c r="AC108" s="28"/>
      <c r="AD108" s="28"/>
      <c r="AE108" s="28"/>
      <c r="AF108" s="28"/>
      <c r="AG108" s="28"/>
    </row>
    <row r="109" spans="1:33" ht="15.75" customHeight="1" x14ac:dyDescent="0.2">
      <c r="A109" s="28"/>
      <c r="B109" s="28"/>
      <c r="C109" s="44"/>
      <c r="D109" s="16"/>
      <c r="E109" s="16"/>
      <c r="F109" s="17"/>
      <c r="G109" s="17"/>
      <c r="H109" s="17"/>
      <c r="I109" s="16"/>
      <c r="J109" s="16"/>
      <c r="K109" s="16"/>
      <c r="L109" s="16"/>
      <c r="M109" s="19"/>
      <c r="N109" s="16"/>
      <c r="O109" s="16"/>
      <c r="P109" s="16"/>
      <c r="Q109" s="46"/>
      <c r="R109" s="46"/>
      <c r="S109" s="35"/>
      <c r="T109" s="28"/>
      <c r="U109" s="28"/>
      <c r="V109" s="28"/>
      <c r="W109" s="28"/>
      <c r="X109" s="28"/>
      <c r="Y109" s="28"/>
      <c r="Z109" s="28"/>
      <c r="AA109" s="28"/>
      <c r="AB109" s="28"/>
      <c r="AC109" s="28"/>
      <c r="AD109" s="28"/>
      <c r="AE109" s="28"/>
      <c r="AF109" s="28"/>
      <c r="AG109" s="28"/>
    </row>
    <row r="110" spans="1:33" ht="15.75" customHeight="1" x14ac:dyDescent="0.2">
      <c r="A110" s="28"/>
      <c r="B110" s="28"/>
      <c r="C110" s="44"/>
      <c r="D110" s="16"/>
      <c r="E110" s="16"/>
      <c r="F110" s="17"/>
      <c r="G110" s="17"/>
      <c r="H110" s="17"/>
      <c r="I110" s="16"/>
      <c r="J110" s="16"/>
      <c r="K110" s="16"/>
      <c r="L110" s="16"/>
      <c r="M110" s="19"/>
      <c r="N110" s="16"/>
      <c r="O110" s="16"/>
      <c r="P110" s="16"/>
      <c r="Q110" s="46"/>
      <c r="R110" s="46"/>
      <c r="S110" s="35"/>
      <c r="T110" s="28"/>
      <c r="U110" s="28"/>
      <c r="V110" s="28"/>
      <c r="W110" s="28"/>
      <c r="X110" s="28"/>
      <c r="Y110" s="28"/>
      <c r="Z110" s="28"/>
      <c r="AA110" s="28"/>
      <c r="AB110" s="28"/>
      <c r="AC110" s="28"/>
      <c r="AD110" s="28"/>
      <c r="AE110" s="28"/>
      <c r="AF110" s="28"/>
      <c r="AG110" s="28"/>
    </row>
    <row r="111" spans="1:33" ht="15.75" customHeight="1" x14ac:dyDescent="0.2">
      <c r="A111" s="28"/>
      <c r="B111" s="28"/>
      <c r="C111" s="44"/>
      <c r="D111" s="16"/>
      <c r="E111" s="16"/>
      <c r="F111" s="17"/>
      <c r="G111" s="17"/>
      <c r="H111" s="17"/>
      <c r="I111" s="16"/>
      <c r="J111" s="16"/>
      <c r="K111" s="16"/>
      <c r="L111" s="16"/>
      <c r="M111" s="19"/>
      <c r="N111" s="16"/>
      <c r="O111" s="16"/>
      <c r="P111" s="16"/>
      <c r="Q111" s="46"/>
      <c r="R111" s="46"/>
      <c r="S111" s="35"/>
      <c r="T111" s="28"/>
      <c r="U111" s="28"/>
      <c r="V111" s="28"/>
      <c r="W111" s="28"/>
      <c r="X111" s="28"/>
      <c r="Y111" s="28"/>
      <c r="Z111" s="28"/>
      <c r="AA111" s="28"/>
      <c r="AB111" s="28"/>
      <c r="AC111" s="28"/>
      <c r="AD111" s="28"/>
      <c r="AE111" s="28"/>
      <c r="AF111" s="28"/>
      <c r="AG111" s="28"/>
    </row>
    <row r="112" spans="1:33" ht="15.75" customHeight="1" x14ac:dyDescent="0.2">
      <c r="A112" s="28"/>
      <c r="B112" s="28"/>
      <c r="C112" s="44"/>
      <c r="D112" s="16"/>
      <c r="E112" s="16"/>
      <c r="F112" s="17"/>
      <c r="G112" s="17"/>
      <c r="H112" s="17"/>
      <c r="I112" s="16"/>
      <c r="J112" s="16"/>
      <c r="K112" s="16"/>
      <c r="L112" s="16"/>
      <c r="M112" s="19"/>
      <c r="N112" s="16"/>
      <c r="O112" s="16"/>
      <c r="P112" s="16"/>
      <c r="Q112" s="46"/>
      <c r="R112" s="46"/>
      <c r="S112" s="35"/>
      <c r="T112" s="28"/>
      <c r="U112" s="28"/>
      <c r="V112" s="28"/>
      <c r="W112" s="28"/>
      <c r="X112" s="28"/>
      <c r="Y112" s="28"/>
      <c r="Z112" s="28"/>
      <c r="AA112" s="28"/>
      <c r="AB112" s="28"/>
      <c r="AC112" s="28"/>
      <c r="AD112" s="28"/>
      <c r="AE112" s="28"/>
      <c r="AF112" s="28"/>
      <c r="AG112" s="28"/>
    </row>
    <row r="113" spans="1:33" ht="15.75" customHeight="1" x14ac:dyDescent="0.2">
      <c r="A113" s="28"/>
      <c r="B113" s="28"/>
      <c r="C113" s="44"/>
      <c r="D113" s="16"/>
      <c r="E113" s="16"/>
      <c r="F113" s="17"/>
      <c r="G113" s="17"/>
      <c r="H113" s="17"/>
      <c r="I113" s="16"/>
      <c r="J113" s="16"/>
      <c r="K113" s="16"/>
      <c r="L113" s="16"/>
      <c r="M113" s="19"/>
      <c r="N113" s="16"/>
      <c r="O113" s="16"/>
      <c r="P113" s="16"/>
      <c r="Q113" s="46"/>
      <c r="R113" s="46"/>
      <c r="S113" s="35"/>
      <c r="T113" s="28"/>
      <c r="U113" s="28"/>
      <c r="V113" s="28"/>
      <c r="W113" s="28"/>
      <c r="X113" s="28"/>
      <c r="Y113" s="28"/>
      <c r="Z113" s="28"/>
      <c r="AA113" s="28"/>
      <c r="AB113" s="28"/>
      <c r="AC113" s="28"/>
      <c r="AD113" s="28"/>
      <c r="AE113" s="28"/>
      <c r="AF113" s="28"/>
      <c r="AG113" s="28"/>
    </row>
    <row r="114" spans="1:33" ht="15.75" customHeight="1" x14ac:dyDescent="0.2">
      <c r="A114" s="28"/>
      <c r="B114" s="28"/>
      <c r="C114" s="44"/>
      <c r="D114" s="16"/>
      <c r="E114" s="16"/>
      <c r="F114" s="17"/>
      <c r="G114" s="17"/>
      <c r="H114" s="17"/>
      <c r="I114" s="16"/>
      <c r="J114" s="16"/>
      <c r="K114" s="16"/>
      <c r="L114" s="16"/>
      <c r="M114" s="19"/>
      <c r="N114" s="16"/>
      <c r="O114" s="16"/>
      <c r="P114" s="16"/>
      <c r="Q114" s="46"/>
      <c r="R114" s="46"/>
      <c r="S114" s="35"/>
      <c r="T114" s="28"/>
      <c r="U114" s="28"/>
      <c r="V114" s="28"/>
      <c r="W114" s="28"/>
      <c r="X114" s="28"/>
      <c r="Y114" s="28"/>
      <c r="Z114" s="28"/>
      <c r="AA114" s="28"/>
      <c r="AB114" s="28"/>
      <c r="AC114" s="28"/>
      <c r="AD114" s="28"/>
      <c r="AE114" s="28"/>
      <c r="AF114" s="28"/>
      <c r="AG114" s="28"/>
    </row>
    <row r="115" spans="1:33" ht="15.75" customHeight="1" x14ac:dyDescent="0.2">
      <c r="A115" s="28"/>
      <c r="B115" s="28"/>
      <c r="C115" s="44"/>
      <c r="D115" s="16"/>
      <c r="E115" s="16"/>
      <c r="F115" s="17"/>
      <c r="G115" s="17"/>
      <c r="H115" s="17"/>
      <c r="I115" s="16"/>
      <c r="J115" s="16"/>
      <c r="K115" s="16"/>
      <c r="L115" s="16"/>
      <c r="M115" s="19"/>
      <c r="N115" s="16"/>
      <c r="O115" s="16"/>
      <c r="P115" s="16"/>
      <c r="Q115" s="46"/>
      <c r="R115" s="46"/>
      <c r="S115" s="35"/>
      <c r="T115" s="28"/>
      <c r="U115" s="28"/>
      <c r="V115" s="28"/>
      <c r="W115" s="28"/>
      <c r="X115" s="28"/>
      <c r="Y115" s="28"/>
      <c r="Z115" s="28"/>
      <c r="AA115" s="28"/>
      <c r="AB115" s="28"/>
      <c r="AC115" s="28"/>
      <c r="AD115" s="28"/>
      <c r="AE115" s="28"/>
      <c r="AF115" s="28"/>
      <c r="AG115" s="28"/>
    </row>
    <row r="116" spans="1:33" ht="15.75" customHeight="1" x14ac:dyDescent="0.2">
      <c r="A116" s="28"/>
      <c r="B116" s="28"/>
      <c r="C116" s="44"/>
      <c r="D116" s="16"/>
      <c r="E116" s="16"/>
      <c r="F116" s="17"/>
      <c r="G116" s="17"/>
      <c r="H116" s="17"/>
      <c r="I116" s="16"/>
      <c r="J116" s="16"/>
      <c r="K116" s="16"/>
      <c r="L116" s="16"/>
      <c r="M116" s="19"/>
      <c r="N116" s="16"/>
      <c r="O116" s="16"/>
      <c r="P116" s="16"/>
      <c r="Q116" s="46"/>
      <c r="R116" s="46"/>
      <c r="S116" s="35"/>
      <c r="T116" s="28"/>
      <c r="U116" s="28"/>
      <c r="V116" s="28"/>
      <c r="W116" s="28"/>
      <c r="X116" s="28"/>
      <c r="Y116" s="28"/>
      <c r="Z116" s="28"/>
      <c r="AA116" s="28"/>
      <c r="AB116" s="28"/>
      <c r="AC116" s="28"/>
      <c r="AD116" s="28"/>
      <c r="AE116" s="28"/>
      <c r="AF116" s="28"/>
      <c r="AG116" s="28"/>
    </row>
    <row r="117" spans="1:33" ht="15.75" customHeight="1" x14ac:dyDescent="0.2">
      <c r="A117" s="28"/>
      <c r="B117" s="28"/>
      <c r="C117" s="44"/>
      <c r="D117" s="16"/>
      <c r="E117" s="16"/>
      <c r="F117" s="17"/>
      <c r="G117" s="17"/>
      <c r="H117" s="17"/>
      <c r="I117" s="16"/>
      <c r="J117" s="16"/>
      <c r="K117" s="16"/>
      <c r="L117" s="16"/>
      <c r="M117" s="19"/>
      <c r="N117" s="16"/>
      <c r="O117" s="16"/>
      <c r="P117" s="16"/>
      <c r="Q117" s="46"/>
      <c r="R117" s="46"/>
      <c r="S117" s="35"/>
      <c r="T117" s="28"/>
      <c r="U117" s="28"/>
      <c r="V117" s="28"/>
      <c r="W117" s="28"/>
      <c r="X117" s="28"/>
      <c r="Y117" s="28"/>
      <c r="Z117" s="28"/>
      <c r="AA117" s="28"/>
      <c r="AB117" s="28"/>
      <c r="AC117" s="28"/>
      <c r="AD117" s="28"/>
      <c r="AE117" s="28"/>
      <c r="AF117" s="28"/>
      <c r="AG117" s="28"/>
    </row>
    <row r="118" spans="1:33" ht="15.75" customHeight="1" x14ac:dyDescent="0.2">
      <c r="A118" s="28"/>
      <c r="B118" s="28"/>
      <c r="C118" s="44"/>
      <c r="D118" s="16"/>
      <c r="E118" s="16"/>
      <c r="F118" s="17"/>
      <c r="G118" s="17"/>
      <c r="H118" s="17"/>
      <c r="I118" s="16"/>
      <c r="J118" s="16"/>
      <c r="K118" s="16"/>
      <c r="L118" s="16"/>
      <c r="M118" s="19"/>
      <c r="N118" s="16"/>
      <c r="O118" s="16"/>
      <c r="P118" s="16"/>
      <c r="Q118" s="46"/>
      <c r="R118" s="46"/>
      <c r="S118" s="35"/>
      <c r="T118" s="28"/>
      <c r="U118" s="28"/>
      <c r="V118" s="28"/>
      <c r="W118" s="28"/>
      <c r="X118" s="28"/>
      <c r="Y118" s="28"/>
      <c r="Z118" s="28"/>
      <c r="AA118" s="28"/>
      <c r="AB118" s="28"/>
      <c r="AC118" s="28"/>
      <c r="AD118" s="28"/>
      <c r="AE118" s="28"/>
      <c r="AF118" s="28"/>
      <c r="AG118" s="28"/>
    </row>
    <row r="119" spans="1:33" ht="15.75" customHeight="1" x14ac:dyDescent="0.2">
      <c r="A119" s="28"/>
      <c r="B119" s="28"/>
      <c r="C119" s="44"/>
      <c r="D119" s="16"/>
      <c r="E119" s="16"/>
      <c r="F119" s="17"/>
      <c r="G119" s="17"/>
      <c r="H119" s="17"/>
      <c r="I119" s="16"/>
      <c r="J119" s="16"/>
      <c r="K119" s="16"/>
      <c r="L119" s="16"/>
      <c r="M119" s="19"/>
      <c r="N119" s="16"/>
      <c r="O119" s="16"/>
      <c r="P119" s="16"/>
      <c r="Q119" s="46"/>
      <c r="R119" s="46"/>
      <c r="S119" s="35"/>
      <c r="T119" s="28"/>
      <c r="U119" s="28"/>
      <c r="V119" s="28"/>
      <c r="W119" s="28"/>
      <c r="X119" s="28"/>
      <c r="Y119" s="28"/>
      <c r="Z119" s="28"/>
      <c r="AA119" s="28"/>
      <c r="AB119" s="28"/>
      <c r="AC119" s="28"/>
      <c r="AD119" s="28"/>
      <c r="AE119" s="28"/>
      <c r="AF119" s="28"/>
      <c r="AG119" s="28"/>
    </row>
    <row r="120" spans="1:33" ht="15.75" customHeight="1" x14ac:dyDescent="0.2">
      <c r="A120" s="28"/>
      <c r="B120" s="28"/>
      <c r="C120" s="44"/>
      <c r="D120" s="16"/>
      <c r="E120" s="16"/>
      <c r="F120" s="17"/>
      <c r="G120" s="17"/>
      <c r="H120" s="17"/>
      <c r="I120" s="16"/>
      <c r="J120" s="16"/>
      <c r="K120" s="16"/>
      <c r="L120" s="16"/>
      <c r="M120" s="19"/>
      <c r="N120" s="16"/>
      <c r="O120" s="16"/>
      <c r="P120" s="16"/>
      <c r="Q120" s="46"/>
      <c r="R120" s="46"/>
      <c r="S120" s="35"/>
      <c r="T120" s="28"/>
      <c r="U120" s="28"/>
      <c r="V120" s="28"/>
      <c r="W120" s="28"/>
      <c r="X120" s="28"/>
      <c r="Y120" s="28"/>
      <c r="Z120" s="28"/>
      <c r="AA120" s="28"/>
      <c r="AB120" s="28"/>
      <c r="AC120" s="28"/>
      <c r="AD120" s="28"/>
      <c r="AE120" s="28"/>
      <c r="AF120" s="28"/>
      <c r="AG120" s="28"/>
    </row>
    <row r="121" spans="1:33" ht="15.75" customHeight="1" x14ac:dyDescent="0.2">
      <c r="A121" s="28"/>
      <c r="B121" s="28"/>
      <c r="C121" s="44"/>
      <c r="D121" s="16"/>
      <c r="E121" s="16"/>
      <c r="F121" s="17"/>
      <c r="G121" s="17"/>
      <c r="H121" s="17"/>
      <c r="I121" s="16"/>
      <c r="J121" s="16"/>
      <c r="K121" s="16"/>
      <c r="L121" s="16"/>
      <c r="M121" s="19"/>
      <c r="N121" s="16"/>
      <c r="O121" s="16"/>
      <c r="P121" s="16"/>
      <c r="Q121" s="46"/>
      <c r="R121" s="46"/>
      <c r="S121" s="35"/>
      <c r="T121" s="28"/>
      <c r="U121" s="28"/>
      <c r="V121" s="28"/>
      <c r="W121" s="28"/>
      <c r="X121" s="28"/>
      <c r="Y121" s="28"/>
      <c r="Z121" s="28"/>
      <c r="AA121" s="28"/>
      <c r="AB121" s="28"/>
      <c r="AC121" s="28"/>
      <c r="AD121" s="28"/>
      <c r="AE121" s="28"/>
      <c r="AF121" s="28"/>
      <c r="AG121" s="28"/>
    </row>
    <row r="122" spans="1:33" ht="15.75" customHeight="1" x14ac:dyDescent="0.2">
      <c r="A122" s="28"/>
      <c r="B122" s="28"/>
      <c r="C122" s="44"/>
      <c r="D122" s="16"/>
      <c r="E122" s="16"/>
      <c r="F122" s="17"/>
      <c r="G122" s="17"/>
      <c r="H122" s="17"/>
      <c r="I122" s="16"/>
      <c r="J122" s="16"/>
      <c r="K122" s="16"/>
      <c r="L122" s="16"/>
      <c r="M122" s="19"/>
      <c r="N122" s="16"/>
      <c r="O122" s="16"/>
      <c r="P122" s="16"/>
      <c r="Q122" s="46"/>
      <c r="R122" s="46"/>
      <c r="S122" s="35"/>
      <c r="T122" s="28"/>
      <c r="U122" s="28"/>
      <c r="V122" s="28"/>
      <c r="W122" s="28"/>
      <c r="X122" s="28"/>
      <c r="Y122" s="28"/>
      <c r="Z122" s="28"/>
      <c r="AA122" s="28"/>
      <c r="AB122" s="28"/>
      <c r="AC122" s="28"/>
      <c r="AD122" s="28"/>
      <c r="AE122" s="28"/>
      <c r="AF122" s="28"/>
      <c r="AG122" s="28"/>
    </row>
    <row r="123" spans="1:33" ht="15.75" customHeight="1" x14ac:dyDescent="0.2">
      <c r="A123" s="28"/>
      <c r="B123" s="28"/>
      <c r="C123" s="44"/>
      <c r="D123" s="16"/>
      <c r="E123" s="16"/>
      <c r="F123" s="17"/>
      <c r="G123" s="17"/>
      <c r="H123" s="17"/>
      <c r="I123" s="16"/>
      <c r="J123" s="16"/>
      <c r="K123" s="16"/>
      <c r="L123" s="16"/>
      <c r="M123" s="19"/>
      <c r="N123" s="16"/>
      <c r="O123" s="16"/>
      <c r="P123" s="16"/>
      <c r="Q123" s="46"/>
      <c r="R123" s="46"/>
      <c r="S123" s="35"/>
      <c r="T123" s="28"/>
      <c r="U123" s="28"/>
      <c r="V123" s="28"/>
      <c r="W123" s="28"/>
      <c r="X123" s="28"/>
      <c r="Y123" s="28"/>
      <c r="Z123" s="28"/>
      <c r="AA123" s="28"/>
      <c r="AB123" s="28"/>
      <c r="AC123" s="28"/>
      <c r="AD123" s="28"/>
      <c r="AE123" s="28"/>
      <c r="AF123" s="28"/>
      <c r="AG123" s="28"/>
    </row>
    <row r="124" spans="1:33" ht="15.75" customHeight="1" x14ac:dyDescent="0.2">
      <c r="A124" s="28"/>
      <c r="B124" s="28"/>
      <c r="C124" s="44"/>
      <c r="D124" s="16"/>
      <c r="E124" s="16"/>
      <c r="F124" s="17"/>
      <c r="G124" s="17"/>
      <c r="H124" s="17"/>
      <c r="I124" s="16"/>
      <c r="J124" s="16"/>
      <c r="K124" s="16"/>
      <c r="L124" s="16"/>
      <c r="M124" s="19"/>
      <c r="N124" s="16"/>
      <c r="O124" s="16"/>
      <c r="P124" s="16"/>
      <c r="Q124" s="46"/>
      <c r="R124" s="46"/>
      <c r="S124" s="35"/>
      <c r="T124" s="28"/>
      <c r="U124" s="28"/>
      <c r="V124" s="28"/>
      <c r="W124" s="28"/>
      <c r="X124" s="28"/>
      <c r="Y124" s="28"/>
      <c r="Z124" s="28"/>
      <c r="AA124" s="28"/>
      <c r="AB124" s="28"/>
      <c r="AC124" s="28"/>
      <c r="AD124" s="28"/>
      <c r="AE124" s="28"/>
      <c r="AF124" s="28"/>
      <c r="AG124" s="28"/>
    </row>
    <row r="125" spans="1:33" ht="15.75" customHeight="1" x14ac:dyDescent="0.2">
      <c r="A125" s="28"/>
      <c r="B125" s="28"/>
      <c r="C125" s="44"/>
      <c r="D125" s="16"/>
      <c r="E125" s="16"/>
      <c r="F125" s="17"/>
      <c r="G125" s="17"/>
      <c r="H125" s="17"/>
      <c r="I125" s="16"/>
      <c r="J125" s="16"/>
      <c r="K125" s="16"/>
      <c r="L125" s="16"/>
      <c r="M125" s="19"/>
      <c r="N125" s="16"/>
      <c r="O125" s="16"/>
      <c r="P125" s="16"/>
      <c r="Q125" s="46"/>
      <c r="R125" s="46"/>
      <c r="S125" s="35"/>
      <c r="T125" s="28"/>
      <c r="U125" s="28"/>
      <c r="V125" s="28"/>
      <c r="W125" s="28"/>
      <c r="X125" s="28"/>
      <c r="Y125" s="28"/>
      <c r="Z125" s="28"/>
      <c r="AA125" s="28"/>
      <c r="AB125" s="28"/>
      <c r="AC125" s="28"/>
      <c r="AD125" s="28"/>
      <c r="AE125" s="28"/>
      <c r="AF125" s="28"/>
      <c r="AG125" s="28"/>
    </row>
    <row r="126" spans="1:33" ht="15.75" customHeight="1" x14ac:dyDescent="0.2">
      <c r="A126" s="28"/>
      <c r="B126" s="28"/>
      <c r="C126" s="44"/>
      <c r="D126" s="16"/>
      <c r="E126" s="16"/>
      <c r="F126" s="17"/>
      <c r="G126" s="17"/>
      <c r="H126" s="17"/>
      <c r="I126" s="16"/>
      <c r="J126" s="16"/>
      <c r="K126" s="16"/>
      <c r="L126" s="16"/>
      <c r="M126" s="19"/>
      <c r="N126" s="16"/>
      <c r="O126" s="16"/>
      <c r="P126" s="16"/>
      <c r="Q126" s="46"/>
      <c r="R126" s="46"/>
      <c r="S126" s="35"/>
      <c r="T126" s="28"/>
      <c r="U126" s="28"/>
      <c r="V126" s="28"/>
      <c r="W126" s="28"/>
      <c r="X126" s="28"/>
      <c r="Y126" s="28"/>
      <c r="Z126" s="28"/>
      <c r="AA126" s="28"/>
      <c r="AB126" s="28"/>
      <c r="AC126" s="28"/>
      <c r="AD126" s="28"/>
      <c r="AE126" s="28"/>
      <c r="AF126" s="28"/>
      <c r="AG126" s="28"/>
    </row>
    <row r="127" spans="1:33" ht="15.75" customHeight="1" x14ac:dyDescent="0.2">
      <c r="A127" s="28"/>
      <c r="B127" s="28"/>
      <c r="C127" s="44"/>
      <c r="D127" s="16"/>
      <c r="E127" s="16"/>
      <c r="F127" s="17"/>
      <c r="G127" s="17"/>
      <c r="H127" s="17"/>
      <c r="I127" s="16"/>
      <c r="J127" s="16"/>
      <c r="K127" s="16"/>
      <c r="L127" s="16"/>
      <c r="M127" s="19"/>
      <c r="N127" s="16"/>
      <c r="O127" s="16"/>
      <c r="P127" s="16"/>
      <c r="Q127" s="46"/>
      <c r="R127" s="46"/>
      <c r="S127" s="35"/>
      <c r="T127" s="28"/>
      <c r="U127" s="28"/>
      <c r="V127" s="28"/>
      <c r="W127" s="28"/>
      <c r="X127" s="28"/>
      <c r="Y127" s="28"/>
      <c r="Z127" s="28"/>
      <c r="AA127" s="28"/>
      <c r="AB127" s="28"/>
      <c r="AC127" s="28"/>
      <c r="AD127" s="28"/>
      <c r="AE127" s="28"/>
      <c r="AF127" s="28"/>
      <c r="AG127" s="28"/>
    </row>
    <row r="128" spans="1:33" ht="15.75" customHeight="1" x14ac:dyDescent="0.2">
      <c r="A128" s="28"/>
      <c r="B128" s="28"/>
      <c r="C128" s="44"/>
      <c r="D128" s="16"/>
      <c r="E128" s="16"/>
      <c r="F128" s="17"/>
      <c r="G128" s="17"/>
      <c r="H128" s="17"/>
      <c r="I128" s="16"/>
      <c r="J128" s="16"/>
      <c r="K128" s="16"/>
      <c r="L128" s="16"/>
      <c r="M128" s="19"/>
      <c r="N128" s="16"/>
      <c r="O128" s="16"/>
      <c r="P128" s="16"/>
      <c r="Q128" s="46"/>
      <c r="R128" s="46"/>
      <c r="S128" s="35"/>
      <c r="T128" s="28"/>
      <c r="U128" s="28"/>
      <c r="V128" s="28"/>
      <c r="W128" s="28"/>
      <c r="X128" s="28"/>
      <c r="Y128" s="28"/>
      <c r="Z128" s="28"/>
      <c r="AA128" s="28"/>
      <c r="AB128" s="28"/>
      <c r="AC128" s="28"/>
      <c r="AD128" s="28"/>
      <c r="AE128" s="28"/>
      <c r="AF128" s="28"/>
      <c r="AG128" s="28"/>
    </row>
    <row r="129" spans="1:33" ht="15.75" customHeight="1" x14ac:dyDescent="0.2">
      <c r="A129" s="28"/>
      <c r="B129" s="28"/>
      <c r="C129" s="44"/>
      <c r="D129" s="16"/>
      <c r="E129" s="16"/>
      <c r="F129" s="17"/>
      <c r="G129" s="17"/>
      <c r="H129" s="17"/>
      <c r="I129" s="16"/>
      <c r="J129" s="16"/>
      <c r="K129" s="16"/>
      <c r="L129" s="16"/>
      <c r="M129" s="19"/>
      <c r="N129" s="16"/>
      <c r="O129" s="16"/>
      <c r="P129" s="16"/>
      <c r="Q129" s="46"/>
      <c r="R129" s="46"/>
      <c r="S129" s="35"/>
      <c r="T129" s="28"/>
      <c r="U129" s="28"/>
      <c r="V129" s="28"/>
      <c r="W129" s="28"/>
      <c r="X129" s="28"/>
      <c r="Y129" s="28"/>
      <c r="Z129" s="28"/>
      <c r="AA129" s="28"/>
      <c r="AB129" s="28"/>
      <c r="AC129" s="28"/>
      <c r="AD129" s="28"/>
      <c r="AE129" s="28"/>
      <c r="AF129" s="28"/>
      <c r="AG129" s="28"/>
    </row>
    <row r="130" spans="1:33" ht="15.75" customHeight="1" x14ac:dyDescent="0.2">
      <c r="A130" s="28"/>
      <c r="B130" s="28"/>
      <c r="C130" s="44"/>
      <c r="D130" s="16"/>
      <c r="E130" s="16"/>
      <c r="F130" s="17"/>
      <c r="G130" s="17"/>
      <c r="H130" s="17"/>
      <c r="I130" s="16"/>
      <c r="J130" s="16"/>
      <c r="K130" s="16"/>
      <c r="L130" s="16"/>
      <c r="M130" s="19"/>
      <c r="N130" s="16"/>
      <c r="O130" s="16"/>
      <c r="P130" s="16"/>
      <c r="Q130" s="46"/>
      <c r="R130" s="46"/>
      <c r="S130" s="35"/>
      <c r="T130" s="28"/>
      <c r="U130" s="28"/>
      <c r="V130" s="28"/>
      <c r="W130" s="28"/>
      <c r="X130" s="28"/>
      <c r="Y130" s="28"/>
      <c r="Z130" s="28"/>
      <c r="AA130" s="28"/>
      <c r="AB130" s="28"/>
      <c r="AC130" s="28"/>
      <c r="AD130" s="28"/>
      <c r="AE130" s="28"/>
      <c r="AF130" s="28"/>
      <c r="AG130" s="28"/>
    </row>
    <row r="131" spans="1:33" ht="15.75" customHeight="1" x14ac:dyDescent="0.2">
      <c r="A131" s="28"/>
      <c r="B131" s="28"/>
      <c r="C131" s="44"/>
      <c r="D131" s="16"/>
      <c r="E131" s="16"/>
      <c r="F131" s="17"/>
      <c r="G131" s="17"/>
      <c r="H131" s="17"/>
      <c r="I131" s="16"/>
      <c r="J131" s="16"/>
      <c r="K131" s="16"/>
      <c r="L131" s="16"/>
      <c r="M131" s="19"/>
      <c r="N131" s="16"/>
      <c r="O131" s="16"/>
      <c r="P131" s="16"/>
      <c r="Q131" s="46"/>
      <c r="R131" s="46"/>
      <c r="S131" s="35"/>
      <c r="T131" s="28"/>
      <c r="U131" s="28"/>
      <c r="V131" s="28"/>
      <c r="W131" s="28"/>
      <c r="X131" s="28"/>
      <c r="Y131" s="28"/>
      <c r="Z131" s="28"/>
      <c r="AA131" s="28"/>
      <c r="AB131" s="28"/>
      <c r="AC131" s="28"/>
      <c r="AD131" s="28"/>
      <c r="AE131" s="28"/>
      <c r="AF131" s="28"/>
      <c r="AG131" s="28"/>
    </row>
    <row r="132" spans="1:33" ht="15.75" customHeight="1" x14ac:dyDescent="0.2">
      <c r="A132" s="28"/>
      <c r="B132" s="28"/>
      <c r="C132" s="44"/>
      <c r="D132" s="16"/>
      <c r="E132" s="16"/>
      <c r="F132" s="17"/>
      <c r="G132" s="17"/>
      <c r="H132" s="17"/>
      <c r="I132" s="16"/>
      <c r="J132" s="16"/>
      <c r="K132" s="16"/>
      <c r="L132" s="16"/>
      <c r="M132" s="19"/>
      <c r="N132" s="16"/>
      <c r="O132" s="16"/>
      <c r="P132" s="16"/>
      <c r="Q132" s="46"/>
      <c r="R132" s="46"/>
      <c r="S132" s="35"/>
      <c r="T132" s="28"/>
      <c r="U132" s="28"/>
      <c r="V132" s="28"/>
      <c r="W132" s="28"/>
      <c r="X132" s="28"/>
      <c r="Y132" s="28"/>
      <c r="Z132" s="28"/>
      <c r="AA132" s="28"/>
      <c r="AB132" s="28"/>
      <c r="AC132" s="28"/>
      <c r="AD132" s="28"/>
      <c r="AE132" s="28"/>
      <c r="AF132" s="28"/>
      <c r="AG132" s="28"/>
    </row>
    <row r="133" spans="1:33" ht="15.75" customHeight="1" x14ac:dyDescent="0.2">
      <c r="A133" s="28"/>
      <c r="B133" s="28"/>
      <c r="C133" s="44"/>
      <c r="D133" s="16"/>
      <c r="E133" s="16"/>
      <c r="F133" s="17"/>
      <c r="G133" s="17"/>
      <c r="H133" s="17"/>
      <c r="I133" s="16"/>
      <c r="J133" s="16"/>
      <c r="K133" s="16"/>
      <c r="L133" s="16"/>
      <c r="M133" s="19"/>
      <c r="N133" s="16"/>
      <c r="O133" s="16"/>
      <c r="P133" s="16"/>
      <c r="Q133" s="46"/>
      <c r="R133" s="46"/>
      <c r="S133" s="35"/>
      <c r="T133" s="28"/>
      <c r="U133" s="28"/>
      <c r="V133" s="28"/>
      <c r="W133" s="28"/>
      <c r="X133" s="28"/>
      <c r="Y133" s="28"/>
      <c r="Z133" s="28"/>
      <c r="AA133" s="28"/>
      <c r="AB133" s="28"/>
      <c r="AC133" s="28"/>
      <c r="AD133" s="28"/>
      <c r="AE133" s="28"/>
      <c r="AF133" s="28"/>
      <c r="AG133" s="28"/>
    </row>
    <row r="134" spans="1:33" ht="15.75" customHeight="1" x14ac:dyDescent="0.2">
      <c r="A134" s="28"/>
      <c r="B134" s="28"/>
      <c r="C134" s="44"/>
      <c r="D134" s="16"/>
      <c r="E134" s="16"/>
      <c r="F134" s="17"/>
      <c r="G134" s="17"/>
      <c r="H134" s="17"/>
      <c r="I134" s="16"/>
      <c r="J134" s="16"/>
      <c r="K134" s="16"/>
      <c r="L134" s="16"/>
      <c r="M134" s="19"/>
      <c r="N134" s="16"/>
      <c r="O134" s="16"/>
      <c r="P134" s="16"/>
      <c r="Q134" s="46"/>
      <c r="R134" s="46"/>
      <c r="S134" s="35"/>
      <c r="T134" s="28"/>
      <c r="U134" s="28"/>
      <c r="V134" s="28"/>
      <c r="W134" s="28"/>
      <c r="X134" s="28"/>
      <c r="Y134" s="28"/>
      <c r="Z134" s="28"/>
      <c r="AA134" s="28"/>
      <c r="AB134" s="28"/>
      <c r="AC134" s="28"/>
      <c r="AD134" s="28"/>
      <c r="AE134" s="28"/>
      <c r="AF134" s="28"/>
      <c r="AG134" s="28"/>
    </row>
    <row r="135" spans="1:33" ht="15.75" customHeight="1" x14ac:dyDescent="0.2">
      <c r="A135" s="28"/>
      <c r="B135" s="28"/>
      <c r="C135" s="44"/>
      <c r="D135" s="16"/>
      <c r="E135" s="16"/>
      <c r="F135" s="17"/>
      <c r="G135" s="17"/>
      <c r="H135" s="17"/>
      <c r="I135" s="16"/>
      <c r="J135" s="16"/>
      <c r="K135" s="16"/>
      <c r="L135" s="16"/>
      <c r="M135" s="19"/>
      <c r="N135" s="16"/>
      <c r="O135" s="16"/>
      <c r="P135" s="16"/>
      <c r="Q135" s="46"/>
      <c r="R135" s="46"/>
      <c r="S135" s="35"/>
      <c r="T135" s="28"/>
      <c r="U135" s="28"/>
      <c r="V135" s="28"/>
      <c r="W135" s="28"/>
      <c r="X135" s="28"/>
      <c r="Y135" s="28"/>
      <c r="Z135" s="28"/>
      <c r="AA135" s="28"/>
      <c r="AB135" s="28"/>
      <c r="AC135" s="28"/>
      <c r="AD135" s="28"/>
      <c r="AE135" s="28"/>
      <c r="AF135" s="28"/>
      <c r="AG135" s="28"/>
    </row>
    <row r="136" spans="1:33" ht="15.75" customHeight="1" x14ac:dyDescent="0.2">
      <c r="A136" s="28"/>
      <c r="B136" s="28"/>
      <c r="C136" s="44"/>
      <c r="D136" s="16"/>
      <c r="E136" s="16"/>
      <c r="F136" s="17"/>
      <c r="G136" s="17"/>
      <c r="H136" s="17"/>
      <c r="I136" s="16"/>
      <c r="J136" s="16"/>
      <c r="K136" s="16"/>
      <c r="L136" s="16"/>
      <c r="M136" s="19"/>
      <c r="N136" s="16"/>
      <c r="O136" s="16"/>
      <c r="P136" s="16"/>
      <c r="Q136" s="46"/>
      <c r="R136" s="46"/>
      <c r="S136" s="35"/>
      <c r="T136" s="28"/>
      <c r="U136" s="28"/>
      <c r="V136" s="28"/>
      <c r="W136" s="28"/>
      <c r="X136" s="28"/>
      <c r="Y136" s="28"/>
      <c r="Z136" s="28"/>
      <c r="AA136" s="28"/>
      <c r="AB136" s="28"/>
      <c r="AC136" s="28"/>
      <c r="AD136" s="28"/>
      <c r="AE136" s="28"/>
      <c r="AF136" s="28"/>
      <c r="AG136" s="28"/>
    </row>
    <row r="137" spans="1:33" ht="15.75" customHeight="1" x14ac:dyDescent="0.2">
      <c r="A137" s="28"/>
      <c r="B137" s="28"/>
      <c r="C137" s="44"/>
      <c r="D137" s="16"/>
      <c r="E137" s="16"/>
      <c r="F137" s="17"/>
      <c r="G137" s="17"/>
      <c r="H137" s="17"/>
      <c r="I137" s="16"/>
      <c r="J137" s="16"/>
      <c r="K137" s="16"/>
      <c r="L137" s="16"/>
      <c r="M137" s="19"/>
      <c r="N137" s="16"/>
      <c r="O137" s="16"/>
      <c r="P137" s="16"/>
      <c r="Q137" s="46"/>
      <c r="R137" s="46"/>
      <c r="S137" s="35"/>
      <c r="T137" s="28"/>
      <c r="U137" s="28"/>
      <c r="V137" s="28"/>
      <c r="W137" s="28"/>
      <c r="X137" s="28"/>
      <c r="Y137" s="28"/>
      <c r="Z137" s="28"/>
      <c r="AA137" s="28"/>
      <c r="AB137" s="28"/>
      <c r="AC137" s="28"/>
      <c r="AD137" s="28"/>
      <c r="AE137" s="28"/>
      <c r="AF137" s="28"/>
      <c r="AG137" s="28"/>
    </row>
    <row r="138" spans="1:33" ht="15.75" customHeight="1" x14ac:dyDescent="0.2">
      <c r="A138" s="28"/>
      <c r="B138" s="28"/>
      <c r="C138" s="44"/>
      <c r="D138" s="16"/>
      <c r="E138" s="16"/>
      <c r="F138" s="17"/>
      <c r="G138" s="17"/>
      <c r="H138" s="17"/>
      <c r="I138" s="16"/>
      <c r="J138" s="16"/>
      <c r="K138" s="16"/>
      <c r="L138" s="16"/>
      <c r="M138" s="19"/>
      <c r="N138" s="16"/>
      <c r="O138" s="16"/>
      <c r="P138" s="16"/>
      <c r="Q138" s="46"/>
      <c r="R138" s="46"/>
      <c r="S138" s="35"/>
      <c r="T138" s="28"/>
      <c r="U138" s="28"/>
      <c r="V138" s="28"/>
      <c r="W138" s="28"/>
      <c r="X138" s="28"/>
      <c r="Y138" s="28"/>
      <c r="Z138" s="28"/>
      <c r="AA138" s="28"/>
      <c r="AB138" s="28"/>
      <c r="AC138" s="28"/>
      <c r="AD138" s="28"/>
      <c r="AE138" s="28"/>
      <c r="AF138" s="28"/>
      <c r="AG138" s="28"/>
    </row>
    <row r="139" spans="1:33" ht="15.75" customHeight="1" x14ac:dyDescent="0.2">
      <c r="A139" s="28"/>
      <c r="B139" s="28"/>
      <c r="C139" s="44"/>
      <c r="D139" s="16"/>
      <c r="E139" s="16"/>
      <c r="F139" s="17"/>
      <c r="G139" s="17"/>
      <c r="H139" s="17"/>
      <c r="I139" s="16"/>
      <c r="J139" s="16"/>
      <c r="K139" s="16"/>
      <c r="L139" s="16"/>
      <c r="M139" s="19"/>
      <c r="N139" s="16"/>
      <c r="O139" s="16"/>
      <c r="P139" s="16"/>
      <c r="Q139" s="46"/>
      <c r="R139" s="46"/>
      <c r="S139" s="35"/>
      <c r="T139" s="28"/>
      <c r="U139" s="28"/>
      <c r="V139" s="28"/>
      <c r="W139" s="28"/>
      <c r="X139" s="28"/>
      <c r="Y139" s="28"/>
      <c r="Z139" s="28"/>
      <c r="AA139" s="28"/>
      <c r="AB139" s="28"/>
      <c r="AC139" s="28"/>
      <c r="AD139" s="28"/>
      <c r="AE139" s="28"/>
      <c r="AF139" s="28"/>
      <c r="AG139" s="28"/>
    </row>
    <row r="140" spans="1:33" ht="15.75" customHeight="1" x14ac:dyDescent="0.2">
      <c r="A140" s="28"/>
      <c r="B140" s="28"/>
      <c r="C140" s="44"/>
      <c r="D140" s="16"/>
      <c r="E140" s="16"/>
      <c r="F140" s="17"/>
      <c r="G140" s="17"/>
      <c r="H140" s="17"/>
      <c r="I140" s="16"/>
      <c r="J140" s="16"/>
      <c r="K140" s="16"/>
      <c r="L140" s="16"/>
      <c r="M140" s="19"/>
      <c r="N140" s="16"/>
      <c r="O140" s="16"/>
      <c r="P140" s="16"/>
      <c r="Q140" s="46"/>
      <c r="R140" s="46"/>
      <c r="S140" s="35"/>
      <c r="T140" s="28"/>
      <c r="U140" s="28"/>
      <c r="V140" s="28"/>
      <c r="W140" s="28"/>
      <c r="X140" s="28"/>
      <c r="Y140" s="28"/>
      <c r="Z140" s="28"/>
      <c r="AA140" s="28"/>
      <c r="AB140" s="28"/>
      <c r="AC140" s="28"/>
      <c r="AD140" s="28"/>
      <c r="AE140" s="28"/>
      <c r="AF140" s="28"/>
      <c r="AG140" s="28"/>
    </row>
    <row r="141" spans="1:33" ht="15.75" customHeight="1" x14ac:dyDescent="0.2">
      <c r="A141" s="28"/>
      <c r="B141" s="28"/>
      <c r="C141" s="44"/>
      <c r="D141" s="16"/>
      <c r="E141" s="16"/>
      <c r="F141" s="17"/>
      <c r="G141" s="17"/>
      <c r="H141" s="17"/>
      <c r="I141" s="16"/>
      <c r="J141" s="16"/>
      <c r="K141" s="16"/>
      <c r="L141" s="16"/>
      <c r="M141" s="19"/>
      <c r="N141" s="16"/>
      <c r="O141" s="16"/>
      <c r="P141" s="1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4"/>
      <c r="D142" s="16"/>
      <c r="E142" s="16"/>
      <c r="F142" s="17"/>
      <c r="G142" s="17"/>
      <c r="H142" s="17"/>
      <c r="I142" s="16"/>
      <c r="J142" s="16"/>
      <c r="K142" s="16"/>
      <c r="L142" s="16"/>
      <c r="M142" s="19"/>
      <c r="N142" s="16"/>
      <c r="O142" s="16"/>
      <c r="P142" s="1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4"/>
      <c r="D143" s="16"/>
      <c r="E143" s="16"/>
      <c r="F143" s="17"/>
      <c r="G143" s="17"/>
      <c r="H143" s="17"/>
      <c r="I143" s="16"/>
      <c r="J143" s="16"/>
      <c r="K143" s="16"/>
      <c r="L143" s="16"/>
      <c r="M143" s="19"/>
      <c r="N143" s="16"/>
      <c r="O143" s="16"/>
      <c r="P143" s="1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4"/>
      <c r="D144" s="16"/>
      <c r="E144" s="16"/>
      <c r="F144" s="17"/>
      <c r="G144" s="17"/>
      <c r="H144" s="17"/>
      <c r="I144" s="16"/>
      <c r="J144" s="16"/>
      <c r="K144" s="16"/>
      <c r="L144" s="16"/>
      <c r="M144" s="19"/>
      <c r="N144" s="16"/>
      <c r="O144" s="16"/>
      <c r="P144" s="1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4"/>
      <c r="D145" s="16"/>
      <c r="E145" s="16"/>
      <c r="F145" s="17"/>
      <c r="G145" s="17"/>
      <c r="H145" s="17"/>
      <c r="I145" s="16"/>
      <c r="J145" s="16"/>
      <c r="K145" s="16"/>
      <c r="L145" s="16"/>
      <c r="M145" s="19"/>
      <c r="N145" s="16"/>
      <c r="O145" s="16"/>
      <c r="P145" s="1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4"/>
      <c r="D146" s="16"/>
      <c r="E146" s="16"/>
      <c r="F146" s="17"/>
      <c r="G146" s="17"/>
      <c r="H146" s="17"/>
      <c r="I146" s="16"/>
      <c r="J146" s="16"/>
      <c r="K146" s="16"/>
      <c r="L146" s="16"/>
      <c r="M146" s="19"/>
      <c r="N146" s="16"/>
      <c r="O146" s="16"/>
      <c r="P146" s="1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4"/>
      <c r="D147" s="16"/>
      <c r="E147" s="16"/>
      <c r="F147" s="17"/>
      <c r="G147" s="17"/>
      <c r="H147" s="17"/>
      <c r="I147" s="16"/>
      <c r="J147" s="16"/>
      <c r="K147" s="16"/>
      <c r="L147" s="16"/>
      <c r="M147" s="19"/>
      <c r="N147" s="16"/>
      <c r="O147" s="16"/>
      <c r="P147" s="1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4"/>
      <c r="D148" s="16"/>
      <c r="E148" s="16"/>
      <c r="F148" s="17"/>
      <c r="G148" s="17"/>
      <c r="H148" s="17"/>
      <c r="I148" s="16"/>
      <c r="J148" s="16"/>
      <c r="K148" s="16"/>
      <c r="L148" s="16"/>
      <c r="M148" s="19"/>
      <c r="N148" s="16"/>
      <c r="O148" s="16"/>
      <c r="P148" s="1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4"/>
      <c r="D149" s="16"/>
      <c r="E149" s="16"/>
      <c r="F149" s="17"/>
      <c r="G149" s="17"/>
      <c r="H149" s="17"/>
      <c r="I149" s="16"/>
      <c r="J149" s="16"/>
      <c r="K149" s="16"/>
      <c r="L149" s="16"/>
      <c r="M149" s="19"/>
      <c r="N149" s="16"/>
      <c r="O149" s="16"/>
      <c r="P149" s="1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4"/>
      <c r="D150" s="16"/>
      <c r="E150" s="16"/>
      <c r="F150" s="17"/>
      <c r="G150" s="17"/>
      <c r="H150" s="17"/>
      <c r="I150" s="16"/>
      <c r="J150" s="16"/>
      <c r="K150" s="16"/>
      <c r="L150" s="16"/>
      <c r="M150" s="19"/>
      <c r="N150" s="16"/>
      <c r="O150" s="16"/>
      <c r="P150" s="1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4"/>
      <c r="D151" s="16"/>
      <c r="E151" s="16"/>
      <c r="F151" s="17"/>
      <c r="G151" s="17"/>
      <c r="H151" s="17"/>
      <c r="I151" s="16"/>
      <c r="J151" s="16"/>
      <c r="K151" s="16"/>
      <c r="L151" s="16"/>
      <c r="M151" s="19"/>
      <c r="N151" s="16"/>
      <c r="O151" s="16"/>
      <c r="P151" s="1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4"/>
      <c r="D152" s="16"/>
      <c r="E152" s="16"/>
      <c r="F152" s="17"/>
      <c r="G152" s="17"/>
      <c r="H152" s="17"/>
      <c r="I152" s="16"/>
      <c r="J152" s="16"/>
      <c r="K152" s="16"/>
      <c r="L152" s="16"/>
      <c r="M152" s="19"/>
      <c r="N152" s="16"/>
      <c r="O152" s="16"/>
      <c r="P152" s="1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4"/>
      <c r="D153" s="16"/>
      <c r="E153" s="16"/>
      <c r="F153" s="17"/>
      <c r="G153" s="17"/>
      <c r="H153" s="17"/>
      <c r="I153" s="16"/>
      <c r="J153" s="16"/>
      <c r="K153" s="16"/>
      <c r="L153" s="16"/>
      <c r="M153" s="19"/>
      <c r="N153" s="16"/>
      <c r="O153" s="16"/>
      <c r="P153" s="1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4"/>
      <c r="D154" s="16"/>
      <c r="E154" s="16"/>
      <c r="F154" s="17"/>
      <c r="G154" s="17"/>
      <c r="H154" s="17"/>
      <c r="I154" s="16"/>
      <c r="J154" s="16"/>
      <c r="K154" s="16"/>
      <c r="L154" s="16"/>
      <c r="M154" s="19"/>
      <c r="N154" s="16"/>
      <c r="O154" s="16"/>
      <c r="P154" s="1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4"/>
      <c r="D155" s="16"/>
      <c r="E155" s="16"/>
      <c r="F155" s="17"/>
      <c r="G155" s="17"/>
      <c r="H155" s="17"/>
      <c r="I155" s="16"/>
      <c r="J155" s="16"/>
      <c r="K155" s="16"/>
      <c r="L155" s="16"/>
      <c r="M155" s="19"/>
      <c r="N155" s="16"/>
      <c r="O155" s="16"/>
      <c r="P155" s="1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4"/>
      <c r="D156" s="16"/>
      <c r="E156" s="16"/>
      <c r="F156" s="17"/>
      <c r="G156" s="17"/>
      <c r="H156" s="17"/>
      <c r="I156" s="16"/>
      <c r="J156" s="16"/>
      <c r="K156" s="16"/>
      <c r="L156" s="16"/>
      <c r="M156" s="19"/>
      <c r="N156" s="16"/>
      <c r="O156" s="16"/>
      <c r="P156" s="1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4"/>
      <c r="D157" s="16"/>
      <c r="E157" s="16"/>
      <c r="F157" s="17"/>
      <c r="G157" s="17"/>
      <c r="H157" s="17"/>
      <c r="I157" s="16"/>
      <c r="J157" s="16"/>
      <c r="K157" s="16"/>
      <c r="L157" s="16"/>
      <c r="M157" s="19"/>
      <c r="N157" s="16"/>
      <c r="O157" s="16"/>
      <c r="P157" s="1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4"/>
      <c r="D158" s="16"/>
      <c r="E158" s="16"/>
      <c r="F158" s="17"/>
      <c r="G158" s="17"/>
      <c r="H158" s="17"/>
      <c r="I158" s="16"/>
      <c r="J158" s="16"/>
      <c r="K158" s="16"/>
      <c r="L158" s="16"/>
      <c r="M158" s="19"/>
      <c r="N158" s="16"/>
      <c r="O158" s="16"/>
      <c r="P158" s="1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4"/>
      <c r="D159" s="16"/>
      <c r="E159" s="16"/>
      <c r="F159" s="17"/>
      <c r="G159" s="17"/>
      <c r="H159" s="17"/>
      <c r="I159" s="16"/>
      <c r="J159" s="16"/>
      <c r="K159" s="16"/>
      <c r="L159" s="16"/>
      <c r="M159" s="19"/>
      <c r="N159" s="16"/>
      <c r="O159" s="16"/>
      <c r="P159" s="1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4"/>
      <c r="D160" s="16"/>
      <c r="E160" s="16"/>
      <c r="F160" s="17"/>
      <c r="G160" s="17"/>
      <c r="H160" s="17"/>
      <c r="I160" s="16"/>
      <c r="J160" s="16"/>
      <c r="K160" s="16"/>
      <c r="L160" s="16"/>
      <c r="M160" s="19"/>
      <c r="N160" s="16"/>
      <c r="O160" s="16"/>
      <c r="P160" s="1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4"/>
      <c r="D161" s="16"/>
      <c r="E161" s="16"/>
      <c r="F161" s="17"/>
      <c r="G161" s="17"/>
      <c r="H161" s="17"/>
      <c r="I161" s="16"/>
      <c r="J161" s="16"/>
      <c r="K161" s="16"/>
      <c r="L161" s="16"/>
      <c r="M161" s="19"/>
      <c r="N161" s="16"/>
      <c r="O161" s="16"/>
      <c r="P161" s="1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4"/>
      <c r="D162" s="16"/>
      <c r="E162" s="16"/>
      <c r="F162" s="17"/>
      <c r="G162" s="17"/>
      <c r="H162" s="17"/>
      <c r="I162" s="16"/>
      <c r="J162" s="16"/>
      <c r="K162" s="16"/>
      <c r="L162" s="16"/>
      <c r="M162" s="19"/>
      <c r="N162" s="16"/>
      <c r="O162" s="16"/>
      <c r="P162" s="1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4"/>
      <c r="D163" s="16"/>
      <c r="E163" s="16"/>
      <c r="F163" s="17"/>
      <c r="G163" s="17"/>
      <c r="H163" s="17"/>
      <c r="I163" s="16"/>
      <c r="J163" s="16"/>
      <c r="K163" s="16"/>
      <c r="L163" s="16"/>
      <c r="M163" s="19"/>
      <c r="N163" s="16"/>
      <c r="O163" s="16"/>
      <c r="P163" s="1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4"/>
      <c r="D164" s="16"/>
      <c r="E164" s="16"/>
      <c r="F164" s="17"/>
      <c r="G164" s="17"/>
      <c r="H164" s="17"/>
      <c r="I164" s="16"/>
      <c r="J164" s="16"/>
      <c r="K164" s="16"/>
      <c r="L164" s="16"/>
      <c r="M164" s="19"/>
      <c r="N164" s="16"/>
      <c r="O164" s="16"/>
      <c r="P164" s="1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4"/>
      <c r="D165" s="16"/>
      <c r="E165" s="16"/>
      <c r="F165" s="17"/>
      <c r="G165" s="17"/>
      <c r="H165" s="17"/>
      <c r="I165" s="16"/>
      <c r="J165" s="16"/>
      <c r="K165" s="16"/>
      <c r="L165" s="16"/>
      <c r="M165" s="19"/>
      <c r="N165" s="16"/>
      <c r="O165" s="16"/>
      <c r="P165" s="1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4"/>
      <c r="D166" s="16"/>
      <c r="E166" s="16"/>
      <c r="F166" s="17"/>
      <c r="G166" s="17"/>
      <c r="H166" s="17"/>
      <c r="I166" s="16"/>
      <c r="J166" s="16"/>
      <c r="K166" s="16"/>
      <c r="L166" s="16"/>
      <c r="M166" s="19"/>
      <c r="N166" s="16"/>
      <c r="O166" s="16"/>
      <c r="P166" s="1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4"/>
      <c r="D167" s="16"/>
      <c r="E167" s="16"/>
      <c r="F167" s="17"/>
      <c r="G167" s="17"/>
      <c r="H167" s="17"/>
      <c r="I167" s="16"/>
      <c r="J167" s="16"/>
      <c r="K167" s="16"/>
      <c r="L167" s="16"/>
      <c r="M167" s="19"/>
      <c r="N167" s="16"/>
      <c r="O167" s="16"/>
      <c r="P167" s="1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4"/>
      <c r="D168" s="16"/>
      <c r="E168" s="16"/>
      <c r="F168" s="17"/>
      <c r="G168" s="17"/>
      <c r="H168" s="17"/>
      <c r="I168" s="16"/>
      <c r="J168" s="16"/>
      <c r="K168" s="16"/>
      <c r="L168" s="16"/>
      <c r="M168" s="19"/>
      <c r="N168" s="16"/>
      <c r="O168" s="16"/>
      <c r="P168" s="1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34.16406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30.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Info!B1:BJ5000""),3,FALSE),"""")"),"10 Outlet Heavy Duty Surge Protector Power Strip - Industrial Black and Yellow Metal Surge Protector with 15 Foot Extension Cord")</f>
        <v>10 Outlet Heavy Duty Surge Protector Power Strip - Industrial Black and Yellow Metal Surge Protector with 15 Foot Extension Cord</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Info!B1:BJ5000""),2,FALSE),"""")"),"B082DKVX39")</f>
        <v>B082DKVX39</v>
      </c>
      <c r="B2" s="3" t="s">
        <v>785</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42.75" customHeight="1" x14ac:dyDescent="0.2">
      <c r="A3" s="76" t="s">
        <v>30</v>
      </c>
      <c r="B3" s="77"/>
      <c r="C3" s="47">
        <f>((AE32+AF32)/0.85)*-1</f>
        <v>19.643436065323527</v>
      </c>
      <c r="D3" s="5">
        <f>SUM(D4:D99765)</f>
        <v>403</v>
      </c>
      <c r="E3" s="5"/>
      <c r="F3" s="6">
        <f t="shared" ref="F3:G3" si="0">SUM(F4:F99765)</f>
        <v>12198.630000000001</v>
      </c>
      <c r="G3" s="6">
        <f t="shared" si="0"/>
        <v>-58.19</v>
      </c>
      <c r="H3" s="7">
        <f t="shared" ref="H3:H32" si="1">G3/F3*-1</f>
        <v>4.7702078020236691E-3</v>
      </c>
      <c r="I3" s="8">
        <f t="shared" ref="I3:I32" si="2">J3/F3</f>
        <v>0.26896273483239597</v>
      </c>
      <c r="J3" s="6">
        <f>SUM(J4:J99765)</f>
        <v>3280.9768860085105</v>
      </c>
      <c r="K3" s="6">
        <f t="shared" ref="K3:K32" si="3">J3/D3</f>
        <v>8.1413818511377425</v>
      </c>
      <c r="L3" s="5"/>
      <c r="M3" s="9"/>
      <c r="N3" s="10"/>
      <c r="O3" s="5" t="str">
        <f ca="1">IFERROR(__xludf.DUMMYFUNCTION("IFERROR(VLOOKUP(B2,IMPORTRANGE(""https://docs.google.com/spreadsheets/d/1N8jvpEHDVkurDv7NrPxwI3eH6hQsvtb1QltGNCalRjU/edit#gid=865736387"",""Compiled Sheet!a1:g5000""),2,FALSE),"""")"),"5 - March
5 - April
5 - May
5 - June
5 - July
5 - Aug
7.5 - Sept
7.5 - Oct
7.5 - Nov
7.5 - Dec
5 - Jan
5 - Feb")</f>
        <v>5 - March
5 - April
5 - May
5 - June
5 - July
5 - Aug
7.5 - Sept
7.5 - Oct
7.5 - Nov
7.5 - Dec
5 - Jan
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10</v>
      </c>
      <c r="X3" s="7">
        <f>W3/D3</f>
        <v>2.4813895781637719E-2</v>
      </c>
      <c r="Y3" s="6"/>
      <c r="Z3" s="5"/>
      <c r="AA3" s="5"/>
      <c r="AB3" s="5"/>
      <c r="AC3" s="5"/>
      <c r="AD3" s="6">
        <f>SUM(AD4:AD99765)</f>
        <v>-70.123773190058898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Info!B2:BZ7000""),37,FALSE)),"""")*-1"),-10.716920655525)</f>
        <v>-10.716920655525</v>
      </c>
      <c r="AG3" s="6">
        <f>SUM(AG4:AG99765)</f>
        <v>0</v>
      </c>
    </row>
    <row r="4" spans="1:33" ht="15.75" customHeight="1" x14ac:dyDescent="0.2">
      <c r="A4" s="14" t="s">
        <v>31</v>
      </c>
      <c r="B4" s="14" t="s">
        <v>786</v>
      </c>
      <c r="C4" s="15">
        <f t="shared" ref="C4:C32" si="4">IFERROR(F4/D4," - ")</f>
        <v>43.835000000000001</v>
      </c>
      <c r="D4" s="16">
        <v>6</v>
      </c>
      <c r="E4" s="16">
        <v>0</v>
      </c>
      <c r="F4" s="17">
        <v>263.01</v>
      </c>
      <c r="G4" s="17">
        <v>0</v>
      </c>
      <c r="H4" s="18">
        <f t="shared" si="1"/>
        <v>0</v>
      </c>
      <c r="I4" s="18">
        <f t="shared" si="2"/>
        <v>0.45966331877553646</v>
      </c>
      <c r="J4" s="17">
        <f t="shared" ref="J4:J32" si="5">F4*0.85+G4+AF4*D4+D4*AE4+AG4+AD4</f>
        <v>120.89604947115384</v>
      </c>
      <c r="K4" s="17">
        <f t="shared" si="3"/>
        <v>20.14934157852564</v>
      </c>
      <c r="L4" s="16">
        <v>14</v>
      </c>
      <c r="M4" s="19">
        <f t="shared" ref="M4:M32" si="6">IFERROR(D4/L4,"-")</f>
        <v>0.42857142857142855</v>
      </c>
      <c r="N4" s="16">
        <v>64</v>
      </c>
      <c r="O4" s="20">
        <f t="shared" ref="O4:P4" si="7">D4/7</f>
        <v>0.8571428571428571</v>
      </c>
      <c r="P4" s="20">
        <f t="shared" si="7"/>
        <v>0</v>
      </c>
      <c r="Q4" s="16">
        <f t="shared" ref="Q4:Q32" si="8">ROUNDDOWN(N4/(O4+P4),0)</f>
        <v>74</v>
      </c>
      <c r="R4" s="16"/>
      <c r="S4" s="21">
        <v>1.4099009900990001</v>
      </c>
      <c r="T4" s="14">
        <v>1000</v>
      </c>
      <c r="U4" s="22" t="s">
        <v>33</v>
      </c>
      <c r="V4" s="23" t="s">
        <v>787</v>
      </c>
      <c r="W4" s="14">
        <v>0</v>
      </c>
      <c r="X4" s="24">
        <f t="shared" ref="X4:X32" si="9">IFERROR(W4/D4,0)</f>
        <v>0</v>
      </c>
      <c r="Y4" s="25">
        <f t="shared" ref="Y4:Y32" si="10">IFERROR(G4/(W4+Z4)*-1,0)</f>
        <v>0</v>
      </c>
      <c r="Z4" s="14">
        <v>0</v>
      </c>
      <c r="AA4" s="2" t="s">
        <v>34</v>
      </c>
      <c r="AB4" s="26">
        <f t="shared" ref="AB4:AB32" si="11">IF(OR(AA4="UsLargeStandardSize",AA4="UsSmallStandardSize"),-0.69,-0.48)</f>
        <v>-0.69</v>
      </c>
      <c r="AC4" s="27">
        <v>0.12608506944444445</v>
      </c>
      <c r="AD4" s="25">
        <f t="shared" ref="AD4:AD32" si="12">IFERROR(AB4*AC4*D4*2,0)</f>
        <v>-1.043984375</v>
      </c>
      <c r="AE4" s="25">
        <v>-5.8</v>
      </c>
      <c r="AF4" s="25">
        <v>-11.136411025641026</v>
      </c>
      <c r="AG4" s="25">
        <v>0</v>
      </c>
    </row>
    <row r="5" spans="1:33" ht="15.75" customHeight="1" x14ac:dyDescent="0.2">
      <c r="A5" s="28" t="s">
        <v>35</v>
      </c>
      <c r="B5" s="28" t="s">
        <v>82</v>
      </c>
      <c r="C5" s="15">
        <f t="shared" si="4"/>
        <v>42.256428571428572</v>
      </c>
      <c r="D5" s="29">
        <v>14</v>
      </c>
      <c r="E5" s="29">
        <v>0</v>
      </c>
      <c r="F5" s="30">
        <v>591.59</v>
      </c>
      <c r="G5" s="30">
        <v>0</v>
      </c>
      <c r="H5" s="31">
        <f t="shared" si="1"/>
        <v>0</v>
      </c>
      <c r="I5" s="31">
        <f t="shared" si="2"/>
        <v>0.44507675827876286</v>
      </c>
      <c r="J5" s="32">
        <f t="shared" si="5"/>
        <v>263.30295943013334</v>
      </c>
      <c r="K5" s="32">
        <f t="shared" si="3"/>
        <v>18.807354245009524</v>
      </c>
      <c r="L5" s="29">
        <v>35</v>
      </c>
      <c r="M5" s="33">
        <f t="shared" si="6"/>
        <v>0.4</v>
      </c>
      <c r="N5" s="29">
        <v>50</v>
      </c>
      <c r="O5" s="34">
        <f t="shared" ref="O5:P5" si="13">D5/7</f>
        <v>2</v>
      </c>
      <c r="P5" s="34">
        <f t="shared" si="13"/>
        <v>0</v>
      </c>
      <c r="Q5" s="29">
        <f t="shared" si="8"/>
        <v>25</v>
      </c>
      <c r="R5" s="29"/>
      <c r="S5" s="35">
        <v>1.6036866359447</v>
      </c>
      <c r="T5" s="28">
        <v>250</v>
      </c>
      <c r="U5" s="36" t="s">
        <v>33</v>
      </c>
      <c r="V5" s="37" t="s">
        <v>788</v>
      </c>
      <c r="W5" s="28">
        <v>0</v>
      </c>
      <c r="X5" s="38">
        <f t="shared" si="9"/>
        <v>0</v>
      </c>
      <c r="Y5" s="39">
        <f t="shared" si="10"/>
        <v>0</v>
      </c>
      <c r="Z5" s="28">
        <v>0</v>
      </c>
      <c r="AA5" s="28" t="s">
        <v>34</v>
      </c>
      <c r="AB5" s="40">
        <f t="shared" si="11"/>
        <v>-0.69</v>
      </c>
      <c r="AC5" s="41">
        <v>0.12623117033603709</v>
      </c>
      <c r="AD5" s="39">
        <f t="shared" si="12"/>
        <v>-2.4387862108922365</v>
      </c>
      <c r="AE5" s="39">
        <v>-5.8</v>
      </c>
      <c r="AF5" s="39">
        <v>-11.136411025641026</v>
      </c>
      <c r="AG5" s="39">
        <v>0</v>
      </c>
    </row>
    <row r="6" spans="1:33" ht="15.75" customHeight="1" x14ac:dyDescent="0.2">
      <c r="A6" s="28" t="s">
        <v>37</v>
      </c>
      <c r="B6" s="28" t="s">
        <v>789</v>
      </c>
      <c r="C6" s="15">
        <f t="shared" si="4"/>
        <v>38.27204081632653</v>
      </c>
      <c r="D6" s="29">
        <v>49</v>
      </c>
      <c r="E6" s="29">
        <v>0</v>
      </c>
      <c r="F6" s="30">
        <v>1875.3300000000002</v>
      </c>
      <c r="G6" s="30">
        <v>0</v>
      </c>
      <c r="H6" s="31">
        <f t="shared" si="1"/>
        <v>0</v>
      </c>
      <c r="I6" s="31">
        <f t="shared" si="2"/>
        <v>0.40292667815678118</v>
      </c>
      <c r="J6" s="32">
        <f t="shared" si="5"/>
        <v>755.62048734775647</v>
      </c>
      <c r="K6" s="32">
        <f t="shared" si="3"/>
        <v>15.420826272403193</v>
      </c>
      <c r="L6" s="29">
        <v>43</v>
      </c>
      <c r="M6" s="33">
        <f t="shared" si="6"/>
        <v>1.1395348837209303</v>
      </c>
      <c r="N6" s="29">
        <v>13</v>
      </c>
      <c r="O6" s="34">
        <f t="shared" ref="O6:P6" si="14">D6/7</f>
        <v>7</v>
      </c>
      <c r="P6" s="34">
        <f t="shared" si="14"/>
        <v>0</v>
      </c>
      <c r="Q6" s="29">
        <f t="shared" si="8"/>
        <v>1</v>
      </c>
      <c r="R6" s="29"/>
      <c r="S6" s="35">
        <v>1.83182406209573</v>
      </c>
      <c r="T6" s="28" t="s">
        <v>33</v>
      </c>
      <c r="U6" s="36" t="s">
        <v>33</v>
      </c>
      <c r="V6" s="37" t="s">
        <v>33</v>
      </c>
      <c r="W6" s="28">
        <v>0</v>
      </c>
      <c r="X6" s="38">
        <f t="shared" si="9"/>
        <v>0</v>
      </c>
      <c r="Y6" s="39">
        <f t="shared" si="10"/>
        <v>0</v>
      </c>
      <c r="Z6" s="28">
        <v>0</v>
      </c>
      <c r="AA6" s="28" t="s">
        <v>34</v>
      </c>
      <c r="AB6" s="40">
        <f t="shared" si="11"/>
        <v>-0.69</v>
      </c>
      <c r="AC6" s="41">
        <v>0.12608506944444445</v>
      </c>
      <c r="AD6" s="39">
        <f t="shared" si="12"/>
        <v>-8.525872395833332</v>
      </c>
      <c r="AE6" s="39">
        <v>-5.8</v>
      </c>
      <c r="AF6" s="39">
        <v>-11.136411025641026</v>
      </c>
      <c r="AG6" s="39">
        <v>0</v>
      </c>
    </row>
    <row r="7" spans="1:33" ht="15.75" customHeight="1" x14ac:dyDescent="0.2">
      <c r="A7" s="28" t="s">
        <v>40</v>
      </c>
      <c r="B7" s="28" t="s">
        <v>789</v>
      </c>
      <c r="C7" s="15">
        <f t="shared" si="4"/>
        <v>38.032499999999999</v>
      </c>
      <c r="D7" s="29">
        <v>4</v>
      </c>
      <c r="E7" s="29">
        <v>0</v>
      </c>
      <c r="F7" s="30">
        <v>152.13</v>
      </c>
      <c r="G7" s="30">
        <v>0</v>
      </c>
      <c r="H7" s="31">
        <f t="shared" si="1"/>
        <v>0</v>
      </c>
      <c r="I7" s="31">
        <f t="shared" si="2"/>
        <v>0.4001108677716595</v>
      </c>
      <c r="J7" s="32">
        <f t="shared" si="5"/>
        <v>60.868866314102554</v>
      </c>
      <c r="K7" s="32">
        <f t="shared" si="3"/>
        <v>15.217216578525639</v>
      </c>
      <c r="L7" s="29">
        <v>11</v>
      </c>
      <c r="M7" s="33">
        <f t="shared" si="6"/>
        <v>0.36363636363636365</v>
      </c>
      <c r="N7" s="29">
        <v>0</v>
      </c>
      <c r="O7" s="34">
        <f t="shared" ref="O7:P7" si="15">D7/7</f>
        <v>0.5714285714285714</v>
      </c>
      <c r="P7" s="34">
        <f t="shared" si="15"/>
        <v>0</v>
      </c>
      <c r="Q7" s="29">
        <f t="shared" si="8"/>
        <v>0</v>
      </c>
      <c r="R7" s="29"/>
      <c r="S7" s="35">
        <v>2.1710914454277201</v>
      </c>
      <c r="T7" s="28" t="s">
        <v>33</v>
      </c>
      <c r="U7" s="36" t="s">
        <v>33</v>
      </c>
      <c r="V7" s="37" t="s">
        <v>33</v>
      </c>
      <c r="W7" s="28">
        <v>0</v>
      </c>
      <c r="X7" s="38">
        <f t="shared" si="9"/>
        <v>0</v>
      </c>
      <c r="Y7" s="39">
        <f t="shared" si="10"/>
        <v>0</v>
      </c>
      <c r="Z7" s="28">
        <v>0</v>
      </c>
      <c r="AA7" s="28" t="s">
        <v>34</v>
      </c>
      <c r="AB7" s="40">
        <f t="shared" si="11"/>
        <v>-0.69</v>
      </c>
      <c r="AC7" s="41">
        <v>0.12608506944444445</v>
      </c>
      <c r="AD7" s="39">
        <f t="shared" si="12"/>
        <v>-0.69598958333333327</v>
      </c>
      <c r="AE7" s="39">
        <v>-5.8</v>
      </c>
      <c r="AF7" s="39">
        <v>-11.136411025641026</v>
      </c>
      <c r="AG7" s="39">
        <v>0</v>
      </c>
    </row>
    <row r="8" spans="1:33" ht="15.75" customHeight="1" x14ac:dyDescent="0.2">
      <c r="A8" s="28" t="s">
        <v>42</v>
      </c>
      <c r="B8" s="28" t="s">
        <v>47</v>
      </c>
      <c r="C8" s="15" t="str">
        <f t="shared" si="4"/>
        <v xml:space="preserve"> - </v>
      </c>
      <c r="D8" s="29">
        <v>0</v>
      </c>
      <c r="E8" s="29">
        <v>0</v>
      </c>
      <c r="F8" s="30">
        <v>0</v>
      </c>
      <c r="G8" s="30">
        <v>0</v>
      </c>
      <c r="H8" s="31" t="e">
        <f t="shared" si="1"/>
        <v>#DIV/0!</v>
      </c>
      <c r="I8" s="31" t="e">
        <f t="shared" si="2"/>
        <v>#DIV/0!</v>
      </c>
      <c r="J8" s="32">
        <f t="shared" si="5"/>
        <v>0</v>
      </c>
      <c r="K8" s="32" t="e">
        <f t="shared" si="3"/>
        <v>#DIV/0!</v>
      </c>
      <c r="L8" s="29">
        <v>0</v>
      </c>
      <c r="M8" s="33" t="str">
        <f t="shared" si="6"/>
        <v>-</v>
      </c>
      <c r="N8" s="29">
        <v>1</v>
      </c>
      <c r="O8" s="34">
        <f t="shared" ref="O8:P8" si="16">D8/7</f>
        <v>0</v>
      </c>
      <c r="P8" s="34">
        <f t="shared" si="16"/>
        <v>0</v>
      </c>
      <c r="Q8" s="29" t="e">
        <f t="shared" si="8"/>
        <v>#DIV/0!</v>
      </c>
      <c r="R8" s="29"/>
      <c r="S8" s="35">
        <v>2.2350936967632</v>
      </c>
      <c r="T8" s="28" t="s">
        <v>33</v>
      </c>
      <c r="U8" s="36" t="s">
        <v>33</v>
      </c>
      <c r="V8" s="37" t="s">
        <v>790</v>
      </c>
      <c r="W8" s="28">
        <v>0</v>
      </c>
      <c r="X8" s="38">
        <f t="shared" si="9"/>
        <v>0</v>
      </c>
      <c r="Y8" s="39">
        <f t="shared" si="10"/>
        <v>0</v>
      </c>
      <c r="Z8" s="28">
        <v>0</v>
      </c>
      <c r="AA8" s="28" t="s">
        <v>34</v>
      </c>
      <c r="AB8" s="40">
        <f t="shared" si="11"/>
        <v>-0.69</v>
      </c>
      <c r="AC8" s="41">
        <v>0.12608506944444445</v>
      </c>
      <c r="AD8" s="39">
        <f t="shared" si="12"/>
        <v>0</v>
      </c>
      <c r="AE8" s="39">
        <v>-5.8</v>
      </c>
      <c r="AF8" s="39">
        <v>-11.14</v>
      </c>
      <c r="AG8" s="39">
        <v>0</v>
      </c>
    </row>
    <row r="9" spans="1:33" ht="15.75" customHeight="1" x14ac:dyDescent="0.2">
      <c r="A9" s="28" t="s">
        <v>44</v>
      </c>
      <c r="B9" s="28" t="s">
        <v>131</v>
      </c>
      <c r="C9" s="15">
        <f t="shared" si="4"/>
        <v>37.950000000000003</v>
      </c>
      <c r="D9" s="29">
        <v>1</v>
      </c>
      <c r="E9" s="29">
        <v>0</v>
      </c>
      <c r="F9" s="30">
        <v>37.950000000000003</v>
      </c>
      <c r="G9" s="30">
        <v>0</v>
      </c>
      <c r="H9" s="31">
        <f t="shared" si="1"/>
        <v>0</v>
      </c>
      <c r="I9" s="31">
        <f t="shared" si="2"/>
        <v>0.3878359322742494</v>
      </c>
      <c r="J9" s="32">
        <f t="shared" si="5"/>
        <v>14.718373629807767</v>
      </c>
      <c r="K9" s="32">
        <f t="shared" si="3"/>
        <v>14.718373629807767</v>
      </c>
      <c r="L9" s="29">
        <v>6</v>
      </c>
      <c r="M9" s="33">
        <f t="shared" si="6"/>
        <v>0.16666666666666666</v>
      </c>
      <c r="N9" s="29">
        <v>0</v>
      </c>
      <c r="O9" s="34">
        <f t="shared" ref="O9:P9" si="17">D9/7</f>
        <v>0.14285714285714285</v>
      </c>
      <c r="P9" s="34">
        <f t="shared" si="17"/>
        <v>0</v>
      </c>
      <c r="Q9" s="29">
        <f t="shared" si="8"/>
        <v>0</v>
      </c>
      <c r="R9" s="29"/>
      <c r="S9" s="35">
        <v>2.3002114164904799</v>
      </c>
      <c r="T9" s="28" t="s">
        <v>33</v>
      </c>
      <c r="U9" s="36" t="s">
        <v>33</v>
      </c>
      <c r="V9" s="37" t="s">
        <v>791</v>
      </c>
      <c r="W9" s="28">
        <v>0</v>
      </c>
      <c r="X9" s="38">
        <f t="shared" si="9"/>
        <v>0</v>
      </c>
      <c r="Y9" s="39">
        <f t="shared" si="10"/>
        <v>0</v>
      </c>
      <c r="Z9" s="28">
        <v>0</v>
      </c>
      <c r="AA9" s="28" t="s">
        <v>34</v>
      </c>
      <c r="AB9" s="40">
        <f t="shared" si="11"/>
        <v>-0.69</v>
      </c>
      <c r="AC9" s="41">
        <v>0.12608506944444445</v>
      </c>
      <c r="AD9" s="39">
        <f t="shared" si="12"/>
        <v>-0.17399739583333332</v>
      </c>
      <c r="AE9" s="39">
        <v>-5.8</v>
      </c>
      <c r="AF9" s="39">
        <v>-11.565128974358901</v>
      </c>
      <c r="AG9" s="39">
        <v>0</v>
      </c>
    </row>
    <row r="10" spans="1:33" ht="15.75" customHeight="1" x14ac:dyDescent="0.2">
      <c r="A10" s="28" t="s">
        <v>46</v>
      </c>
      <c r="B10" s="28" t="s">
        <v>792</v>
      </c>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251</v>
      </c>
      <c r="O10" s="34">
        <f t="shared" ref="O10:P10" si="18">D10/7</f>
        <v>0</v>
      </c>
      <c r="P10" s="34">
        <f t="shared" si="18"/>
        <v>0</v>
      </c>
      <c r="Q10" s="29" t="e">
        <f t="shared" si="8"/>
        <v>#DIV/0!</v>
      </c>
      <c r="R10" s="29"/>
      <c r="S10" s="35">
        <v>1.50237717908082</v>
      </c>
      <c r="T10" s="28">
        <v>750</v>
      </c>
      <c r="U10" s="36" t="s">
        <v>33</v>
      </c>
      <c r="V10" s="37" t="s">
        <v>33</v>
      </c>
      <c r="W10" s="28">
        <v>0</v>
      </c>
      <c r="X10" s="38">
        <f t="shared" si="9"/>
        <v>0</v>
      </c>
      <c r="Y10" s="39">
        <f t="shared" si="10"/>
        <v>0</v>
      </c>
      <c r="Z10" s="28">
        <v>0</v>
      </c>
      <c r="AA10" s="28" t="e">
        <v>#N/A</v>
      </c>
      <c r="AB10" s="40" t="e">
        <f t="shared" si="11"/>
        <v>#N/A</v>
      </c>
      <c r="AC10" s="41" t="e">
        <v>#N/A</v>
      </c>
      <c r="AD10" s="39">
        <f t="shared" si="12"/>
        <v>0</v>
      </c>
      <c r="AE10" s="39">
        <v>-5.8</v>
      </c>
      <c r="AF10" s="39">
        <v>-11.565128974358901</v>
      </c>
      <c r="AG10" s="39">
        <v>0</v>
      </c>
    </row>
    <row r="11" spans="1:33" ht="15.75" customHeight="1" x14ac:dyDescent="0.2">
      <c r="A11" s="28" t="s">
        <v>48</v>
      </c>
      <c r="B11" s="28" t="s">
        <v>47</v>
      </c>
      <c r="C11" s="15">
        <f t="shared" si="4"/>
        <v>34.893333333333338</v>
      </c>
      <c r="D11" s="29">
        <v>3</v>
      </c>
      <c r="E11" s="29">
        <v>0</v>
      </c>
      <c r="F11" s="30">
        <v>104.68</v>
      </c>
      <c r="G11" s="30">
        <v>0</v>
      </c>
      <c r="H11" s="31">
        <f t="shared" si="1"/>
        <v>0</v>
      </c>
      <c r="I11" s="31">
        <f t="shared" si="2"/>
        <v>0.34735021866090282</v>
      </c>
      <c r="J11" s="32">
        <f t="shared" si="5"/>
        <v>36.360620889423309</v>
      </c>
      <c r="K11" s="32">
        <f t="shared" si="3"/>
        <v>12.120206963141102</v>
      </c>
      <c r="L11" s="29">
        <v>15</v>
      </c>
      <c r="M11" s="33">
        <f t="shared" si="6"/>
        <v>0.2</v>
      </c>
      <c r="N11" s="29">
        <v>249</v>
      </c>
      <c r="O11" s="34">
        <f t="shared" ref="O11:P11" si="19">D11/7</f>
        <v>0.42857142857142855</v>
      </c>
      <c r="P11" s="34">
        <f t="shared" si="19"/>
        <v>0</v>
      </c>
      <c r="Q11" s="29">
        <f t="shared" si="8"/>
        <v>581</v>
      </c>
      <c r="R11" s="29"/>
      <c r="S11" s="35">
        <v>1.5317604355716801</v>
      </c>
      <c r="T11" s="28">
        <v>750</v>
      </c>
      <c r="U11" s="36" t="s">
        <v>33</v>
      </c>
      <c r="V11" s="37" t="s">
        <v>33</v>
      </c>
      <c r="W11" s="28">
        <v>0</v>
      </c>
      <c r="X11" s="38">
        <f t="shared" si="9"/>
        <v>0</v>
      </c>
      <c r="Y11" s="39">
        <f t="shared" si="10"/>
        <v>0</v>
      </c>
      <c r="Z11" s="28">
        <v>0</v>
      </c>
      <c r="AA11" s="28" t="s">
        <v>34</v>
      </c>
      <c r="AB11" s="40">
        <f t="shared" si="11"/>
        <v>-0.69</v>
      </c>
      <c r="AC11" s="41">
        <v>0.12608506944444445</v>
      </c>
      <c r="AD11" s="39">
        <f t="shared" si="12"/>
        <v>-0.52199218749999998</v>
      </c>
      <c r="AE11" s="39">
        <v>-5.8</v>
      </c>
      <c r="AF11" s="39">
        <v>-11.565128974358901</v>
      </c>
      <c r="AG11" s="39">
        <v>0</v>
      </c>
    </row>
    <row r="12" spans="1:33" ht="15.75" customHeight="1" x14ac:dyDescent="0.2">
      <c r="A12" s="28" t="s">
        <v>49</v>
      </c>
      <c r="B12" s="28" t="s">
        <v>793</v>
      </c>
      <c r="C12" s="15">
        <f t="shared" si="4"/>
        <v>28.263333333333332</v>
      </c>
      <c r="D12" s="29">
        <v>3</v>
      </c>
      <c r="E12" s="29">
        <v>0</v>
      </c>
      <c r="F12" s="30">
        <v>84.789999999999992</v>
      </c>
      <c r="G12" s="30">
        <v>0</v>
      </c>
      <c r="H12" s="31">
        <f t="shared" si="1"/>
        <v>0</v>
      </c>
      <c r="I12" s="31">
        <f t="shared" si="2"/>
        <v>0.22943885941058245</v>
      </c>
      <c r="J12" s="32">
        <f t="shared" si="5"/>
        <v>19.454120889423283</v>
      </c>
      <c r="K12" s="32">
        <f t="shared" si="3"/>
        <v>6.4847069631410941</v>
      </c>
      <c r="L12" s="29">
        <v>22</v>
      </c>
      <c r="M12" s="33">
        <f t="shared" si="6"/>
        <v>0.13636363636363635</v>
      </c>
      <c r="N12" s="29">
        <v>186</v>
      </c>
      <c r="O12" s="34">
        <f t="shared" ref="O12:P12" si="20">D12/7</f>
        <v>0.42857142857142855</v>
      </c>
      <c r="P12" s="34">
        <f t="shared" si="20"/>
        <v>0</v>
      </c>
      <c r="Q12" s="29">
        <f t="shared" si="8"/>
        <v>434</v>
      </c>
      <c r="R12" s="29"/>
      <c r="S12" s="35">
        <v>1.6419213973799101</v>
      </c>
      <c r="T12" s="28">
        <v>750</v>
      </c>
      <c r="U12" s="36" t="s">
        <v>33</v>
      </c>
      <c r="V12" s="37" t="s">
        <v>33</v>
      </c>
      <c r="W12" s="28">
        <v>0</v>
      </c>
      <c r="X12" s="38">
        <f t="shared" si="9"/>
        <v>0</v>
      </c>
      <c r="Y12" s="39">
        <f t="shared" si="10"/>
        <v>0</v>
      </c>
      <c r="Z12" s="28">
        <v>0</v>
      </c>
      <c r="AA12" s="28" t="s">
        <v>34</v>
      </c>
      <c r="AB12" s="40">
        <f t="shared" si="11"/>
        <v>-0.69</v>
      </c>
      <c r="AC12" s="41">
        <v>0.12608506944444445</v>
      </c>
      <c r="AD12" s="39">
        <f t="shared" si="12"/>
        <v>-0.52199218749999998</v>
      </c>
      <c r="AE12" s="39">
        <v>-5.8</v>
      </c>
      <c r="AF12" s="39">
        <v>-11.565128974358901</v>
      </c>
      <c r="AG12" s="39">
        <v>0</v>
      </c>
    </row>
    <row r="13" spans="1:33" ht="15.75" customHeight="1" x14ac:dyDescent="0.2">
      <c r="A13" s="28" t="s">
        <v>50</v>
      </c>
      <c r="B13" s="28" t="s">
        <v>794</v>
      </c>
      <c r="C13" s="15">
        <f t="shared" si="4"/>
        <v>25.189444444444447</v>
      </c>
      <c r="D13" s="29">
        <v>36</v>
      </c>
      <c r="E13" s="29">
        <v>0</v>
      </c>
      <c r="F13" s="32">
        <v>906.82000000000016</v>
      </c>
      <c r="G13" s="30">
        <v>0</v>
      </c>
      <c r="H13" s="31">
        <f t="shared" si="1"/>
        <v>0</v>
      </c>
      <c r="I13" s="31">
        <f t="shared" si="2"/>
        <v>0.14475350538144302</v>
      </c>
      <c r="J13" s="32">
        <f t="shared" si="5"/>
        <v>131.26537375000018</v>
      </c>
      <c r="K13" s="32">
        <f t="shared" si="3"/>
        <v>3.6462603819444492</v>
      </c>
      <c r="L13" s="29">
        <v>23</v>
      </c>
      <c r="M13" s="33">
        <f t="shared" si="6"/>
        <v>1.5652173913043479</v>
      </c>
      <c r="N13" s="29">
        <v>188</v>
      </c>
      <c r="O13" s="34">
        <f t="shared" ref="O13:P13" si="21">D13/7</f>
        <v>5.1428571428571432</v>
      </c>
      <c r="P13" s="34">
        <f t="shared" si="21"/>
        <v>0</v>
      </c>
      <c r="Q13" s="29">
        <f t="shared" si="8"/>
        <v>36</v>
      </c>
      <c r="R13" s="29"/>
      <c r="S13" s="35">
        <v>1.61643835616438</v>
      </c>
      <c r="T13" s="28">
        <v>750</v>
      </c>
      <c r="U13" s="36" t="s">
        <v>33</v>
      </c>
      <c r="V13" s="37" t="s">
        <v>33</v>
      </c>
      <c r="W13" s="28">
        <v>0</v>
      </c>
      <c r="X13" s="38">
        <f t="shared" si="9"/>
        <v>0</v>
      </c>
      <c r="Y13" s="39">
        <f t="shared" si="10"/>
        <v>0</v>
      </c>
      <c r="Z13" s="28">
        <v>0</v>
      </c>
      <c r="AA13" s="28" t="s">
        <v>34</v>
      </c>
      <c r="AB13" s="40">
        <f t="shared" si="11"/>
        <v>-0.69</v>
      </c>
      <c r="AC13" s="41">
        <v>0.12608506944444445</v>
      </c>
      <c r="AD13" s="39">
        <f t="shared" si="12"/>
        <v>-6.2639062499999998</v>
      </c>
      <c r="AE13" s="39">
        <v>-5.8</v>
      </c>
      <c r="AF13" s="39">
        <v>-11.79077</v>
      </c>
      <c r="AG13" s="39">
        <v>0</v>
      </c>
    </row>
    <row r="14" spans="1:33" ht="15.75" customHeight="1" x14ac:dyDescent="0.2">
      <c r="A14" s="28" t="s">
        <v>51</v>
      </c>
      <c r="B14" s="28" t="s">
        <v>47</v>
      </c>
      <c r="C14" s="15">
        <f t="shared" si="4"/>
        <v>27.844999999999995</v>
      </c>
      <c r="D14" s="29">
        <v>26</v>
      </c>
      <c r="E14" s="29">
        <v>1</v>
      </c>
      <c r="F14" s="32">
        <v>723.96999999999991</v>
      </c>
      <c r="G14" s="30">
        <v>0</v>
      </c>
      <c r="H14" s="31">
        <f t="shared" si="1"/>
        <v>0</v>
      </c>
      <c r="I14" s="31">
        <f t="shared" si="2"/>
        <v>0.21201230397438192</v>
      </c>
      <c r="J14" s="32">
        <f t="shared" si="5"/>
        <v>153.49054770833325</v>
      </c>
      <c r="K14" s="32">
        <f t="shared" si="3"/>
        <v>5.9034826041666637</v>
      </c>
      <c r="L14" s="29">
        <v>56</v>
      </c>
      <c r="M14" s="33">
        <f t="shared" si="6"/>
        <v>0.4642857142857143</v>
      </c>
      <c r="N14" s="29">
        <v>171</v>
      </c>
      <c r="O14" s="34">
        <f t="shared" ref="O14:P14" si="22">D14/7</f>
        <v>3.7142857142857144</v>
      </c>
      <c r="P14" s="34">
        <f t="shared" si="22"/>
        <v>0.14285714285714285</v>
      </c>
      <c r="Q14" s="29">
        <f t="shared" si="8"/>
        <v>44</v>
      </c>
      <c r="R14" s="29"/>
      <c r="S14" s="35">
        <v>1.88679245283018</v>
      </c>
      <c r="T14" s="28">
        <v>1750</v>
      </c>
      <c r="U14" s="36" t="s">
        <v>33</v>
      </c>
      <c r="V14" s="37" t="s">
        <v>33</v>
      </c>
      <c r="W14" s="28">
        <v>0</v>
      </c>
      <c r="X14" s="38">
        <f t="shared" si="9"/>
        <v>0</v>
      </c>
      <c r="Y14" s="39">
        <f t="shared" si="10"/>
        <v>0</v>
      </c>
      <c r="Z14" s="28">
        <v>0</v>
      </c>
      <c r="AA14" s="28" t="s">
        <v>34</v>
      </c>
      <c r="AB14" s="40">
        <f t="shared" si="11"/>
        <v>-0.69</v>
      </c>
      <c r="AC14" s="41">
        <v>0.12608506944444445</v>
      </c>
      <c r="AD14" s="39">
        <f t="shared" si="12"/>
        <v>-4.5239322916666662</v>
      </c>
      <c r="AE14" s="39">
        <v>-5.8</v>
      </c>
      <c r="AF14" s="39">
        <v>-11.79077</v>
      </c>
      <c r="AG14" s="39">
        <v>0</v>
      </c>
    </row>
    <row r="15" spans="1:33" ht="15.75" customHeight="1" x14ac:dyDescent="0.2">
      <c r="A15" s="28" t="s">
        <v>53</v>
      </c>
      <c r="B15" s="28" t="s">
        <v>47</v>
      </c>
      <c r="C15" s="15">
        <f t="shared" si="4"/>
        <v>27.95</v>
      </c>
      <c r="D15" s="29">
        <v>27</v>
      </c>
      <c r="E15" s="29">
        <v>1</v>
      </c>
      <c r="F15" s="32">
        <v>754.65</v>
      </c>
      <c r="G15" s="30">
        <v>-0.03</v>
      </c>
      <c r="H15" s="31">
        <f t="shared" si="1"/>
        <v>3.9753528125621147E-5</v>
      </c>
      <c r="I15" s="31">
        <f t="shared" si="2"/>
        <v>0.21436928418803419</v>
      </c>
      <c r="J15" s="32">
        <f t="shared" si="5"/>
        <v>161.77378031250001</v>
      </c>
      <c r="K15" s="32">
        <f t="shared" si="3"/>
        <v>5.9916214930555558</v>
      </c>
      <c r="L15" s="29">
        <v>52</v>
      </c>
      <c r="M15" s="33">
        <f t="shared" si="6"/>
        <v>0.51923076923076927</v>
      </c>
      <c r="N15" s="29">
        <v>146</v>
      </c>
      <c r="O15" s="34">
        <f t="shared" ref="O15:P15" si="23">D15/7</f>
        <v>3.8571428571428572</v>
      </c>
      <c r="P15" s="34">
        <f t="shared" si="23"/>
        <v>0.14285714285714285</v>
      </c>
      <c r="Q15" s="29">
        <f t="shared" si="8"/>
        <v>36</v>
      </c>
      <c r="R15" s="29"/>
      <c r="S15" s="35">
        <v>1.3387423935091201</v>
      </c>
      <c r="T15" s="28">
        <v>1750</v>
      </c>
      <c r="U15" s="36" t="s">
        <v>33</v>
      </c>
      <c r="V15" s="37" t="s">
        <v>33</v>
      </c>
      <c r="W15" s="28">
        <v>0</v>
      </c>
      <c r="X15" s="38">
        <f t="shared" si="9"/>
        <v>0</v>
      </c>
      <c r="Y15" s="39">
        <f t="shared" si="10"/>
        <v>0</v>
      </c>
      <c r="Z15" s="28">
        <v>0</v>
      </c>
      <c r="AA15" s="28" t="s">
        <v>34</v>
      </c>
      <c r="AB15" s="40">
        <f t="shared" si="11"/>
        <v>-0.69</v>
      </c>
      <c r="AC15" s="41">
        <v>0.12608506944444445</v>
      </c>
      <c r="AD15" s="39">
        <f t="shared" si="12"/>
        <v>-4.6979296874999994</v>
      </c>
      <c r="AE15" s="39">
        <v>-5.8</v>
      </c>
      <c r="AF15" s="39">
        <v>-11.79077</v>
      </c>
      <c r="AG15" s="39">
        <v>0</v>
      </c>
    </row>
    <row r="16" spans="1:33" ht="15.75" customHeight="1" x14ac:dyDescent="0.2">
      <c r="A16" s="28" t="s">
        <v>54</v>
      </c>
      <c r="B16" s="28" t="s">
        <v>795</v>
      </c>
      <c r="C16" s="15">
        <f t="shared" si="4"/>
        <v>28.011333333333347</v>
      </c>
      <c r="D16" s="29">
        <v>30</v>
      </c>
      <c r="E16" s="29">
        <v>1</v>
      </c>
      <c r="F16" s="32">
        <v>840.34000000000037</v>
      </c>
      <c r="G16" s="30">
        <v>-0.05</v>
      </c>
      <c r="H16" s="31">
        <f t="shared" si="1"/>
        <v>5.9499726301258991E-5</v>
      </c>
      <c r="I16" s="31">
        <f t="shared" si="2"/>
        <v>0.21574122155913117</v>
      </c>
      <c r="J16" s="32">
        <f t="shared" si="5"/>
        <v>181.29597812500037</v>
      </c>
      <c r="K16" s="32">
        <f t="shared" si="3"/>
        <v>6.0431992708333455</v>
      </c>
      <c r="L16" s="29">
        <v>58</v>
      </c>
      <c r="M16" s="33">
        <f t="shared" si="6"/>
        <v>0.51724137931034486</v>
      </c>
      <c r="N16" s="29">
        <v>117</v>
      </c>
      <c r="O16" s="34">
        <f t="shared" ref="O16:P16" si="24">D16/7</f>
        <v>4.2857142857142856</v>
      </c>
      <c r="P16" s="34">
        <f t="shared" si="24"/>
        <v>0.14285714285714285</v>
      </c>
      <c r="Q16" s="29">
        <f t="shared" si="8"/>
        <v>26</v>
      </c>
      <c r="R16" s="29"/>
      <c r="S16" s="35">
        <v>1.7556561085972799</v>
      </c>
      <c r="T16" s="28">
        <v>1750</v>
      </c>
      <c r="U16" s="36" t="s">
        <v>33</v>
      </c>
      <c r="V16" s="37" t="s">
        <v>33</v>
      </c>
      <c r="W16" s="28">
        <v>0</v>
      </c>
      <c r="X16" s="38">
        <f t="shared" si="9"/>
        <v>0</v>
      </c>
      <c r="Y16" s="39">
        <f t="shared" si="10"/>
        <v>0</v>
      </c>
      <c r="Z16" s="28">
        <v>0</v>
      </c>
      <c r="AA16" s="28" t="s">
        <v>34</v>
      </c>
      <c r="AB16" s="40">
        <f t="shared" si="11"/>
        <v>-0.69</v>
      </c>
      <c r="AC16" s="41">
        <v>0.12608506944444445</v>
      </c>
      <c r="AD16" s="39">
        <f t="shared" si="12"/>
        <v>-5.2199218749999998</v>
      </c>
      <c r="AE16" s="39">
        <v>-5.8</v>
      </c>
      <c r="AF16" s="39">
        <v>-11.79077</v>
      </c>
      <c r="AG16" s="39">
        <v>0</v>
      </c>
    </row>
    <row r="17" spans="1:33" ht="15.75" customHeight="1" x14ac:dyDescent="0.2">
      <c r="A17" s="28" t="s">
        <v>55</v>
      </c>
      <c r="B17" s="28" t="s">
        <v>47</v>
      </c>
      <c r="C17" s="15">
        <f t="shared" si="4"/>
        <v>29.541052631578946</v>
      </c>
      <c r="D17" s="29">
        <v>19</v>
      </c>
      <c r="E17" s="29">
        <v>1</v>
      </c>
      <c r="F17" s="32">
        <v>561.28</v>
      </c>
      <c r="G17" s="30">
        <v>0</v>
      </c>
      <c r="H17" s="31">
        <f t="shared" si="1"/>
        <v>0</v>
      </c>
      <c r="I17" s="31">
        <f t="shared" si="2"/>
        <v>0.25642035967639448</v>
      </c>
      <c r="J17" s="32">
        <f t="shared" si="5"/>
        <v>143.92361947916669</v>
      </c>
      <c r="K17" s="32">
        <f t="shared" si="3"/>
        <v>7.574927341008773</v>
      </c>
      <c r="L17" s="29">
        <v>51</v>
      </c>
      <c r="M17" s="33">
        <f t="shared" si="6"/>
        <v>0.37254901960784315</v>
      </c>
      <c r="N17" s="29">
        <v>105</v>
      </c>
      <c r="O17" s="34">
        <f t="shared" ref="O17:P17" si="25">D17/7</f>
        <v>2.7142857142857144</v>
      </c>
      <c r="P17" s="34">
        <f t="shared" si="25"/>
        <v>0.14285714285714285</v>
      </c>
      <c r="Q17" s="29">
        <f t="shared" si="8"/>
        <v>36</v>
      </c>
      <c r="R17" s="29"/>
      <c r="S17" s="35">
        <v>2.17525773195876</v>
      </c>
      <c r="T17" s="28">
        <v>2750</v>
      </c>
      <c r="U17" s="36" t="s">
        <v>33</v>
      </c>
      <c r="V17" s="37" t="s">
        <v>33</v>
      </c>
      <c r="W17" s="28">
        <v>0</v>
      </c>
      <c r="X17" s="38">
        <f t="shared" si="9"/>
        <v>0</v>
      </c>
      <c r="Y17" s="39">
        <f t="shared" si="10"/>
        <v>0</v>
      </c>
      <c r="Z17" s="28">
        <v>0</v>
      </c>
      <c r="AA17" s="28" t="s">
        <v>34</v>
      </c>
      <c r="AB17" s="40">
        <f t="shared" si="11"/>
        <v>-0.69</v>
      </c>
      <c r="AC17" s="41">
        <v>0.12608506944444445</v>
      </c>
      <c r="AD17" s="39">
        <f t="shared" si="12"/>
        <v>-3.3059505208333331</v>
      </c>
      <c r="AE17" s="39">
        <v>-5.8</v>
      </c>
      <c r="AF17" s="39">
        <v>-11.560969999999999</v>
      </c>
      <c r="AG17" s="39">
        <v>0</v>
      </c>
    </row>
    <row r="18" spans="1:33" ht="15.75" customHeight="1" x14ac:dyDescent="0.2">
      <c r="A18" s="28" t="s">
        <v>56</v>
      </c>
      <c r="B18" s="28" t="s">
        <v>796</v>
      </c>
      <c r="C18" s="15">
        <f t="shared" si="4"/>
        <v>29.162075471698117</v>
      </c>
      <c r="D18" s="29">
        <v>106</v>
      </c>
      <c r="E18" s="29">
        <v>2</v>
      </c>
      <c r="F18" s="32">
        <v>3091.1800000000003</v>
      </c>
      <c r="G18" s="30">
        <v>0</v>
      </c>
      <c r="H18" s="31">
        <f t="shared" si="1"/>
        <v>0</v>
      </c>
      <c r="I18" s="31">
        <f t="shared" si="2"/>
        <v>0.24870646679962566</v>
      </c>
      <c r="J18" s="32">
        <f t="shared" si="5"/>
        <v>768.79645604166694</v>
      </c>
      <c r="K18" s="32">
        <f t="shared" si="3"/>
        <v>7.2527967551100652</v>
      </c>
      <c r="L18" s="29">
        <v>39</v>
      </c>
      <c r="M18" s="33">
        <f t="shared" si="6"/>
        <v>2.7179487179487181</v>
      </c>
      <c r="N18" s="29">
        <v>3</v>
      </c>
      <c r="O18" s="34">
        <f t="shared" ref="O18:P18" si="26">D18/7</f>
        <v>15.142857142857142</v>
      </c>
      <c r="P18" s="34">
        <f t="shared" si="26"/>
        <v>0.2857142857142857</v>
      </c>
      <c r="Q18" s="29">
        <f t="shared" si="8"/>
        <v>0</v>
      </c>
      <c r="R18" s="29"/>
      <c r="S18" s="35">
        <v>4.6007905138339904</v>
      </c>
      <c r="T18" s="28">
        <v>4250</v>
      </c>
      <c r="U18" s="36">
        <v>750</v>
      </c>
      <c r="V18" s="37" t="s">
        <v>797</v>
      </c>
      <c r="W18" s="28">
        <v>0</v>
      </c>
      <c r="X18" s="38">
        <f t="shared" si="9"/>
        <v>0</v>
      </c>
      <c r="Y18" s="39">
        <f t="shared" si="10"/>
        <v>0</v>
      </c>
      <c r="Z18" s="28">
        <v>0</v>
      </c>
      <c r="AA18" s="28" t="s">
        <v>34</v>
      </c>
      <c r="AB18" s="40">
        <f t="shared" si="11"/>
        <v>-0.69</v>
      </c>
      <c r="AC18" s="41">
        <v>0.12608506944444445</v>
      </c>
      <c r="AD18" s="39">
        <f t="shared" si="12"/>
        <v>-18.443723958333333</v>
      </c>
      <c r="AE18" s="39">
        <v>-5.8</v>
      </c>
      <c r="AF18" s="39">
        <v>-11.560969999999999</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v>2.4388185654008399</v>
      </c>
      <c r="T19" s="28">
        <v>4250</v>
      </c>
      <c r="U19" s="36">
        <v>750</v>
      </c>
      <c r="V19" s="37" t="s">
        <v>798</v>
      </c>
      <c r="W19" s="28">
        <v>0</v>
      </c>
      <c r="X19" s="38">
        <f t="shared" si="9"/>
        <v>0</v>
      </c>
      <c r="Y19" s="39">
        <f t="shared" si="10"/>
        <v>0</v>
      </c>
      <c r="Z19" s="28">
        <v>0</v>
      </c>
      <c r="AA19" s="28" t="e">
        <v>#N/A</v>
      </c>
      <c r="AB19" s="40" t="e">
        <f t="shared" si="11"/>
        <v>#N/A</v>
      </c>
      <c r="AC19" s="41" t="e">
        <v>#N/A</v>
      </c>
      <c r="AD19" s="39">
        <f t="shared" si="12"/>
        <v>0</v>
      </c>
      <c r="AE19" s="39">
        <v>0</v>
      </c>
      <c r="AF19" s="39">
        <v>-11.560970000000001</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v>2.5316455696202498</v>
      </c>
      <c r="T20" s="28">
        <v>4250</v>
      </c>
      <c r="U20" s="36">
        <v>750</v>
      </c>
      <c r="V20" s="37" t="s">
        <v>799</v>
      </c>
      <c r="W20" s="28">
        <v>0</v>
      </c>
      <c r="X20" s="38">
        <f t="shared" si="9"/>
        <v>0</v>
      </c>
      <c r="Y20" s="39">
        <f t="shared" si="10"/>
        <v>0</v>
      </c>
      <c r="Z20" s="28">
        <v>0</v>
      </c>
      <c r="AA20" s="28" t="e">
        <v>#N/A</v>
      </c>
      <c r="AB20" s="40" t="e">
        <f t="shared" si="11"/>
        <v>#N/A</v>
      </c>
      <c r="AC20" s="41" t="e">
        <v>#N/A</v>
      </c>
      <c r="AD20" s="39">
        <f t="shared" si="12"/>
        <v>0</v>
      </c>
      <c r="AE20" s="39">
        <v>0</v>
      </c>
      <c r="AF20" s="39">
        <v>-11.560970000000001</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v>3.13479623824451</v>
      </c>
      <c r="T21" s="28">
        <v>4250</v>
      </c>
      <c r="U21" s="36">
        <v>750</v>
      </c>
      <c r="V21" s="37" t="s">
        <v>800</v>
      </c>
      <c r="W21" s="28">
        <v>0</v>
      </c>
      <c r="X21" s="38">
        <f t="shared" si="9"/>
        <v>0</v>
      </c>
      <c r="Y21" s="39">
        <f t="shared" si="10"/>
        <v>0</v>
      </c>
      <c r="Z21" s="28">
        <v>0</v>
      </c>
      <c r="AA21" s="28" t="e">
        <v>#N/A</v>
      </c>
      <c r="AB21" s="40" t="e">
        <f t="shared" si="11"/>
        <v>#N/A</v>
      </c>
      <c r="AC21" s="41" t="e">
        <v>#N/A</v>
      </c>
      <c r="AD21" s="39">
        <f t="shared" si="12"/>
        <v>0</v>
      </c>
      <c r="AE21" s="39">
        <v>0</v>
      </c>
      <c r="AF21" s="39">
        <v>-11.560970000000001</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v>4.0161290322580596</v>
      </c>
      <c r="T22" s="28">
        <v>4250</v>
      </c>
      <c r="U22" s="36">
        <v>750</v>
      </c>
      <c r="V22" s="37" t="s">
        <v>801</v>
      </c>
      <c r="W22" s="28">
        <v>0</v>
      </c>
      <c r="X22" s="38">
        <f t="shared" si="9"/>
        <v>0</v>
      </c>
      <c r="Y22" s="39">
        <f t="shared" si="10"/>
        <v>0</v>
      </c>
      <c r="Z22" s="28">
        <v>0</v>
      </c>
      <c r="AA22" s="28" t="e">
        <v>#N/A</v>
      </c>
      <c r="AB22" s="40" t="e">
        <f t="shared" si="11"/>
        <v>#N/A</v>
      </c>
      <c r="AC22" s="41" t="e">
        <v>#N/A</v>
      </c>
      <c r="AD22" s="39">
        <f t="shared" si="12"/>
        <v>0</v>
      </c>
      <c r="AE22" s="39">
        <v>0</v>
      </c>
      <c r="AF22" s="39">
        <v>-11.560970000000001</v>
      </c>
      <c r="AG22" s="39">
        <v>0</v>
      </c>
    </row>
    <row r="23" spans="1:33" ht="15.75" customHeight="1" x14ac:dyDescent="0.2">
      <c r="A23" s="28" t="s">
        <v>62</v>
      </c>
      <c r="B23" s="28"/>
      <c r="C23" s="15">
        <f t="shared" si="4"/>
        <v>31.32</v>
      </c>
      <c r="D23" s="29">
        <v>1</v>
      </c>
      <c r="E23" s="29">
        <v>0</v>
      </c>
      <c r="F23" s="32">
        <v>31.32</v>
      </c>
      <c r="G23" s="30">
        <v>0</v>
      </c>
      <c r="H23" s="31">
        <f t="shared" si="1"/>
        <v>0</v>
      </c>
      <c r="I23" s="31">
        <f t="shared" si="2"/>
        <v>0.29013514061834816</v>
      </c>
      <c r="J23" s="32">
        <f t="shared" si="5"/>
        <v>9.087032604166664</v>
      </c>
      <c r="K23" s="32">
        <f t="shared" si="3"/>
        <v>9.087032604166664</v>
      </c>
      <c r="L23" s="29">
        <v>15</v>
      </c>
      <c r="M23" s="33">
        <f t="shared" si="6"/>
        <v>6.6666666666666666E-2</v>
      </c>
      <c r="N23" s="29">
        <v>0</v>
      </c>
      <c r="O23" s="34">
        <f t="shared" ref="O23:P23" si="31">D23/7</f>
        <v>0.14285714285714285</v>
      </c>
      <c r="P23" s="34">
        <f t="shared" si="31"/>
        <v>0</v>
      </c>
      <c r="Q23" s="29">
        <f t="shared" si="8"/>
        <v>0</v>
      </c>
      <c r="R23" s="29"/>
      <c r="S23" s="35">
        <v>5.3763440860214997</v>
      </c>
      <c r="T23" s="28">
        <v>4250</v>
      </c>
      <c r="U23" s="36">
        <v>750</v>
      </c>
      <c r="V23" s="37" t="s">
        <v>802</v>
      </c>
      <c r="W23" s="28">
        <v>0</v>
      </c>
      <c r="X23" s="38">
        <f t="shared" si="9"/>
        <v>0</v>
      </c>
      <c r="Y23" s="39">
        <f t="shared" si="10"/>
        <v>0</v>
      </c>
      <c r="Z23" s="28">
        <v>0</v>
      </c>
      <c r="AA23" s="28" t="s">
        <v>34</v>
      </c>
      <c r="AB23" s="40">
        <f t="shared" si="11"/>
        <v>-0.69</v>
      </c>
      <c r="AC23" s="41">
        <v>0.12608506944444445</v>
      </c>
      <c r="AD23" s="39">
        <f t="shared" si="12"/>
        <v>-0.17399739583333332</v>
      </c>
      <c r="AE23" s="39">
        <v>-5.8</v>
      </c>
      <c r="AF23" s="39">
        <v>-11.560970000000001</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v>2.4292682926829201</v>
      </c>
      <c r="T24" s="28">
        <v>4250</v>
      </c>
      <c r="U24" s="36">
        <v>750</v>
      </c>
      <c r="V24" s="37" t="s">
        <v>800</v>
      </c>
      <c r="W24" s="28">
        <v>0</v>
      </c>
      <c r="X24" s="38">
        <f t="shared" si="9"/>
        <v>0</v>
      </c>
      <c r="Y24" s="39">
        <f t="shared" si="10"/>
        <v>0</v>
      </c>
      <c r="Z24" s="28">
        <v>0</v>
      </c>
      <c r="AA24" s="28" t="s">
        <v>34</v>
      </c>
      <c r="AB24" s="40">
        <f t="shared" si="11"/>
        <v>-0.69</v>
      </c>
      <c r="AC24" s="41">
        <v>0.12608506944444445</v>
      </c>
      <c r="AD24" s="39">
        <f t="shared" si="12"/>
        <v>0</v>
      </c>
      <c r="AE24" s="39">
        <v>-5.8</v>
      </c>
      <c r="AF24" s="39">
        <v>-11.560970000000001</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3.161290322580645</v>
      </c>
      <c r="T25" s="28">
        <v>4250</v>
      </c>
      <c r="U25" s="36">
        <v>750</v>
      </c>
      <c r="V25" s="37" t="s">
        <v>803</v>
      </c>
      <c r="W25" s="14">
        <v>0</v>
      </c>
      <c r="X25" s="38">
        <f t="shared" si="9"/>
        <v>0</v>
      </c>
      <c r="Y25" s="39">
        <f t="shared" si="10"/>
        <v>0</v>
      </c>
      <c r="Z25" s="14">
        <v>0</v>
      </c>
      <c r="AA25" s="28" t="s">
        <v>34</v>
      </c>
      <c r="AB25" s="40">
        <f t="shared" si="11"/>
        <v>-0.69</v>
      </c>
      <c r="AC25" s="41">
        <v>0.12608506944444445</v>
      </c>
      <c r="AD25" s="39">
        <f t="shared" si="12"/>
        <v>0</v>
      </c>
      <c r="AE25" s="39">
        <v>-5.8</v>
      </c>
      <c r="AF25" s="39">
        <v>-11.56</v>
      </c>
      <c r="AG25" s="39">
        <v>0</v>
      </c>
    </row>
    <row r="26" spans="1:33" ht="15.75" customHeight="1" x14ac:dyDescent="0.2">
      <c r="A26" s="14" t="s">
        <v>67</v>
      </c>
      <c r="B26" s="28" t="s">
        <v>804</v>
      </c>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2.849840255591054</v>
      </c>
      <c r="T26" s="28">
        <v>3500</v>
      </c>
      <c r="U26" s="36" t="s">
        <v>33</v>
      </c>
      <c r="V26" s="37" t="s">
        <v>33</v>
      </c>
      <c r="W26" s="14">
        <v>0</v>
      </c>
      <c r="X26" s="38">
        <f t="shared" si="9"/>
        <v>0</v>
      </c>
      <c r="Y26" s="39">
        <f t="shared" si="10"/>
        <v>0</v>
      </c>
      <c r="Z26" s="14">
        <v>0</v>
      </c>
      <c r="AA26" s="28" t="s">
        <v>34</v>
      </c>
      <c r="AB26" s="40">
        <f t="shared" si="11"/>
        <v>-0.69</v>
      </c>
      <c r="AC26" s="41">
        <v>0.12608506944444445</v>
      </c>
      <c r="AD26" s="39">
        <f t="shared" si="12"/>
        <v>0</v>
      </c>
      <c r="AE26" s="25">
        <v>-5.8</v>
      </c>
      <c r="AF26" s="25">
        <v>-12.139018500000001</v>
      </c>
      <c r="AG26" s="25">
        <v>0</v>
      </c>
    </row>
    <row r="27" spans="1:33" ht="15.75" customHeight="1" x14ac:dyDescent="0.2">
      <c r="A27" s="14" t="s">
        <v>69</v>
      </c>
      <c r="B27" s="14" t="s">
        <v>370</v>
      </c>
      <c r="C27" s="15">
        <f t="shared" si="4"/>
        <v>29.99</v>
      </c>
      <c r="D27" s="16">
        <v>3</v>
      </c>
      <c r="E27" s="16">
        <v>0</v>
      </c>
      <c r="F27" s="17">
        <v>89.97</v>
      </c>
      <c r="G27" s="17">
        <v>0</v>
      </c>
      <c r="H27" s="31">
        <f t="shared" si="1"/>
        <v>0</v>
      </c>
      <c r="I27" s="31">
        <f t="shared" si="2"/>
        <v>0.24002947996554391</v>
      </c>
      <c r="J27" s="32">
        <f t="shared" si="5"/>
        <v>21.595452312499987</v>
      </c>
      <c r="K27" s="32">
        <f t="shared" si="3"/>
        <v>7.1984841041666625</v>
      </c>
      <c r="L27" s="16">
        <v>7</v>
      </c>
      <c r="M27" s="33">
        <f t="shared" si="6"/>
        <v>0.42857142857142855</v>
      </c>
      <c r="N27" s="16">
        <v>740</v>
      </c>
      <c r="O27" s="34">
        <f t="shared" ref="O27:P27" si="35">D27/7</f>
        <v>0.42857142857142855</v>
      </c>
      <c r="P27" s="34">
        <f t="shared" si="35"/>
        <v>0</v>
      </c>
      <c r="Q27" s="29">
        <f t="shared" si="8"/>
        <v>1726</v>
      </c>
      <c r="R27" s="29"/>
      <c r="S27" s="21">
        <v>0.80947255113024763</v>
      </c>
      <c r="T27" s="28">
        <v>3500</v>
      </c>
      <c r="U27" s="36" t="s">
        <v>33</v>
      </c>
      <c r="V27" s="37" t="s">
        <v>33</v>
      </c>
      <c r="W27" s="14">
        <v>0</v>
      </c>
      <c r="X27" s="38">
        <f t="shared" si="9"/>
        <v>0</v>
      </c>
      <c r="Y27" s="39">
        <f t="shared" si="10"/>
        <v>0</v>
      </c>
      <c r="Z27" s="14">
        <v>0</v>
      </c>
      <c r="AA27" s="28" t="s">
        <v>34</v>
      </c>
      <c r="AB27" s="40">
        <f t="shared" si="11"/>
        <v>-0.69</v>
      </c>
      <c r="AC27" s="41">
        <v>0.12608506944444445</v>
      </c>
      <c r="AD27" s="39">
        <f t="shared" si="12"/>
        <v>-0.52199218749999998</v>
      </c>
      <c r="AE27" s="25">
        <v>-5.98</v>
      </c>
      <c r="AF27" s="25">
        <v>-12.139018500000001</v>
      </c>
      <c r="AG27" s="25">
        <v>0</v>
      </c>
    </row>
    <row r="28" spans="1:33" ht="15.75" customHeight="1" x14ac:dyDescent="0.2">
      <c r="A28" s="14" t="s">
        <v>71</v>
      </c>
      <c r="B28" s="14" t="s">
        <v>116</v>
      </c>
      <c r="C28" s="15">
        <f t="shared" si="4"/>
        <v>29.99</v>
      </c>
      <c r="D28" s="16">
        <v>6</v>
      </c>
      <c r="E28" s="16">
        <v>0</v>
      </c>
      <c r="F28" s="17">
        <v>179.94</v>
      </c>
      <c r="G28" s="17">
        <v>0</v>
      </c>
      <c r="H28" s="31">
        <f t="shared" si="1"/>
        <v>0</v>
      </c>
      <c r="I28" s="31">
        <f t="shared" si="2"/>
        <v>0.24002947996554391</v>
      </c>
      <c r="J28" s="32">
        <f t="shared" si="5"/>
        <v>43.190904624999973</v>
      </c>
      <c r="K28" s="32">
        <f t="shared" si="3"/>
        <v>7.1984841041666625</v>
      </c>
      <c r="L28" s="16">
        <v>28</v>
      </c>
      <c r="M28" s="33">
        <f t="shared" si="6"/>
        <v>0.21428571428571427</v>
      </c>
      <c r="N28" s="16">
        <v>737</v>
      </c>
      <c r="O28" s="34">
        <f t="shared" ref="O28:P28" si="36">D28/7</f>
        <v>0.8571428571428571</v>
      </c>
      <c r="P28" s="34">
        <f t="shared" si="36"/>
        <v>0</v>
      </c>
      <c r="Q28" s="29">
        <f t="shared" si="8"/>
        <v>859</v>
      </c>
      <c r="R28" s="29"/>
      <c r="S28" s="21">
        <v>0.76718403547671843</v>
      </c>
      <c r="T28" s="28">
        <v>3500</v>
      </c>
      <c r="U28" s="36" t="s">
        <v>33</v>
      </c>
      <c r="V28" s="37" t="s">
        <v>33</v>
      </c>
      <c r="W28" s="14">
        <v>0</v>
      </c>
      <c r="X28" s="38">
        <f t="shared" si="9"/>
        <v>0</v>
      </c>
      <c r="Y28" s="39">
        <f t="shared" si="10"/>
        <v>0</v>
      </c>
      <c r="Z28" s="14">
        <v>0</v>
      </c>
      <c r="AA28" s="28" t="s">
        <v>34</v>
      </c>
      <c r="AB28" s="40">
        <f t="shared" si="11"/>
        <v>-0.69</v>
      </c>
      <c r="AC28" s="41">
        <v>0.12608506944444445</v>
      </c>
      <c r="AD28" s="39">
        <f t="shared" si="12"/>
        <v>-1.043984375</v>
      </c>
      <c r="AE28" s="25">
        <v>-5.98</v>
      </c>
      <c r="AF28" s="25">
        <v>-12.139018500000001</v>
      </c>
      <c r="AG28" s="25">
        <v>0</v>
      </c>
    </row>
    <row r="29" spans="1:33" ht="15.75" customHeight="1" x14ac:dyDescent="0.2">
      <c r="A29" s="28" t="s">
        <v>72</v>
      </c>
      <c r="B29" s="28" t="s">
        <v>805</v>
      </c>
      <c r="C29" s="15">
        <f t="shared" si="4"/>
        <v>29.99</v>
      </c>
      <c r="D29" s="29">
        <v>4</v>
      </c>
      <c r="E29" s="29">
        <v>0</v>
      </c>
      <c r="F29" s="32">
        <v>119.96</v>
      </c>
      <c r="G29" s="32">
        <v>0</v>
      </c>
      <c r="H29" s="31">
        <f t="shared" si="1"/>
        <v>0</v>
      </c>
      <c r="I29" s="31">
        <f t="shared" si="2"/>
        <v>0.240029479965544</v>
      </c>
      <c r="J29" s="32">
        <f t="shared" si="5"/>
        <v>28.793936416666657</v>
      </c>
      <c r="K29" s="32">
        <f t="shared" si="3"/>
        <v>7.1984841041666643</v>
      </c>
      <c r="L29" s="29">
        <v>26</v>
      </c>
      <c r="M29" s="33">
        <f t="shared" si="6"/>
        <v>0.15384615384615385</v>
      </c>
      <c r="N29" s="16">
        <v>729</v>
      </c>
      <c r="O29" s="34">
        <f t="shared" ref="O29:P29" si="37">D29/7</f>
        <v>0.5714285714285714</v>
      </c>
      <c r="P29" s="34">
        <f t="shared" si="37"/>
        <v>0</v>
      </c>
      <c r="Q29" s="29">
        <f t="shared" si="8"/>
        <v>1275</v>
      </c>
      <c r="R29" s="29"/>
      <c r="S29" s="21">
        <v>0.67363530778164926</v>
      </c>
      <c r="T29" s="28">
        <v>3500</v>
      </c>
      <c r="U29" s="36" t="s">
        <v>33</v>
      </c>
      <c r="V29" s="37" t="s">
        <v>33</v>
      </c>
      <c r="W29" s="14">
        <v>0</v>
      </c>
      <c r="X29" s="38">
        <f t="shared" si="9"/>
        <v>0</v>
      </c>
      <c r="Y29" s="39">
        <f t="shared" si="10"/>
        <v>0</v>
      </c>
      <c r="Z29" s="14">
        <v>0</v>
      </c>
      <c r="AA29" s="28" t="s">
        <v>34</v>
      </c>
      <c r="AB29" s="40">
        <f t="shared" si="11"/>
        <v>-0.69</v>
      </c>
      <c r="AC29" s="41">
        <v>0.12608506944444445</v>
      </c>
      <c r="AD29" s="39">
        <f t="shared" si="12"/>
        <v>-0.69598958333333327</v>
      </c>
      <c r="AE29" s="39">
        <v>-5.98</v>
      </c>
      <c r="AF29" s="25">
        <v>-12.139018500000001</v>
      </c>
      <c r="AG29" s="39">
        <v>0</v>
      </c>
    </row>
    <row r="30" spans="1:33" ht="15.75" customHeight="1" x14ac:dyDescent="0.2">
      <c r="A30" s="14" t="s">
        <v>74</v>
      </c>
      <c r="B30" s="14" t="s">
        <v>806</v>
      </c>
      <c r="C30" s="15">
        <f t="shared" si="4"/>
        <v>28.704285714285714</v>
      </c>
      <c r="D30" s="16">
        <v>14</v>
      </c>
      <c r="E30" s="16">
        <v>1</v>
      </c>
      <c r="F30" s="17">
        <v>401.86</v>
      </c>
      <c r="G30" s="17">
        <v>0</v>
      </c>
      <c r="H30" s="31">
        <f t="shared" si="1"/>
        <v>0</v>
      </c>
      <c r="I30" s="31">
        <f t="shared" si="2"/>
        <v>0.2622509015104349</v>
      </c>
      <c r="J30" s="32">
        <f t="shared" si="5"/>
        <v>105.38814728098336</v>
      </c>
      <c r="K30" s="32">
        <f t="shared" si="3"/>
        <v>7.5277248057845254</v>
      </c>
      <c r="L30" s="16">
        <v>12</v>
      </c>
      <c r="M30" s="33">
        <f t="shared" si="6"/>
        <v>1.1666666666666667</v>
      </c>
      <c r="N30" s="16">
        <v>665</v>
      </c>
      <c r="O30" s="34">
        <f t="shared" ref="O30:P30" si="38">D30/7</f>
        <v>2</v>
      </c>
      <c r="P30" s="34">
        <f t="shared" si="38"/>
        <v>0.14285714285714285</v>
      </c>
      <c r="Q30" s="29">
        <f t="shared" si="8"/>
        <v>310</v>
      </c>
      <c r="R30" s="29"/>
      <c r="S30" s="21">
        <v>0.64775413711583929</v>
      </c>
      <c r="T30" s="28">
        <v>3500</v>
      </c>
      <c r="U30" s="36" t="s">
        <v>33</v>
      </c>
      <c r="V30" s="37" t="s">
        <v>33</v>
      </c>
      <c r="W30" s="14">
        <v>0</v>
      </c>
      <c r="X30" s="38">
        <f t="shared" si="9"/>
        <v>0</v>
      </c>
      <c r="Y30" s="39">
        <f t="shared" si="10"/>
        <v>0</v>
      </c>
      <c r="Z30" s="14">
        <v>0</v>
      </c>
      <c r="AA30" s="28" t="s">
        <v>34</v>
      </c>
      <c r="AB30" s="40">
        <f t="shared" si="11"/>
        <v>-0.69</v>
      </c>
      <c r="AC30" s="41">
        <v>0.12608506944444445</v>
      </c>
      <c r="AD30" s="39">
        <f t="shared" si="12"/>
        <v>-2.4359635416666663</v>
      </c>
      <c r="AE30" s="25">
        <v>-5.98</v>
      </c>
      <c r="AF30" s="25">
        <v>-10.716920655525</v>
      </c>
      <c r="AG30" s="25">
        <v>0</v>
      </c>
    </row>
    <row r="31" spans="1:33" ht="15.75" customHeight="1" x14ac:dyDescent="0.2">
      <c r="A31" s="14" t="s">
        <v>75</v>
      </c>
      <c r="B31" s="48" t="s">
        <v>807</v>
      </c>
      <c r="C31" s="15">
        <f t="shared" si="4"/>
        <v>26.990000000000006</v>
      </c>
      <c r="D31" s="16">
        <v>30</v>
      </c>
      <c r="E31" s="16">
        <v>0</v>
      </c>
      <c r="F31" s="17">
        <v>809.70000000000016</v>
      </c>
      <c r="G31" s="42">
        <v>-16.78</v>
      </c>
      <c r="H31" s="31">
        <f t="shared" si="1"/>
        <v>2.0723724836359144E-2</v>
      </c>
      <c r="I31" s="31">
        <f t="shared" si="2"/>
        <v>0.20419594721409171</v>
      </c>
      <c r="J31" s="32">
        <f t="shared" si="5"/>
        <v>165.33745845925009</v>
      </c>
      <c r="K31" s="32">
        <f t="shared" si="3"/>
        <v>5.511248615308336</v>
      </c>
      <c r="L31" s="16">
        <v>32</v>
      </c>
      <c r="M31" s="33">
        <f t="shared" si="6"/>
        <v>0.9375</v>
      </c>
      <c r="N31" s="16">
        <v>638</v>
      </c>
      <c r="O31" s="34">
        <f t="shared" ref="O31:P32" si="39">D31/7</f>
        <v>4.2857142857142856</v>
      </c>
      <c r="P31" s="34">
        <f t="shared" si="39"/>
        <v>0</v>
      </c>
      <c r="Q31" s="29">
        <f t="shared" si="8"/>
        <v>148</v>
      </c>
      <c r="R31" s="29"/>
      <c r="S31" s="21">
        <v>0.167714884696016</v>
      </c>
      <c r="T31" s="14" t="s">
        <v>33</v>
      </c>
      <c r="U31" s="22" t="s">
        <v>33</v>
      </c>
      <c r="V31" s="1" t="s">
        <v>940</v>
      </c>
      <c r="W31" s="14">
        <v>6</v>
      </c>
      <c r="X31" s="38">
        <f t="shared" si="9"/>
        <v>0.2</v>
      </c>
      <c r="Y31" s="39">
        <f t="shared" si="10"/>
        <v>2.7966666666666669</v>
      </c>
      <c r="Z31" s="14">
        <v>0</v>
      </c>
      <c r="AA31" s="14" t="s">
        <v>34</v>
      </c>
      <c r="AB31" s="40">
        <f t="shared" si="11"/>
        <v>-0.69</v>
      </c>
      <c r="AC31" s="27">
        <v>0.12608506944444445</v>
      </c>
      <c r="AD31" s="39">
        <f t="shared" si="12"/>
        <v>-5.2199218749999998</v>
      </c>
      <c r="AE31" s="43">
        <v>-5.98</v>
      </c>
      <c r="AF31" s="43">
        <v>-10.716920655525001</v>
      </c>
      <c r="AG31" s="25">
        <v>0</v>
      </c>
    </row>
    <row r="32" spans="1:33" s="51" customFormat="1" ht="15.75" customHeight="1" x14ac:dyDescent="0.2">
      <c r="A32" s="51" t="s">
        <v>934</v>
      </c>
      <c r="C32" s="15">
        <f t="shared" si="4"/>
        <v>27.53142857142857</v>
      </c>
      <c r="D32" s="52">
        <v>21</v>
      </c>
      <c r="E32" s="52">
        <v>0</v>
      </c>
      <c r="F32" s="53">
        <v>578.16</v>
      </c>
      <c r="G32" s="53">
        <v>-41.33</v>
      </c>
      <c r="H32" s="31">
        <f t="shared" si="1"/>
        <v>7.148540196485402E-2</v>
      </c>
      <c r="I32" s="31">
        <f t="shared" si="2"/>
        <v>0.16572699758107615</v>
      </c>
      <c r="J32" s="32">
        <f t="shared" si="5"/>
        <v>95.816720921474982</v>
      </c>
      <c r="K32" s="32">
        <f t="shared" si="3"/>
        <v>4.5627009962607135</v>
      </c>
      <c r="L32" s="52">
        <v>54</v>
      </c>
      <c r="M32" s="33">
        <f t="shared" si="6"/>
        <v>0.3888888888888889</v>
      </c>
      <c r="N32" s="52">
        <v>614</v>
      </c>
      <c r="O32" s="34">
        <f t="shared" si="39"/>
        <v>3</v>
      </c>
      <c r="P32" s="34">
        <f t="shared" si="39"/>
        <v>0</v>
      </c>
      <c r="Q32" s="29">
        <f t="shared" si="8"/>
        <v>204</v>
      </c>
      <c r="R32" s="29" t="str">
        <f ca="1">IFERROR(VLOOKUP($B$2,IMPORTRANGE("https://docs.google.com/spreadsheets/d/1KiWZV1ko8G7lnRucBRBd29jj3Be6ltMfljMDqzOkQmI/edit#gid=1381463014","Lookup!A:F"),6,FALSE),"")</f>
        <v/>
      </c>
      <c r="S32" s="54">
        <v>0.24322344322344319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4</v>
      </c>
      <c r="X32" s="38">
        <f t="shared" si="9"/>
        <v>0.19047619047619047</v>
      </c>
      <c r="Y32" s="39">
        <f t="shared" si="10"/>
        <v>10.3325</v>
      </c>
      <c r="Z32" s="51">
        <v>0</v>
      </c>
      <c r="AA32" s="51" t="s">
        <v>34</v>
      </c>
      <c r="AB32" s="40">
        <f t="shared" si="11"/>
        <v>-0.69</v>
      </c>
      <c r="AC32" s="57">
        <v>0.12608506944444445</v>
      </c>
      <c r="AD32" s="39">
        <f t="shared" si="12"/>
        <v>-3.6539453124999999</v>
      </c>
      <c r="AE32" s="58">
        <v>-5.98</v>
      </c>
      <c r="AF32" s="58">
        <v>-10.716920655525</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11.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Info!B1:BJ5000""),3,FALSE),"""")"),"6 Outlet Heavy Duty Surge Protector Power Strip - Black and Yellow Metal Surge Protector with 9 Foot Extension Cord")</f>
        <v>6 Outlet Heavy Duty Surge Protector Power Strip - Black and Yellow Metal Surge Protector with 9 Foot Extension Cord</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Info!B1:BJ5000""),2,FALSE),"""")"),"B082DJG14D")</f>
        <v>B082DJG14D</v>
      </c>
      <c r="B2" s="3" t="s">
        <v>808</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4" customHeight="1" x14ac:dyDescent="0.2">
      <c r="A3" s="76" t="s">
        <v>30</v>
      </c>
      <c r="B3" s="77"/>
      <c r="C3" s="47">
        <f>((AE32+AF32)/0.85)*-1</f>
        <v>13.582528953430142</v>
      </c>
      <c r="D3" s="5">
        <f>SUM(D4:D99765)</f>
        <v>20</v>
      </c>
      <c r="E3" s="5"/>
      <c r="F3" s="6">
        <f t="shared" ref="F3:G3" si="0">SUM(F4:F99765)</f>
        <v>418.8</v>
      </c>
      <c r="G3" s="6">
        <f t="shared" si="0"/>
        <v>-15.44</v>
      </c>
      <c r="H3" s="7">
        <f t="shared" ref="H3:H32" si="1">G3/F3*-1</f>
        <v>3.6867239732569244E-2</v>
      </c>
      <c r="I3" s="8">
        <f t="shared" ref="I3:I32" si="2">J3/F3</f>
        <v>0.23556076454479638</v>
      </c>
      <c r="J3" s="6">
        <f>SUM(J4:J99765)</f>
        <v>98.652848191360732</v>
      </c>
      <c r="K3" s="6">
        <f t="shared" ref="K3:K32" si="3">J3/D3</f>
        <v>4.9326424095680368</v>
      </c>
      <c r="L3" s="5"/>
      <c r="M3" s="9"/>
      <c r="N3" s="10"/>
      <c r="O3" s="5" t="str">
        <f ca="1">IFERROR(__xludf.DUMMYFUNCTION("IFERROR(VLOOKUP(B2,IMPORTRANGE(""https://docs.google.com/spreadsheets/d/1N8jvpEHDVkurDv7NrPxwI3eH6hQsvtb1QltGNCalRjU/edit#gid=865736387"",""Compiled Sheet!a1:g5000""),2,FALSE),"""")"),"1 - March
2 - April
2 - May
2 - June
2 - July
2 - Aug
2 - Sept
2 - Oct
2 - Nov
2 - Dec
2.5 - Jan
2 - Feb")</f>
        <v>1 - March
2 - April
2 - May
2 - June
2 - July
2 - Aug
2 - Sept
2 - Oct
2 - Nov
2 - Dec
2.5 - Jan
2 -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v>
      </c>
      <c r="X3" s="7">
        <f>W3/D3</f>
        <v>0.05</v>
      </c>
      <c r="Y3" s="6"/>
      <c r="Z3" s="5"/>
      <c r="AA3" s="5"/>
      <c r="AB3" s="5"/>
      <c r="AC3" s="5"/>
      <c r="AD3" s="6">
        <f>SUM(AD4:AD99765)</f>
        <v>-2.2080000000000002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Info!B2:BZ7000""),37,FALSE)),"""")*-1"),-6.59514961041562)</f>
        <v>-6.5951496104156204</v>
      </c>
      <c r="AG3" s="6">
        <f>SUM(AG4:AG99765)</f>
        <v>0</v>
      </c>
    </row>
    <row r="4" spans="1:33" ht="15.75" customHeight="1" x14ac:dyDescent="0.2">
      <c r="A4" s="14" t="s">
        <v>31</v>
      </c>
      <c r="B4" s="14" t="s">
        <v>129</v>
      </c>
      <c r="C4" s="15" t="str">
        <f t="shared" ref="C4:C32" si="4">IFERROR(F4/D4," - ")</f>
        <v xml:space="preserve"> - </v>
      </c>
      <c r="D4" s="16">
        <v>0</v>
      </c>
      <c r="E4" s="16">
        <v>0</v>
      </c>
      <c r="F4" s="17">
        <v>0</v>
      </c>
      <c r="G4" s="17">
        <v>0</v>
      </c>
      <c r="H4" s="18" t="e">
        <f t="shared" si="1"/>
        <v>#DIV/0!</v>
      </c>
      <c r="I4" s="18" t="e">
        <f t="shared" si="2"/>
        <v>#DIV/0!</v>
      </c>
      <c r="J4" s="17">
        <f t="shared" ref="J4:J32" si="5">F4*0.85+G4+AF4*D4+D4*AE4+AG4+AD4</f>
        <v>0</v>
      </c>
      <c r="K4" s="17" t="e">
        <f t="shared" si="3"/>
        <v>#DIV/0!</v>
      </c>
      <c r="L4" s="16">
        <v>0</v>
      </c>
      <c r="M4" s="19" t="str">
        <f t="shared" ref="M4:M32" si="6">IFERROR(D4/L4,"-")</f>
        <v>-</v>
      </c>
      <c r="N4" s="16">
        <v>1</v>
      </c>
      <c r="O4" s="20">
        <f t="shared" ref="O4:P4" si="7">D4/7</f>
        <v>0</v>
      </c>
      <c r="P4" s="20">
        <f t="shared" si="7"/>
        <v>0</v>
      </c>
      <c r="Q4" s="16" t="e">
        <f t="shared" ref="Q4:Q32" si="8">ROUNDDOWN(N4/(O4+P4),0)</f>
        <v>#DIV/0!</v>
      </c>
      <c r="R4" s="16"/>
      <c r="S4" s="21" t="e">
        <v>#N/A</v>
      </c>
      <c r="T4" s="14">
        <v>0</v>
      </c>
      <c r="U4" s="22" t="s">
        <v>33</v>
      </c>
      <c r="V4" s="23" t="s">
        <v>33</v>
      </c>
      <c r="W4" s="14">
        <v>0</v>
      </c>
      <c r="X4" s="24">
        <f t="shared" ref="X4:X32" si="9">IFERROR(W4/D4,0)</f>
        <v>0</v>
      </c>
      <c r="Y4" s="25">
        <f t="shared" ref="Y4:Y32" si="10">IFERROR(G4/(W4+Z4)*-1,0)</f>
        <v>0</v>
      </c>
      <c r="Z4" s="14">
        <v>0</v>
      </c>
      <c r="AA4" s="2" t="e">
        <v>#N/A</v>
      </c>
      <c r="AB4" s="26" t="e">
        <f t="shared" ref="AB4:AB32" si="11">IF(OR(AA4="UsLargeStandardSize",AA4="UsSmallStandardSize"),-0.69,-0.48)</f>
        <v>#N/A</v>
      </c>
      <c r="AC4" s="27" t="e">
        <v>#N/A</v>
      </c>
      <c r="AD4" s="25">
        <f t="shared" ref="AD4:AD32" si="12">IFERROR(AB4*AC4*D4*2,0)</f>
        <v>0</v>
      </c>
      <c r="AE4" s="25">
        <v>0</v>
      </c>
      <c r="AF4" s="25">
        <v>-7.2105655128205131</v>
      </c>
      <c r="AG4" s="25">
        <v>0</v>
      </c>
    </row>
    <row r="5" spans="1:33" ht="15.75" customHeight="1" x14ac:dyDescent="0.2">
      <c r="A5" s="28" t="s">
        <v>35</v>
      </c>
      <c r="B5" s="28" t="s">
        <v>789</v>
      </c>
      <c r="C5" s="15" t="str">
        <f t="shared" si="4"/>
        <v xml:space="preserve"> - </v>
      </c>
      <c r="D5" s="29">
        <v>0</v>
      </c>
      <c r="E5" s="29">
        <v>0</v>
      </c>
      <c r="F5" s="30">
        <v>0</v>
      </c>
      <c r="G5" s="30">
        <v>0</v>
      </c>
      <c r="H5" s="31" t="e">
        <f t="shared" si="1"/>
        <v>#DIV/0!</v>
      </c>
      <c r="I5" s="31" t="e">
        <f t="shared" si="2"/>
        <v>#DIV/0!</v>
      </c>
      <c r="J5" s="32">
        <f t="shared" si="5"/>
        <v>0</v>
      </c>
      <c r="K5" s="32" t="e">
        <f t="shared" si="3"/>
        <v>#DIV/0!</v>
      </c>
      <c r="L5" s="29">
        <v>0</v>
      </c>
      <c r="M5" s="33" t="str">
        <f t="shared" si="6"/>
        <v>-</v>
      </c>
      <c r="N5" s="29">
        <v>1</v>
      </c>
      <c r="O5" s="34">
        <f t="shared" ref="O5:P5" si="13">D5/7</f>
        <v>0</v>
      </c>
      <c r="P5" s="34">
        <f t="shared" si="13"/>
        <v>0</v>
      </c>
      <c r="Q5" s="29" t="e">
        <f t="shared" si="8"/>
        <v>#DIV/0!</v>
      </c>
      <c r="R5" s="29"/>
      <c r="S5" s="35" t="e">
        <v>#N/A</v>
      </c>
      <c r="T5" s="28">
        <v>0</v>
      </c>
      <c r="U5" s="36" t="s">
        <v>33</v>
      </c>
      <c r="V5" s="37" t="s">
        <v>33</v>
      </c>
      <c r="W5" s="28">
        <v>0</v>
      </c>
      <c r="X5" s="38">
        <f t="shared" si="9"/>
        <v>0</v>
      </c>
      <c r="Y5" s="39">
        <f t="shared" si="10"/>
        <v>0</v>
      </c>
      <c r="Z5" s="28">
        <v>0</v>
      </c>
      <c r="AA5" s="28" t="e">
        <v>#N/A</v>
      </c>
      <c r="AB5" s="40" t="e">
        <f t="shared" si="11"/>
        <v>#N/A</v>
      </c>
      <c r="AC5" s="41" t="e">
        <v>#N/A</v>
      </c>
      <c r="AD5" s="39">
        <f t="shared" si="12"/>
        <v>0</v>
      </c>
      <c r="AE5" s="39">
        <v>0</v>
      </c>
      <c r="AF5" s="39">
        <v>-7.2105655128205131</v>
      </c>
      <c r="AG5" s="39">
        <v>0</v>
      </c>
    </row>
    <row r="6" spans="1:33" ht="15.75" customHeight="1" x14ac:dyDescent="0.2">
      <c r="A6" s="28" t="s">
        <v>37</v>
      </c>
      <c r="B6" s="28" t="s">
        <v>809</v>
      </c>
      <c r="C6" s="15" t="str">
        <f t="shared" si="4"/>
        <v xml:space="preserve"> - </v>
      </c>
      <c r="D6" s="29">
        <v>0</v>
      </c>
      <c r="E6" s="29">
        <v>0</v>
      </c>
      <c r="F6" s="30">
        <v>0</v>
      </c>
      <c r="G6" s="30">
        <v>0</v>
      </c>
      <c r="H6" s="31" t="e">
        <f t="shared" si="1"/>
        <v>#DIV/0!</v>
      </c>
      <c r="I6" s="31" t="e">
        <f t="shared" si="2"/>
        <v>#DIV/0!</v>
      </c>
      <c r="J6" s="32">
        <f t="shared" si="5"/>
        <v>0</v>
      </c>
      <c r="K6" s="32" t="e">
        <f t="shared" si="3"/>
        <v>#DIV/0!</v>
      </c>
      <c r="L6" s="29">
        <v>0</v>
      </c>
      <c r="M6" s="33" t="str">
        <f t="shared" si="6"/>
        <v>-</v>
      </c>
      <c r="N6" s="29">
        <v>2</v>
      </c>
      <c r="O6" s="34">
        <f t="shared" ref="O6:P6" si="14">D6/7</f>
        <v>0</v>
      </c>
      <c r="P6" s="34">
        <f t="shared" si="14"/>
        <v>0</v>
      </c>
      <c r="Q6" s="29" t="e">
        <f t="shared" si="8"/>
        <v>#DIV/0!</v>
      </c>
      <c r="R6" s="29"/>
      <c r="S6" s="35">
        <v>3.5078125</v>
      </c>
      <c r="T6" s="28" t="s">
        <v>33</v>
      </c>
      <c r="U6" s="36" t="s">
        <v>33</v>
      </c>
      <c r="V6" s="37" t="s">
        <v>33</v>
      </c>
      <c r="W6" s="28">
        <v>0</v>
      </c>
      <c r="X6" s="38">
        <f t="shared" si="9"/>
        <v>0</v>
      </c>
      <c r="Y6" s="39">
        <f t="shared" si="10"/>
        <v>0</v>
      </c>
      <c r="Z6" s="28">
        <v>0</v>
      </c>
      <c r="AA6" s="28" t="e">
        <v>#N/A</v>
      </c>
      <c r="AB6" s="40" t="e">
        <f t="shared" si="11"/>
        <v>#N/A</v>
      </c>
      <c r="AC6" s="41" t="e">
        <v>#N/A</v>
      </c>
      <c r="AD6" s="39">
        <f t="shared" si="12"/>
        <v>0</v>
      </c>
      <c r="AE6" s="39">
        <v>0</v>
      </c>
      <c r="AF6" s="39">
        <v>-7.2105655128205131</v>
      </c>
      <c r="AG6" s="39">
        <v>0</v>
      </c>
    </row>
    <row r="7" spans="1:33" ht="15.75" customHeight="1" x14ac:dyDescent="0.2">
      <c r="A7" s="28" t="s">
        <v>40</v>
      </c>
      <c r="B7" s="28" t="s">
        <v>789</v>
      </c>
      <c r="C7" s="15">
        <f t="shared" si="4"/>
        <v>25.99</v>
      </c>
      <c r="D7" s="29">
        <v>1</v>
      </c>
      <c r="E7" s="29">
        <v>0</v>
      </c>
      <c r="F7" s="30">
        <v>25.99</v>
      </c>
      <c r="G7" s="30">
        <v>0</v>
      </c>
      <c r="H7" s="31">
        <f t="shared" si="1"/>
        <v>0</v>
      </c>
      <c r="I7" s="31">
        <f t="shared" si="2"/>
        <v>0.35977431655173087</v>
      </c>
      <c r="J7" s="32">
        <f t="shared" si="5"/>
        <v>9.350534487179484</v>
      </c>
      <c r="K7" s="32">
        <f t="shared" si="3"/>
        <v>9.350534487179484</v>
      </c>
      <c r="L7" s="29">
        <v>17</v>
      </c>
      <c r="M7" s="33">
        <f t="shared" si="6"/>
        <v>5.8823529411764705E-2</v>
      </c>
      <c r="N7" s="29">
        <v>1</v>
      </c>
      <c r="O7" s="34">
        <f t="shared" ref="O7:P7" si="15">D7/7</f>
        <v>0.14285714285714285</v>
      </c>
      <c r="P7" s="34">
        <f t="shared" si="15"/>
        <v>0</v>
      </c>
      <c r="Q7" s="29">
        <f t="shared" si="8"/>
        <v>7</v>
      </c>
      <c r="R7" s="29"/>
      <c r="S7" s="35" t="e">
        <v>#N/A</v>
      </c>
      <c r="T7" s="28" t="s">
        <v>33</v>
      </c>
      <c r="U7" s="36" t="s">
        <v>33</v>
      </c>
      <c r="V7" s="37" t="s">
        <v>33</v>
      </c>
      <c r="W7" s="28">
        <v>0</v>
      </c>
      <c r="X7" s="38">
        <f t="shared" si="9"/>
        <v>0</v>
      </c>
      <c r="Y7" s="39">
        <f t="shared" si="10"/>
        <v>0</v>
      </c>
      <c r="Z7" s="28">
        <v>0</v>
      </c>
      <c r="AA7" s="28" t="s">
        <v>34</v>
      </c>
      <c r="AB7" s="40">
        <f t="shared" si="11"/>
        <v>-0.69</v>
      </c>
      <c r="AC7" s="41">
        <v>0.08</v>
      </c>
      <c r="AD7" s="39">
        <f t="shared" si="12"/>
        <v>-0.1104</v>
      </c>
      <c r="AE7" s="39">
        <v>-5.42</v>
      </c>
      <c r="AF7" s="39">
        <v>-7.2105655128205131</v>
      </c>
      <c r="AG7" s="39">
        <v>0</v>
      </c>
    </row>
    <row r="8" spans="1:33" ht="15.75" customHeight="1" x14ac:dyDescent="0.2">
      <c r="A8" s="28" t="s">
        <v>42</v>
      </c>
      <c r="B8" s="28" t="s">
        <v>810</v>
      </c>
      <c r="C8" s="15" t="str">
        <f t="shared" si="4"/>
        <v xml:space="preserve"> - </v>
      </c>
      <c r="D8" s="29">
        <v>0</v>
      </c>
      <c r="E8" s="29">
        <v>0</v>
      </c>
      <c r="F8" s="30">
        <v>0</v>
      </c>
      <c r="G8" s="30">
        <v>0</v>
      </c>
      <c r="H8" s="31" t="e">
        <f t="shared" si="1"/>
        <v>#DIV/0!</v>
      </c>
      <c r="I8" s="31" t="e">
        <f t="shared" si="2"/>
        <v>#DIV/0!</v>
      </c>
      <c r="J8" s="32">
        <f t="shared" si="5"/>
        <v>0</v>
      </c>
      <c r="K8" s="32" t="e">
        <f t="shared" si="3"/>
        <v>#DIV/0!</v>
      </c>
      <c r="L8" s="29">
        <v>0</v>
      </c>
      <c r="M8" s="33" t="str">
        <f t="shared" si="6"/>
        <v>-</v>
      </c>
      <c r="N8" s="29">
        <v>1</v>
      </c>
      <c r="O8" s="34">
        <f t="shared" ref="O8:P8" si="16">D8/7</f>
        <v>0</v>
      </c>
      <c r="P8" s="34">
        <f t="shared" si="16"/>
        <v>0</v>
      </c>
      <c r="Q8" s="29" t="e">
        <f t="shared" si="8"/>
        <v>#DIV/0!</v>
      </c>
      <c r="R8" s="29"/>
      <c r="S8" s="35" t="e">
        <v>#N/A</v>
      </c>
      <c r="T8" s="28" t="s">
        <v>33</v>
      </c>
      <c r="U8" s="36" t="s">
        <v>33</v>
      </c>
      <c r="V8" s="37" t="s">
        <v>33</v>
      </c>
      <c r="W8" s="28">
        <v>0</v>
      </c>
      <c r="X8" s="38">
        <f t="shared" si="9"/>
        <v>0</v>
      </c>
      <c r="Y8" s="39">
        <f t="shared" si="10"/>
        <v>0</v>
      </c>
      <c r="Z8" s="28">
        <v>0</v>
      </c>
      <c r="AA8" s="28" t="e">
        <v>#N/A</v>
      </c>
      <c r="AB8" s="40" t="e">
        <f t="shared" si="11"/>
        <v>#N/A</v>
      </c>
      <c r="AC8" s="41" t="e">
        <v>#N/A</v>
      </c>
      <c r="AD8" s="39">
        <f t="shared" si="12"/>
        <v>0</v>
      </c>
      <c r="AE8" s="39">
        <v>0</v>
      </c>
      <c r="AF8" s="39">
        <v>-7.21</v>
      </c>
      <c r="AG8" s="39">
        <v>0</v>
      </c>
    </row>
    <row r="9" spans="1:33" ht="15.75" customHeight="1" x14ac:dyDescent="0.2">
      <c r="A9" s="28" t="s">
        <v>44</v>
      </c>
      <c r="B9" s="28" t="s">
        <v>131</v>
      </c>
      <c r="C9" s="15" t="str">
        <f t="shared" si="4"/>
        <v xml:space="preserve"> - </v>
      </c>
      <c r="D9" s="29">
        <v>0</v>
      </c>
      <c r="E9" s="29">
        <v>0</v>
      </c>
      <c r="F9" s="30">
        <v>0</v>
      </c>
      <c r="G9" s="30">
        <v>0</v>
      </c>
      <c r="H9" s="31" t="e">
        <f t="shared" si="1"/>
        <v>#DIV/0!</v>
      </c>
      <c r="I9" s="31" t="e">
        <f t="shared" si="2"/>
        <v>#DIV/0!</v>
      </c>
      <c r="J9" s="32">
        <f t="shared" si="5"/>
        <v>0</v>
      </c>
      <c r="K9" s="32" t="e">
        <f t="shared" si="3"/>
        <v>#DIV/0!</v>
      </c>
      <c r="L9" s="29">
        <v>0</v>
      </c>
      <c r="M9" s="33" t="str">
        <f t="shared" si="6"/>
        <v>-</v>
      </c>
      <c r="N9" s="29">
        <v>1</v>
      </c>
      <c r="O9" s="34">
        <f t="shared" ref="O9:P9" si="17">D9/7</f>
        <v>0</v>
      </c>
      <c r="P9" s="34">
        <f t="shared" si="17"/>
        <v>0</v>
      </c>
      <c r="Q9" s="29" t="e">
        <f t="shared" si="8"/>
        <v>#DIV/0!</v>
      </c>
      <c r="R9" s="29"/>
      <c r="S9" s="35" t="e">
        <v>#N/A</v>
      </c>
      <c r="T9" s="28" t="s">
        <v>33</v>
      </c>
      <c r="U9" s="36" t="s">
        <v>33</v>
      </c>
      <c r="V9" s="37" t="s">
        <v>33</v>
      </c>
      <c r="W9" s="28">
        <v>0</v>
      </c>
      <c r="X9" s="38">
        <f t="shared" si="9"/>
        <v>0</v>
      </c>
      <c r="Y9" s="39">
        <f t="shared" si="10"/>
        <v>0</v>
      </c>
      <c r="Z9" s="28">
        <v>0</v>
      </c>
      <c r="AA9" s="28" t="e">
        <v>#N/A</v>
      </c>
      <c r="AB9" s="40" t="e">
        <f t="shared" si="11"/>
        <v>#N/A</v>
      </c>
      <c r="AC9" s="41" t="e">
        <v>#N/A</v>
      </c>
      <c r="AD9" s="39">
        <f t="shared" si="12"/>
        <v>0</v>
      </c>
      <c r="AE9" s="39">
        <v>0</v>
      </c>
      <c r="AF9" s="39">
        <v>-7.6149244871794801</v>
      </c>
      <c r="AG9" s="39">
        <v>0</v>
      </c>
    </row>
    <row r="10" spans="1:33" ht="15.75" customHeight="1" x14ac:dyDescent="0.2">
      <c r="A10" s="28" t="s">
        <v>46</v>
      </c>
      <c r="B10" s="28"/>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1</v>
      </c>
      <c r="O10" s="34">
        <f t="shared" ref="O10:P10" si="18">D10/7</f>
        <v>0</v>
      </c>
      <c r="P10" s="34">
        <f t="shared" si="18"/>
        <v>0</v>
      </c>
      <c r="Q10" s="29" t="e">
        <f t="shared" si="8"/>
        <v>#DIV/0!</v>
      </c>
      <c r="R10" s="29"/>
      <c r="S10" s="35" t="e">
        <v>#N/A</v>
      </c>
      <c r="T10" s="28">
        <v>0</v>
      </c>
      <c r="U10" s="36" t="s">
        <v>33</v>
      </c>
      <c r="V10" s="37" t="s">
        <v>33</v>
      </c>
      <c r="W10" s="28">
        <v>0</v>
      </c>
      <c r="X10" s="38">
        <f t="shared" si="9"/>
        <v>0</v>
      </c>
      <c r="Y10" s="39">
        <f t="shared" si="10"/>
        <v>0</v>
      </c>
      <c r="Z10" s="28">
        <v>0</v>
      </c>
      <c r="AA10" s="28" t="e">
        <v>#N/A</v>
      </c>
      <c r="AB10" s="40" t="e">
        <f t="shared" si="11"/>
        <v>#N/A</v>
      </c>
      <c r="AC10" s="41" t="e">
        <v>#N/A</v>
      </c>
      <c r="AD10" s="39">
        <f t="shared" si="12"/>
        <v>0</v>
      </c>
      <c r="AE10" s="39">
        <v>0</v>
      </c>
      <c r="AF10" s="39">
        <v>-7.6149244871794801</v>
      </c>
      <c r="AG10" s="39">
        <v>0</v>
      </c>
    </row>
    <row r="11" spans="1:33" ht="15.75" customHeight="1" x14ac:dyDescent="0.2">
      <c r="A11" s="28" t="s">
        <v>48</v>
      </c>
      <c r="B11" s="28"/>
      <c r="C11" s="15" t="str">
        <f t="shared" si="4"/>
        <v xml:space="preserve"> - </v>
      </c>
      <c r="D11" s="29">
        <v>0</v>
      </c>
      <c r="E11" s="29">
        <v>0</v>
      </c>
      <c r="F11" s="30">
        <v>0</v>
      </c>
      <c r="G11" s="30">
        <v>0</v>
      </c>
      <c r="H11" s="31" t="e">
        <f t="shared" si="1"/>
        <v>#DIV/0!</v>
      </c>
      <c r="I11" s="31" t="e">
        <f t="shared" si="2"/>
        <v>#DIV/0!</v>
      </c>
      <c r="J11" s="32">
        <f t="shared" si="5"/>
        <v>0</v>
      </c>
      <c r="K11" s="32" t="e">
        <f t="shared" si="3"/>
        <v>#DIV/0!</v>
      </c>
      <c r="L11" s="29">
        <v>0</v>
      </c>
      <c r="M11" s="33" t="str">
        <f t="shared" si="6"/>
        <v>-</v>
      </c>
      <c r="N11" s="29">
        <v>1</v>
      </c>
      <c r="O11" s="34">
        <f t="shared" ref="O11:P11" si="19">D11/7</f>
        <v>0</v>
      </c>
      <c r="P11" s="34">
        <f t="shared" si="19"/>
        <v>0</v>
      </c>
      <c r="Q11" s="29" t="e">
        <f t="shared" si="8"/>
        <v>#DIV/0!</v>
      </c>
      <c r="R11" s="29"/>
      <c r="S11" s="35" t="e">
        <v>#N/A</v>
      </c>
      <c r="T11" s="28">
        <v>0</v>
      </c>
      <c r="U11" s="36" t="s">
        <v>33</v>
      </c>
      <c r="V11" s="37" t="s">
        <v>33</v>
      </c>
      <c r="W11" s="28">
        <v>0</v>
      </c>
      <c r="X11" s="38">
        <f t="shared" si="9"/>
        <v>0</v>
      </c>
      <c r="Y11" s="39">
        <f t="shared" si="10"/>
        <v>0</v>
      </c>
      <c r="Z11" s="28">
        <v>0</v>
      </c>
      <c r="AA11" s="28" t="e">
        <v>#N/A</v>
      </c>
      <c r="AB11" s="40" t="e">
        <f t="shared" si="11"/>
        <v>#N/A</v>
      </c>
      <c r="AC11" s="41" t="e">
        <v>#N/A</v>
      </c>
      <c r="AD11" s="39">
        <f t="shared" si="12"/>
        <v>0</v>
      </c>
      <c r="AE11" s="39">
        <v>0</v>
      </c>
      <c r="AF11" s="39">
        <v>-7.6149244871794801</v>
      </c>
      <c r="AG11" s="39">
        <v>0</v>
      </c>
    </row>
    <row r="12" spans="1:33" ht="15.75" customHeight="1" x14ac:dyDescent="0.2">
      <c r="A12" s="28" t="s">
        <v>49</v>
      </c>
      <c r="B12" s="28" t="s">
        <v>811</v>
      </c>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1</v>
      </c>
      <c r="O12" s="34">
        <f t="shared" ref="O12:P12" si="20">D12/7</f>
        <v>0</v>
      </c>
      <c r="P12" s="34">
        <f t="shared" si="20"/>
        <v>0</v>
      </c>
      <c r="Q12" s="29" t="e">
        <f t="shared" si="8"/>
        <v>#DIV/0!</v>
      </c>
      <c r="R12" s="29"/>
      <c r="S12" s="35" t="e">
        <v>#N/A</v>
      </c>
      <c r="T12" s="28">
        <v>0</v>
      </c>
      <c r="U12" s="36" t="s">
        <v>33</v>
      </c>
      <c r="V12" s="37" t="s">
        <v>33</v>
      </c>
      <c r="W12" s="28">
        <v>0</v>
      </c>
      <c r="X12" s="38">
        <f t="shared" si="9"/>
        <v>0</v>
      </c>
      <c r="Y12" s="39">
        <f t="shared" si="10"/>
        <v>0</v>
      </c>
      <c r="Z12" s="28">
        <v>0</v>
      </c>
      <c r="AA12" s="28" t="e">
        <v>#N/A</v>
      </c>
      <c r="AB12" s="40" t="e">
        <f t="shared" si="11"/>
        <v>#N/A</v>
      </c>
      <c r="AC12" s="41" t="e">
        <v>#N/A</v>
      </c>
      <c r="AD12" s="39">
        <f t="shared" si="12"/>
        <v>0</v>
      </c>
      <c r="AE12" s="39">
        <v>0</v>
      </c>
      <c r="AF12" s="39">
        <v>-7.6149244871794801</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2</v>
      </c>
      <c r="O13" s="34">
        <f t="shared" ref="O13:P13" si="21">D13/7</f>
        <v>0</v>
      </c>
      <c r="P13" s="34">
        <f t="shared" si="21"/>
        <v>0</v>
      </c>
      <c r="Q13" s="29" t="e">
        <f t="shared" si="8"/>
        <v>#DIV/0!</v>
      </c>
      <c r="R13" s="29"/>
      <c r="S13" s="35">
        <v>3.7101449275362302</v>
      </c>
      <c r="T13" s="28">
        <v>0</v>
      </c>
      <c r="U13" s="36" t="s">
        <v>33</v>
      </c>
      <c r="V13" s="37" t="s">
        <v>33</v>
      </c>
      <c r="W13" s="28">
        <v>0</v>
      </c>
      <c r="X13" s="38">
        <f t="shared" si="9"/>
        <v>0</v>
      </c>
      <c r="Y13" s="39">
        <f t="shared" si="10"/>
        <v>0</v>
      </c>
      <c r="Z13" s="28">
        <v>0</v>
      </c>
      <c r="AA13" s="28" t="s">
        <v>34</v>
      </c>
      <c r="AB13" s="40">
        <f t="shared" si="11"/>
        <v>-0.69</v>
      </c>
      <c r="AC13" s="41">
        <v>0.08</v>
      </c>
      <c r="AD13" s="39">
        <f t="shared" si="12"/>
        <v>0</v>
      </c>
      <c r="AE13" s="39">
        <v>-5.42</v>
      </c>
      <c r="AF13" s="39">
        <v>-7.8277450000000002</v>
      </c>
      <c r="AG13" s="39">
        <v>0</v>
      </c>
    </row>
    <row r="14" spans="1:33" ht="15.75" customHeight="1" x14ac:dyDescent="0.2">
      <c r="A14" s="28" t="s">
        <v>51</v>
      </c>
      <c r="B14" s="28"/>
      <c r="C14" s="15">
        <f t="shared" si="4"/>
        <v>24.99</v>
      </c>
      <c r="D14" s="29">
        <v>1</v>
      </c>
      <c r="E14" s="29">
        <v>0</v>
      </c>
      <c r="F14" s="32">
        <v>24.99</v>
      </c>
      <c r="G14" s="30">
        <v>0</v>
      </c>
      <c r="H14" s="31">
        <f t="shared" si="1"/>
        <v>0</v>
      </c>
      <c r="I14" s="31">
        <f t="shared" si="2"/>
        <v>0.3154603841536614</v>
      </c>
      <c r="J14" s="32">
        <f t="shared" si="5"/>
        <v>7.8833549999999981</v>
      </c>
      <c r="K14" s="32">
        <f t="shared" si="3"/>
        <v>7.8833549999999981</v>
      </c>
      <c r="L14" s="29">
        <v>16</v>
      </c>
      <c r="M14" s="33">
        <f t="shared" si="6"/>
        <v>6.25E-2</v>
      </c>
      <c r="N14" s="29">
        <v>1</v>
      </c>
      <c r="O14" s="34">
        <f t="shared" ref="O14:P14" si="22">D14/7</f>
        <v>0.14285714285714285</v>
      </c>
      <c r="P14" s="34">
        <f t="shared" si="22"/>
        <v>0</v>
      </c>
      <c r="Q14" s="29">
        <f t="shared" si="8"/>
        <v>7</v>
      </c>
      <c r="R14" s="29"/>
      <c r="S14" s="35" t="e">
        <v>#N/A</v>
      </c>
      <c r="T14" s="28">
        <v>0</v>
      </c>
      <c r="U14" s="36" t="s">
        <v>33</v>
      </c>
      <c r="V14" s="37" t="s">
        <v>33</v>
      </c>
      <c r="W14" s="28">
        <v>0</v>
      </c>
      <c r="X14" s="38">
        <f t="shared" si="9"/>
        <v>0</v>
      </c>
      <c r="Y14" s="39">
        <f t="shared" si="10"/>
        <v>0</v>
      </c>
      <c r="Z14" s="28">
        <v>0</v>
      </c>
      <c r="AA14" s="28" t="s">
        <v>34</v>
      </c>
      <c r="AB14" s="40">
        <f t="shared" si="11"/>
        <v>-0.69</v>
      </c>
      <c r="AC14" s="41">
        <v>0.08</v>
      </c>
      <c r="AD14" s="39">
        <f t="shared" si="12"/>
        <v>-0.1104</v>
      </c>
      <c r="AE14" s="39">
        <v>-5.42</v>
      </c>
      <c r="AF14" s="39">
        <v>-7.8277450000000002</v>
      </c>
      <c r="AG14" s="39">
        <v>0</v>
      </c>
    </row>
    <row r="15" spans="1:33" ht="15.75" customHeight="1" x14ac:dyDescent="0.2">
      <c r="A15" s="28" t="s">
        <v>53</v>
      </c>
      <c r="B15" s="28" t="s">
        <v>812</v>
      </c>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1</v>
      </c>
      <c r="O15" s="34">
        <f t="shared" ref="O15:P15" si="23">D15/7</f>
        <v>0</v>
      </c>
      <c r="P15" s="34">
        <f t="shared" si="23"/>
        <v>0</v>
      </c>
      <c r="Q15" s="29" t="e">
        <f t="shared" si="8"/>
        <v>#DIV/0!</v>
      </c>
      <c r="R15" s="29"/>
      <c r="S15" s="35" t="e">
        <v>#N/A</v>
      </c>
      <c r="T15" s="28">
        <v>0</v>
      </c>
      <c r="U15" s="36" t="s">
        <v>33</v>
      </c>
      <c r="V15" s="37" t="s">
        <v>33</v>
      </c>
      <c r="W15" s="28">
        <v>0</v>
      </c>
      <c r="X15" s="38">
        <f t="shared" si="9"/>
        <v>0</v>
      </c>
      <c r="Y15" s="39">
        <f t="shared" si="10"/>
        <v>0</v>
      </c>
      <c r="Z15" s="28">
        <v>0</v>
      </c>
      <c r="AA15" s="28" t="e">
        <v>#N/A</v>
      </c>
      <c r="AB15" s="40" t="e">
        <f t="shared" si="11"/>
        <v>#N/A</v>
      </c>
      <c r="AC15" s="41" t="e">
        <v>#N/A</v>
      </c>
      <c r="AD15" s="39">
        <f t="shared" si="12"/>
        <v>0</v>
      </c>
      <c r="AE15" s="39">
        <v>0</v>
      </c>
      <c r="AF15" s="39">
        <v>-7.8277450000000002</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1</v>
      </c>
      <c r="O16" s="34">
        <f t="shared" ref="O16:P16" si="24">D16/7</f>
        <v>0</v>
      </c>
      <c r="P16" s="34">
        <f t="shared" si="24"/>
        <v>0</v>
      </c>
      <c r="Q16" s="29" t="e">
        <f t="shared" si="8"/>
        <v>#DIV/0!</v>
      </c>
      <c r="R16" s="29"/>
      <c r="S16" s="35" t="e">
        <v>#N/A</v>
      </c>
      <c r="T16" s="28">
        <v>0</v>
      </c>
      <c r="U16" s="36" t="s">
        <v>33</v>
      </c>
      <c r="V16" s="37" t="s">
        <v>33</v>
      </c>
      <c r="W16" s="28">
        <v>0</v>
      </c>
      <c r="X16" s="38">
        <f t="shared" si="9"/>
        <v>0</v>
      </c>
      <c r="Y16" s="39">
        <f t="shared" si="10"/>
        <v>0</v>
      </c>
      <c r="Z16" s="28">
        <v>0</v>
      </c>
      <c r="AA16" s="28" t="e">
        <v>#N/A</v>
      </c>
      <c r="AB16" s="40" t="e">
        <f t="shared" si="11"/>
        <v>#N/A</v>
      </c>
      <c r="AC16" s="41" t="e">
        <v>#N/A</v>
      </c>
      <c r="AD16" s="39">
        <f t="shared" si="12"/>
        <v>0</v>
      </c>
      <c r="AE16" s="39">
        <v>0</v>
      </c>
      <c r="AF16" s="39">
        <v>-7.8277450000000002</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1</v>
      </c>
      <c r="O17" s="34">
        <f t="shared" ref="O17:P17" si="25">D17/7</f>
        <v>0</v>
      </c>
      <c r="P17" s="34">
        <f t="shared" si="25"/>
        <v>0</v>
      </c>
      <c r="Q17" s="29" t="e">
        <f t="shared" si="8"/>
        <v>#DIV/0!</v>
      </c>
      <c r="R17" s="29"/>
      <c r="S17" s="35" t="e">
        <v>#N/A</v>
      </c>
      <c r="T17" s="28">
        <v>1000</v>
      </c>
      <c r="U17" s="36" t="s">
        <v>33</v>
      </c>
      <c r="V17" s="37" t="s">
        <v>33</v>
      </c>
      <c r="W17" s="28">
        <v>0</v>
      </c>
      <c r="X17" s="38">
        <f t="shared" si="9"/>
        <v>0</v>
      </c>
      <c r="Y17" s="39">
        <f t="shared" si="10"/>
        <v>0</v>
      </c>
      <c r="Z17" s="28">
        <v>0</v>
      </c>
      <c r="AA17" s="28" t="e">
        <v>#N/A</v>
      </c>
      <c r="AB17" s="40" t="e">
        <f t="shared" si="11"/>
        <v>#N/A</v>
      </c>
      <c r="AC17" s="41" t="e">
        <v>#N/A</v>
      </c>
      <c r="AD17" s="39">
        <f t="shared" si="12"/>
        <v>0</v>
      </c>
      <c r="AE17" s="39">
        <v>0</v>
      </c>
      <c r="AF17" s="39">
        <v>-7.686445</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1</v>
      </c>
      <c r="O18" s="34">
        <f t="shared" ref="O18:P18" si="26">D18/7</f>
        <v>0</v>
      </c>
      <c r="P18" s="34">
        <f t="shared" si="26"/>
        <v>0</v>
      </c>
      <c r="Q18" s="29" t="e">
        <f t="shared" si="8"/>
        <v>#DIV/0!</v>
      </c>
      <c r="R18" s="29"/>
      <c r="S18" s="35" t="e">
        <v>#N/A</v>
      </c>
      <c r="T18" s="28">
        <v>1200</v>
      </c>
      <c r="U18" s="36">
        <v>200</v>
      </c>
      <c r="V18" s="37" t="s">
        <v>813</v>
      </c>
      <c r="W18" s="28">
        <v>0</v>
      </c>
      <c r="X18" s="38">
        <f t="shared" si="9"/>
        <v>0</v>
      </c>
      <c r="Y18" s="39">
        <f t="shared" si="10"/>
        <v>0</v>
      </c>
      <c r="Z18" s="28">
        <v>0</v>
      </c>
      <c r="AA18" s="28" t="e">
        <v>#N/A</v>
      </c>
      <c r="AB18" s="40" t="e">
        <f t="shared" si="11"/>
        <v>#N/A</v>
      </c>
      <c r="AC18" s="41" t="e">
        <v>#N/A</v>
      </c>
      <c r="AD18" s="39">
        <f t="shared" si="12"/>
        <v>0</v>
      </c>
      <c r="AE18" s="39">
        <v>0</v>
      </c>
      <c r="AF18" s="39">
        <v>-7.686445</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1</v>
      </c>
      <c r="O19" s="34">
        <f t="shared" ref="O19:P19" si="27">D19/7</f>
        <v>0</v>
      </c>
      <c r="P19" s="34">
        <f t="shared" si="27"/>
        <v>0</v>
      </c>
      <c r="Q19" s="29" t="e">
        <f t="shared" si="8"/>
        <v>#DIV/0!</v>
      </c>
      <c r="R19" s="29"/>
      <c r="S19" s="35" t="e">
        <v>#N/A</v>
      </c>
      <c r="T19" s="28">
        <v>1200</v>
      </c>
      <c r="U19" s="36">
        <v>200</v>
      </c>
      <c r="V19" s="37" t="s">
        <v>814</v>
      </c>
      <c r="W19" s="28">
        <v>0</v>
      </c>
      <c r="X19" s="38">
        <f t="shared" si="9"/>
        <v>0</v>
      </c>
      <c r="Y19" s="39">
        <f t="shared" si="10"/>
        <v>0</v>
      </c>
      <c r="Z19" s="28">
        <v>0</v>
      </c>
      <c r="AA19" s="28" t="e">
        <v>#N/A</v>
      </c>
      <c r="AB19" s="40" t="e">
        <f t="shared" si="11"/>
        <v>#N/A</v>
      </c>
      <c r="AC19" s="41" t="e">
        <v>#N/A</v>
      </c>
      <c r="AD19" s="39">
        <f t="shared" si="12"/>
        <v>0</v>
      </c>
      <c r="AE19" s="39">
        <v>0</v>
      </c>
      <c r="AF19" s="39">
        <v>-7.6864450000000009</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1</v>
      </c>
      <c r="O20" s="34">
        <f t="shared" ref="O20:P20" si="28">D20/7</f>
        <v>0</v>
      </c>
      <c r="P20" s="34">
        <f t="shared" si="28"/>
        <v>0</v>
      </c>
      <c r="Q20" s="29" t="e">
        <f t="shared" si="8"/>
        <v>#DIV/0!</v>
      </c>
      <c r="R20" s="29"/>
      <c r="S20" s="35" t="e">
        <v>#N/A</v>
      </c>
      <c r="T20" s="28">
        <v>1200</v>
      </c>
      <c r="U20" s="36">
        <v>200</v>
      </c>
      <c r="V20" s="37" t="s">
        <v>815</v>
      </c>
      <c r="W20" s="28">
        <v>0</v>
      </c>
      <c r="X20" s="38">
        <f t="shared" si="9"/>
        <v>0</v>
      </c>
      <c r="Y20" s="39">
        <f t="shared" si="10"/>
        <v>0</v>
      </c>
      <c r="Z20" s="28">
        <v>0</v>
      </c>
      <c r="AA20" s="28" t="e">
        <v>#N/A</v>
      </c>
      <c r="AB20" s="40" t="e">
        <f t="shared" si="11"/>
        <v>#N/A</v>
      </c>
      <c r="AC20" s="41" t="e">
        <v>#N/A</v>
      </c>
      <c r="AD20" s="39">
        <f t="shared" si="12"/>
        <v>0</v>
      </c>
      <c r="AE20" s="39">
        <v>0</v>
      </c>
      <c r="AF20" s="39">
        <v>-7.6864450000000009</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1</v>
      </c>
      <c r="O21" s="34">
        <f t="shared" ref="O21:P21" si="29">D21/7</f>
        <v>0</v>
      </c>
      <c r="P21" s="34">
        <f t="shared" si="29"/>
        <v>0</v>
      </c>
      <c r="Q21" s="29" t="e">
        <f t="shared" si="8"/>
        <v>#DIV/0!</v>
      </c>
      <c r="R21" s="29"/>
      <c r="S21" s="35" t="e">
        <v>#N/A</v>
      </c>
      <c r="T21" s="28">
        <v>1200</v>
      </c>
      <c r="U21" s="36">
        <v>200</v>
      </c>
      <c r="V21" s="37" t="s">
        <v>816</v>
      </c>
      <c r="W21" s="28">
        <v>0</v>
      </c>
      <c r="X21" s="38">
        <f t="shared" si="9"/>
        <v>0</v>
      </c>
      <c r="Y21" s="39">
        <f t="shared" si="10"/>
        <v>0</v>
      </c>
      <c r="Z21" s="28">
        <v>0</v>
      </c>
      <c r="AA21" s="28" t="e">
        <v>#N/A</v>
      </c>
      <c r="AB21" s="40" t="e">
        <f t="shared" si="11"/>
        <v>#N/A</v>
      </c>
      <c r="AC21" s="41" t="e">
        <v>#N/A</v>
      </c>
      <c r="AD21" s="39">
        <f t="shared" si="12"/>
        <v>0</v>
      </c>
      <c r="AE21" s="39">
        <v>0</v>
      </c>
      <c r="AF21" s="39">
        <v>-7.6864450000000009</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2</v>
      </c>
      <c r="O22" s="34">
        <f t="shared" ref="O22:P22" si="30">D22/7</f>
        <v>0</v>
      </c>
      <c r="P22" s="34">
        <f t="shared" si="30"/>
        <v>0</v>
      </c>
      <c r="Q22" s="29" t="e">
        <f t="shared" si="8"/>
        <v>#DIV/0!</v>
      </c>
      <c r="R22" s="29"/>
      <c r="S22" s="35">
        <v>0.66666666666666596</v>
      </c>
      <c r="T22" s="28">
        <v>1200</v>
      </c>
      <c r="U22" s="36">
        <v>200</v>
      </c>
      <c r="V22" s="37" t="s">
        <v>817</v>
      </c>
      <c r="W22" s="28">
        <v>0</v>
      </c>
      <c r="X22" s="38">
        <f t="shared" si="9"/>
        <v>0</v>
      </c>
      <c r="Y22" s="39">
        <f t="shared" si="10"/>
        <v>0</v>
      </c>
      <c r="Z22" s="28">
        <v>0</v>
      </c>
      <c r="AA22" s="28" t="s">
        <v>34</v>
      </c>
      <c r="AB22" s="40">
        <f t="shared" si="11"/>
        <v>-0.69</v>
      </c>
      <c r="AC22" s="41">
        <v>0.08</v>
      </c>
      <c r="AD22" s="39">
        <f t="shared" si="12"/>
        <v>0</v>
      </c>
      <c r="AE22" s="39">
        <v>-5.42</v>
      </c>
      <c r="AF22" s="39">
        <v>-7.6864450000000009</v>
      </c>
      <c r="AG22" s="39">
        <v>0</v>
      </c>
    </row>
    <row r="23" spans="1:33" ht="15.75" customHeight="1" x14ac:dyDescent="0.2">
      <c r="A23" s="28" t="s">
        <v>62</v>
      </c>
      <c r="B23" s="28"/>
      <c r="C23" s="15">
        <f t="shared" si="4"/>
        <v>24.99</v>
      </c>
      <c r="D23" s="29">
        <v>1</v>
      </c>
      <c r="E23" s="29">
        <v>0</v>
      </c>
      <c r="F23" s="32">
        <v>24.99</v>
      </c>
      <c r="G23" s="30">
        <v>0</v>
      </c>
      <c r="H23" s="31">
        <f t="shared" si="1"/>
        <v>0</v>
      </c>
      <c r="I23" s="31">
        <f t="shared" si="2"/>
        <v>0.32111464585834326</v>
      </c>
      <c r="J23" s="32">
        <f t="shared" si="5"/>
        <v>8.0246549999999974</v>
      </c>
      <c r="K23" s="32">
        <f t="shared" si="3"/>
        <v>8.0246549999999974</v>
      </c>
      <c r="L23" s="29">
        <v>0</v>
      </c>
      <c r="M23" s="33" t="str">
        <f t="shared" si="6"/>
        <v>-</v>
      </c>
      <c r="N23" s="29">
        <v>2</v>
      </c>
      <c r="O23" s="34">
        <f t="shared" ref="O23:P23" si="31">D23/7</f>
        <v>0.14285714285714285</v>
      </c>
      <c r="P23" s="34">
        <f t="shared" si="31"/>
        <v>0</v>
      </c>
      <c r="Q23" s="29">
        <f t="shared" si="8"/>
        <v>14</v>
      </c>
      <c r="R23" s="29"/>
      <c r="S23" s="35">
        <v>0.8</v>
      </c>
      <c r="T23" s="28">
        <v>1200</v>
      </c>
      <c r="U23" s="36">
        <v>200</v>
      </c>
      <c r="V23" s="37" t="s">
        <v>818</v>
      </c>
      <c r="W23" s="28">
        <v>0</v>
      </c>
      <c r="X23" s="38">
        <f t="shared" si="9"/>
        <v>0</v>
      </c>
      <c r="Y23" s="39">
        <f t="shared" si="10"/>
        <v>0</v>
      </c>
      <c r="Z23" s="28">
        <v>0</v>
      </c>
      <c r="AA23" s="28" t="s">
        <v>34</v>
      </c>
      <c r="AB23" s="40">
        <f t="shared" si="11"/>
        <v>-0.69</v>
      </c>
      <c r="AC23" s="41">
        <v>0.08</v>
      </c>
      <c r="AD23" s="39">
        <f t="shared" si="12"/>
        <v>-0.1104</v>
      </c>
      <c r="AE23" s="39">
        <v>-5.42</v>
      </c>
      <c r="AF23" s="39">
        <v>-7.6864450000000009</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1</v>
      </c>
      <c r="O24" s="34">
        <f t="shared" ref="O24:P24" si="32">D24/7</f>
        <v>0</v>
      </c>
      <c r="P24" s="34">
        <f t="shared" si="32"/>
        <v>0</v>
      </c>
      <c r="Q24" s="29" t="e">
        <f t="shared" si="8"/>
        <v>#DIV/0!</v>
      </c>
      <c r="R24" s="29"/>
      <c r="S24" s="35" t="e">
        <v>#N/A</v>
      </c>
      <c r="T24" s="28">
        <v>1200</v>
      </c>
      <c r="U24" s="36">
        <v>200</v>
      </c>
      <c r="V24" s="37" t="s">
        <v>816</v>
      </c>
      <c r="W24" s="28">
        <v>0</v>
      </c>
      <c r="X24" s="38">
        <f t="shared" si="9"/>
        <v>0</v>
      </c>
      <c r="Y24" s="39">
        <f t="shared" si="10"/>
        <v>0</v>
      </c>
      <c r="Z24" s="28">
        <v>0</v>
      </c>
      <c r="AA24" s="28" t="s">
        <v>34</v>
      </c>
      <c r="AB24" s="40">
        <f t="shared" si="11"/>
        <v>-0.69</v>
      </c>
      <c r="AC24" s="41">
        <v>0.08</v>
      </c>
      <c r="AD24" s="39">
        <f t="shared" si="12"/>
        <v>0</v>
      </c>
      <c r="AE24" s="39">
        <v>-5.42</v>
      </c>
      <c r="AF24" s="39">
        <v>-7.6864450000000009</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1</v>
      </c>
      <c r="O25" s="34">
        <f t="shared" ref="O25:P25" si="33">D25/7</f>
        <v>0</v>
      </c>
      <c r="P25" s="34">
        <f t="shared" si="33"/>
        <v>0</v>
      </c>
      <c r="Q25" s="29" t="e">
        <f t="shared" si="8"/>
        <v>#DIV/0!</v>
      </c>
      <c r="R25" s="29"/>
      <c r="S25" s="35">
        <v>0</v>
      </c>
      <c r="T25" s="28">
        <v>2200</v>
      </c>
      <c r="U25" s="36">
        <v>200</v>
      </c>
      <c r="V25" s="37" t="s">
        <v>819</v>
      </c>
      <c r="W25" s="14">
        <v>0</v>
      </c>
      <c r="X25" s="38">
        <f t="shared" si="9"/>
        <v>0</v>
      </c>
      <c r="Y25" s="39">
        <f t="shared" si="10"/>
        <v>0</v>
      </c>
      <c r="Z25" s="14">
        <v>0</v>
      </c>
      <c r="AA25" s="28" t="s">
        <v>34</v>
      </c>
      <c r="AB25" s="40">
        <f t="shared" si="11"/>
        <v>-0.69</v>
      </c>
      <c r="AC25" s="41">
        <v>0.08</v>
      </c>
      <c r="AD25" s="39">
        <f t="shared" si="12"/>
        <v>0</v>
      </c>
      <c r="AE25" s="39">
        <v>-5.42</v>
      </c>
      <c r="AF25" s="39">
        <v>-7.69</v>
      </c>
      <c r="AG25" s="39">
        <v>0</v>
      </c>
    </row>
    <row r="26" spans="1:33" ht="15.75" customHeight="1" x14ac:dyDescent="0.2">
      <c r="A26" s="14" t="s">
        <v>67</v>
      </c>
      <c r="B26" s="14" t="s">
        <v>820</v>
      </c>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1</v>
      </c>
      <c r="O26" s="34">
        <f t="shared" ref="O26:P26" si="34">D26/7</f>
        <v>0</v>
      </c>
      <c r="P26" s="34">
        <f t="shared" si="34"/>
        <v>0</v>
      </c>
      <c r="Q26" s="29" t="e">
        <f t="shared" si="8"/>
        <v>#DIV/0!</v>
      </c>
      <c r="R26" s="29"/>
      <c r="S26" s="21">
        <v>0</v>
      </c>
      <c r="T26" s="28">
        <v>2000</v>
      </c>
      <c r="U26" s="36" t="s">
        <v>33</v>
      </c>
      <c r="V26" s="37" t="s">
        <v>33</v>
      </c>
      <c r="W26" s="14">
        <v>0</v>
      </c>
      <c r="X26" s="38">
        <f t="shared" si="9"/>
        <v>0</v>
      </c>
      <c r="Y26" s="39">
        <f t="shared" si="10"/>
        <v>0</v>
      </c>
      <c r="Z26" s="14">
        <v>0</v>
      </c>
      <c r="AA26" s="28" t="s">
        <v>34</v>
      </c>
      <c r="AB26" s="40">
        <f t="shared" si="11"/>
        <v>-0.69</v>
      </c>
      <c r="AC26" s="41">
        <v>0.08</v>
      </c>
      <c r="AD26" s="39">
        <f t="shared" si="12"/>
        <v>0</v>
      </c>
      <c r="AE26" s="25">
        <v>-5.42</v>
      </c>
      <c r="AF26" s="25">
        <v>-8.0707672499999994</v>
      </c>
      <c r="AG26" s="25">
        <v>0</v>
      </c>
    </row>
    <row r="27" spans="1:33" ht="15.75" customHeight="1" x14ac:dyDescent="0.2">
      <c r="A27" s="14" t="s">
        <v>69</v>
      </c>
      <c r="B27" s="14" t="s">
        <v>370</v>
      </c>
      <c r="C27" s="15">
        <f t="shared" si="4"/>
        <v>20.99</v>
      </c>
      <c r="D27" s="16">
        <v>1</v>
      </c>
      <c r="E27" s="16">
        <v>0</v>
      </c>
      <c r="F27" s="17">
        <v>20.99</v>
      </c>
      <c r="G27" s="17">
        <v>0</v>
      </c>
      <c r="H27" s="31">
        <f t="shared" si="1"/>
        <v>0</v>
      </c>
      <c r="I27" s="31">
        <f t="shared" si="2"/>
        <v>0.22440842067651265</v>
      </c>
      <c r="J27" s="32">
        <f t="shared" si="5"/>
        <v>4.7103327500000001</v>
      </c>
      <c r="K27" s="32">
        <f t="shared" si="3"/>
        <v>4.7103327500000001</v>
      </c>
      <c r="L27" s="16">
        <v>3</v>
      </c>
      <c r="M27" s="33">
        <f t="shared" si="6"/>
        <v>0.33333333333333331</v>
      </c>
      <c r="N27" s="16">
        <v>200</v>
      </c>
      <c r="O27" s="34">
        <f t="shared" ref="O27:P27" si="35">D27/7</f>
        <v>0.14285714285714285</v>
      </c>
      <c r="P27" s="34">
        <f t="shared" si="35"/>
        <v>0</v>
      </c>
      <c r="Q27" s="29">
        <f t="shared" si="8"/>
        <v>1400</v>
      </c>
      <c r="R27" s="29"/>
      <c r="S27" s="21">
        <v>1.9512195121951219E-2</v>
      </c>
      <c r="T27" s="28">
        <v>2000</v>
      </c>
      <c r="U27" s="36" t="s">
        <v>33</v>
      </c>
      <c r="V27" s="37" t="s">
        <v>33</v>
      </c>
      <c r="W27" s="14">
        <v>0</v>
      </c>
      <c r="X27" s="38">
        <f t="shared" si="9"/>
        <v>0</v>
      </c>
      <c r="Y27" s="39">
        <f t="shared" si="10"/>
        <v>0</v>
      </c>
      <c r="Z27" s="14">
        <v>0</v>
      </c>
      <c r="AA27" s="28" t="s">
        <v>34</v>
      </c>
      <c r="AB27" s="40">
        <f t="shared" si="11"/>
        <v>-0.69</v>
      </c>
      <c r="AC27" s="41">
        <v>0.08</v>
      </c>
      <c r="AD27" s="39">
        <f t="shared" si="12"/>
        <v>-0.1104</v>
      </c>
      <c r="AE27" s="25">
        <v>-4.95</v>
      </c>
      <c r="AF27" s="25">
        <v>-8.0707672499999994</v>
      </c>
      <c r="AG27" s="25">
        <v>0</v>
      </c>
    </row>
    <row r="28" spans="1:33" ht="15.75" customHeight="1" x14ac:dyDescent="0.2">
      <c r="A28" s="14" t="s">
        <v>71</v>
      </c>
      <c r="B28" s="14" t="s">
        <v>116</v>
      </c>
      <c r="C28" s="15">
        <f t="shared" si="4"/>
        <v>20.99</v>
      </c>
      <c r="D28" s="16">
        <v>1</v>
      </c>
      <c r="E28" s="16">
        <v>0</v>
      </c>
      <c r="F28" s="17">
        <v>20.99</v>
      </c>
      <c r="G28" s="17">
        <v>-0.04</v>
      </c>
      <c r="H28" s="31">
        <f t="shared" si="1"/>
        <v>1.9056693663649358E-3</v>
      </c>
      <c r="I28" s="31">
        <f t="shared" si="2"/>
        <v>0.22250275131014774</v>
      </c>
      <c r="J28" s="32">
        <f t="shared" si="5"/>
        <v>4.6703327500000009</v>
      </c>
      <c r="K28" s="32">
        <f t="shared" si="3"/>
        <v>4.6703327500000009</v>
      </c>
      <c r="L28" s="16">
        <v>7</v>
      </c>
      <c r="M28" s="33">
        <f t="shared" si="6"/>
        <v>0.14285714285714285</v>
      </c>
      <c r="N28" s="16">
        <v>199</v>
      </c>
      <c r="O28" s="34">
        <f t="shared" ref="O28:P28" si="36">D28/7</f>
        <v>0.14285714285714285</v>
      </c>
      <c r="P28" s="34">
        <f t="shared" si="36"/>
        <v>0</v>
      </c>
      <c r="Q28" s="29">
        <f t="shared" si="8"/>
        <v>1393</v>
      </c>
      <c r="R28" s="29"/>
      <c r="S28" s="21">
        <v>3.9603960396039598E-2</v>
      </c>
      <c r="T28" s="28">
        <v>2000</v>
      </c>
      <c r="U28" s="36" t="s">
        <v>33</v>
      </c>
      <c r="V28" s="37" t="s">
        <v>33</v>
      </c>
      <c r="W28" s="14">
        <v>0</v>
      </c>
      <c r="X28" s="38">
        <f t="shared" si="9"/>
        <v>0</v>
      </c>
      <c r="Y28" s="39">
        <f t="shared" si="10"/>
        <v>0</v>
      </c>
      <c r="Z28" s="14">
        <v>0</v>
      </c>
      <c r="AA28" s="28" t="s">
        <v>34</v>
      </c>
      <c r="AB28" s="40">
        <f t="shared" si="11"/>
        <v>-0.69</v>
      </c>
      <c r="AC28" s="41">
        <v>0.08</v>
      </c>
      <c r="AD28" s="39">
        <f t="shared" si="12"/>
        <v>-0.1104</v>
      </c>
      <c r="AE28" s="25">
        <v>-4.95</v>
      </c>
      <c r="AF28" s="25">
        <v>-8.0707672499999994</v>
      </c>
      <c r="AG28" s="25">
        <v>0</v>
      </c>
    </row>
    <row r="29" spans="1:33" ht="15.75" customHeight="1" x14ac:dyDescent="0.2">
      <c r="A29" s="28" t="s">
        <v>72</v>
      </c>
      <c r="B29" s="28" t="s">
        <v>821</v>
      </c>
      <c r="C29" s="15">
        <f t="shared" si="4"/>
        <v>20.99</v>
      </c>
      <c r="D29" s="29">
        <v>1</v>
      </c>
      <c r="E29" s="29">
        <v>0</v>
      </c>
      <c r="F29" s="32">
        <v>20.99</v>
      </c>
      <c r="G29" s="32">
        <v>-0.08</v>
      </c>
      <c r="H29" s="31">
        <f t="shared" si="1"/>
        <v>3.8113387327298716E-3</v>
      </c>
      <c r="I29" s="31">
        <f t="shared" si="2"/>
        <v>0.22059708194378286</v>
      </c>
      <c r="J29" s="32">
        <f t="shared" si="5"/>
        <v>4.6303327500000018</v>
      </c>
      <c r="K29" s="32">
        <f t="shared" si="3"/>
        <v>4.6303327500000018</v>
      </c>
      <c r="L29" s="29">
        <v>9</v>
      </c>
      <c r="M29" s="33">
        <f t="shared" si="6"/>
        <v>0.1111111111111111</v>
      </c>
      <c r="N29" s="16">
        <v>179</v>
      </c>
      <c r="O29" s="34">
        <f t="shared" ref="O29:P29" si="37">D29/7</f>
        <v>0.14285714285714285</v>
      </c>
      <c r="P29" s="34">
        <f t="shared" si="37"/>
        <v>0</v>
      </c>
      <c r="Q29" s="29">
        <f t="shared" si="8"/>
        <v>1253</v>
      </c>
      <c r="R29" s="29"/>
      <c r="S29" s="21">
        <v>8.8397790055248615E-2</v>
      </c>
      <c r="T29" s="28">
        <v>2000</v>
      </c>
      <c r="U29" s="36" t="s">
        <v>33</v>
      </c>
      <c r="V29" s="37" t="s">
        <v>33</v>
      </c>
      <c r="W29" s="14">
        <v>0</v>
      </c>
      <c r="X29" s="38">
        <f t="shared" si="9"/>
        <v>0</v>
      </c>
      <c r="Y29" s="39">
        <f t="shared" si="10"/>
        <v>0</v>
      </c>
      <c r="Z29" s="14">
        <v>0</v>
      </c>
      <c r="AA29" s="28" t="s">
        <v>34</v>
      </c>
      <c r="AB29" s="40">
        <f t="shared" si="11"/>
        <v>-0.69</v>
      </c>
      <c r="AC29" s="41">
        <v>0.08</v>
      </c>
      <c r="AD29" s="39">
        <f t="shared" si="12"/>
        <v>-0.1104</v>
      </c>
      <c r="AE29" s="39">
        <v>-4.95</v>
      </c>
      <c r="AF29" s="25">
        <v>-8.0707672499999994</v>
      </c>
      <c r="AG29" s="39">
        <v>0</v>
      </c>
    </row>
    <row r="30" spans="1:33" ht="15.75" customHeight="1" x14ac:dyDescent="0.2">
      <c r="A30" s="14" t="s">
        <v>74</v>
      </c>
      <c r="B30" s="14" t="s">
        <v>822</v>
      </c>
      <c r="C30" s="15" t="str">
        <f t="shared" si="4"/>
        <v xml:space="preserve"> - </v>
      </c>
      <c r="D30" s="16">
        <v>0</v>
      </c>
      <c r="E30" s="16">
        <v>0</v>
      </c>
      <c r="F30" s="17">
        <v>0</v>
      </c>
      <c r="G30" s="17">
        <v>-7.0000000000000007E-2</v>
      </c>
      <c r="H30" s="31" t="e">
        <f t="shared" si="1"/>
        <v>#DIV/0!</v>
      </c>
      <c r="I30" s="31" t="e">
        <f t="shared" si="2"/>
        <v>#DIV/0!</v>
      </c>
      <c r="J30" s="32">
        <f t="shared" si="5"/>
        <v>-7.0000000000000007E-2</v>
      </c>
      <c r="K30" s="32" t="e">
        <f t="shared" si="3"/>
        <v>#DIV/0!</v>
      </c>
      <c r="L30" s="16">
        <v>0</v>
      </c>
      <c r="M30" s="33" t="str">
        <f t="shared" si="6"/>
        <v>-</v>
      </c>
      <c r="N30" s="16">
        <v>198</v>
      </c>
      <c r="O30" s="34">
        <f t="shared" ref="O30:P30" si="38">D30/7</f>
        <v>0</v>
      </c>
      <c r="P30" s="34">
        <f t="shared" si="38"/>
        <v>0</v>
      </c>
      <c r="Q30" s="29" t="e">
        <f t="shared" si="8"/>
        <v>#DIV/0!</v>
      </c>
      <c r="R30" s="29"/>
      <c r="S30" s="21">
        <v>8.4656084656084651E-2</v>
      </c>
      <c r="T30" s="28">
        <v>2000</v>
      </c>
      <c r="U30" s="36" t="s">
        <v>33</v>
      </c>
      <c r="V30" s="37" t="s">
        <v>33</v>
      </c>
      <c r="W30" s="14">
        <v>0</v>
      </c>
      <c r="X30" s="38">
        <f t="shared" si="9"/>
        <v>0</v>
      </c>
      <c r="Y30" s="39">
        <f t="shared" si="10"/>
        <v>0</v>
      </c>
      <c r="Z30" s="14">
        <v>0</v>
      </c>
      <c r="AA30" s="28" t="s">
        <v>34</v>
      </c>
      <c r="AB30" s="40">
        <f t="shared" si="11"/>
        <v>-0.69</v>
      </c>
      <c r="AC30" s="41">
        <v>0.08</v>
      </c>
      <c r="AD30" s="39">
        <f t="shared" si="12"/>
        <v>0</v>
      </c>
      <c r="AE30" s="25">
        <v>-4.95</v>
      </c>
      <c r="AF30" s="25">
        <v>-6.5951496104156204</v>
      </c>
      <c r="AG30" s="25">
        <v>0</v>
      </c>
    </row>
    <row r="31" spans="1:33" ht="15.75" customHeight="1" x14ac:dyDescent="0.2">
      <c r="A31" s="14" t="s">
        <v>75</v>
      </c>
      <c r="B31" s="48" t="s">
        <v>823</v>
      </c>
      <c r="C31" s="15">
        <f t="shared" si="4"/>
        <v>19.989999999999998</v>
      </c>
      <c r="D31" s="16">
        <v>8</v>
      </c>
      <c r="E31" s="16">
        <v>0</v>
      </c>
      <c r="F31" s="17">
        <v>159.91999999999999</v>
      </c>
      <c r="G31" s="42">
        <v>0</v>
      </c>
      <c r="H31" s="31">
        <f t="shared" si="1"/>
        <v>0</v>
      </c>
      <c r="I31" s="31">
        <f t="shared" si="2"/>
        <v>0.26693098497170453</v>
      </c>
      <c r="J31" s="32">
        <f t="shared" si="5"/>
        <v>42.687603116674985</v>
      </c>
      <c r="K31" s="32">
        <f t="shared" si="3"/>
        <v>5.3359503895843732</v>
      </c>
      <c r="L31" s="16">
        <v>14</v>
      </c>
      <c r="M31" s="33">
        <f t="shared" si="6"/>
        <v>0.5714285714285714</v>
      </c>
      <c r="N31" s="16">
        <v>192</v>
      </c>
      <c r="O31" s="34">
        <f t="shared" ref="O31:P32" si="39">D31/7</f>
        <v>1.1428571428571428</v>
      </c>
      <c r="P31" s="34">
        <f t="shared" si="39"/>
        <v>0</v>
      </c>
      <c r="Q31" s="29">
        <f t="shared" si="8"/>
        <v>168</v>
      </c>
      <c r="R31" s="29"/>
      <c r="S31" s="21">
        <v>0.10101010101010099</v>
      </c>
      <c r="T31" s="14">
        <v>1000</v>
      </c>
      <c r="U31" s="22" t="s">
        <v>33</v>
      </c>
      <c r="V31" s="1" t="s">
        <v>939</v>
      </c>
      <c r="W31" s="14">
        <v>0</v>
      </c>
      <c r="X31" s="38">
        <f t="shared" si="9"/>
        <v>0</v>
      </c>
      <c r="Y31" s="39">
        <f t="shared" si="10"/>
        <v>0</v>
      </c>
      <c r="Z31" s="14">
        <v>0</v>
      </c>
      <c r="AA31" s="14" t="s">
        <v>34</v>
      </c>
      <c r="AB31" s="40">
        <f t="shared" si="11"/>
        <v>-0.69</v>
      </c>
      <c r="AC31" s="27">
        <v>0.08</v>
      </c>
      <c r="AD31" s="39">
        <f t="shared" si="12"/>
        <v>-0.88319999999999999</v>
      </c>
      <c r="AE31" s="43">
        <v>-4.95</v>
      </c>
      <c r="AF31" s="43">
        <v>-6.5951496104156258</v>
      </c>
      <c r="AG31" s="25">
        <v>0</v>
      </c>
    </row>
    <row r="32" spans="1:33" s="51" customFormat="1" ht="15.75" customHeight="1" x14ac:dyDescent="0.2">
      <c r="A32" s="51" t="s">
        <v>934</v>
      </c>
      <c r="C32" s="15">
        <f t="shared" si="4"/>
        <v>19.989999999999998</v>
      </c>
      <c r="D32" s="52">
        <v>6</v>
      </c>
      <c r="E32" s="52">
        <v>2</v>
      </c>
      <c r="F32" s="53">
        <v>119.94</v>
      </c>
      <c r="G32" s="53">
        <v>-15.25</v>
      </c>
      <c r="H32" s="31">
        <f t="shared" si="1"/>
        <v>0.12714690678672669</v>
      </c>
      <c r="I32" s="31">
        <f t="shared" si="2"/>
        <v>0.13978407818497809</v>
      </c>
      <c r="J32" s="32">
        <f t="shared" si="5"/>
        <v>16.765702337506273</v>
      </c>
      <c r="K32" s="32">
        <f t="shared" si="3"/>
        <v>2.794283722917712</v>
      </c>
      <c r="L32" s="52">
        <v>22</v>
      </c>
      <c r="M32" s="33">
        <f t="shared" si="6"/>
        <v>0.27272727272727271</v>
      </c>
      <c r="N32" s="52">
        <v>183</v>
      </c>
      <c r="O32" s="34">
        <f t="shared" si="39"/>
        <v>0.8571428571428571</v>
      </c>
      <c r="P32" s="34">
        <f t="shared" si="39"/>
        <v>0.2857142857142857</v>
      </c>
      <c r="Q32" s="29">
        <f t="shared" si="8"/>
        <v>160</v>
      </c>
      <c r="R32" s="29" t="str">
        <f ca="1">IFERROR(VLOOKUP($B$2,IMPORTRANGE("https://docs.google.com/spreadsheets/d/1KiWZV1ko8G7lnRucBRBd29jj3Be6ltMfljMDqzOkQmI/edit#gid=1381463014","Lookup!A:F"),6,FALSE),"")</f>
        <v/>
      </c>
      <c r="S32" s="54">
        <v>0.19740259740259741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1</v>
      </c>
      <c r="X32" s="38">
        <f t="shared" si="9"/>
        <v>0.16666666666666666</v>
      </c>
      <c r="Y32" s="39">
        <f t="shared" si="10"/>
        <v>15.25</v>
      </c>
      <c r="Z32" s="51">
        <v>0</v>
      </c>
      <c r="AA32" s="51" t="s">
        <v>34</v>
      </c>
      <c r="AB32" s="40">
        <f t="shared" si="11"/>
        <v>-0.69</v>
      </c>
      <c r="AC32" s="57">
        <v>0.08</v>
      </c>
      <c r="AD32" s="39">
        <f t="shared" si="12"/>
        <v>-0.66239999999999999</v>
      </c>
      <c r="AE32" s="58">
        <v>-4.95</v>
      </c>
      <c r="AF32" s="58">
        <v>-6.5951496104156204</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9.5" customWidth="1"/>
    <col min="21" max="21" width="19.33203125" customWidth="1"/>
    <col min="22" max="22" width="11.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
        <v>824</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Info!B1:BJ5000""),2,FALSE),"""")"),"B082DJNGBZ")</f>
        <v>B082DJNGBZ</v>
      </c>
      <c r="B2" s="3" t="s">
        <v>825</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60" customHeight="1" x14ac:dyDescent="0.2">
      <c r="A3" s="76" t="s">
        <v>30</v>
      </c>
      <c r="B3" s="77"/>
      <c r="C3" s="47">
        <f>((AE32+AF32)/0.85)*-1</f>
        <v>16.428824705882352</v>
      </c>
      <c r="D3" s="5">
        <f>SUM(D4:D99765)</f>
        <v>251</v>
      </c>
      <c r="E3" s="5"/>
      <c r="F3" s="6">
        <f t="shared" ref="F3:G3" si="0">SUM(F4:F99765)</f>
        <v>8016.1000000000013</v>
      </c>
      <c r="G3" s="6">
        <f t="shared" si="0"/>
        <v>-0.16</v>
      </c>
      <c r="H3" s="7">
        <f t="shared" ref="H3:H32" si="1">G3/F3*-1</f>
        <v>1.9959830840433626E-5</v>
      </c>
      <c r="I3" s="8">
        <f t="shared" ref="I3:I32" si="2">J3/F3</f>
        <v>0.38524100146494872</v>
      </c>
      <c r="J3" s="6">
        <f>SUM(J4:J99765)</f>
        <v>3088.1303918431759</v>
      </c>
      <c r="K3" s="6">
        <f t="shared" ref="K3:K32" si="3">J3/D3</f>
        <v>12.303308334036558</v>
      </c>
      <c r="L3" s="5"/>
      <c r="M3" s="9"/>
      <c r="N3" s="10"/>
      <c r="O3" s="5" t="str">
        <f ca="1">IFERROR(__xludf.DUMMYFUNCTION("IFERROR(VLOOKUP(B2,IMPORTRANGE(""https://docs.google.com/spreadsheets/d/1N8jvpEHDVkurDv7NrPxwI3eH6hQsvtb1QltGNCalRjU/edit#gid=865736387"",""Compiled Sheet!a1:g5000""),2,FALSE),"""")"),"5 - March
5 - April
5 - May
5 - June
5 - July
5 - Aug
5 - Sept
3.27 - Oct
3.27 - Nov
3.27 - Dec
5 - Jan
5 - Feb")</f>
        <v>5 - March
5 - April
5 - May
5 - June
5 - July
5 - Aug
5 - Sept
3.27 - Oct
3.27 - Nov
3.27 - Dec
5 - Jan
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0</v>
      </c>
      <c r="X3" s="7">
        <f>W3/D3</f>
        <v>0</v>
      </c>
      <c r="Y3" s="6"/>
      <c r="Z3" s="5"/>
      <c r="AA3" s="5"/>
      <c r="AB3" s="5"/>
      <c r="AC3" s="5"/>
      <c r="AD3" s="6">
        <f>SUM(AD4:AD99765)</f>
        <v>-20.71049636195249</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Info!B2:BZ7000""),37,FALSE)),"""")*-1"),-8.544501)</f>
        <v>-8.5445010000000003</v>
      </c>
      <c r="AG3" s="6">
        <f>SUM(AG4:AG99765)</f>
        <v>0</v>
      </c>
    </row>
    <row r="4" spans="1:33" ht="15.75" customHeight="1" x14ac:dyDescent="0.2">
      <c r="A4" s="14" t="s">
        <v>31</v>
      </c>
      <c r="B4" s="14" t="s">
        <v>826</v>
      </c>
      <c r="C4" s="15">
        <f t="shared" ref="C4:C32" si="4">IFERROR(F4/D4," - ")</f>
        <v>28.888142857142856</v>
      </c>
      <c r="D4" s="16">
        <v>70</v>
      </c>
      <c r="E4" s="16">
        <v>0</v>
      </c>
      <c r="F4" s="17">
        <v>2022.17</v>
      </c>
      <c r="G4" s="17">
        <v>0</v>
      </c>
      <c r="H4" s="18">
        <f t="shared" si="1"/>
        <v>0</v>
      </c>
      <c r="I4" s="18">
        <f t="shared" si="2"/>
        <v>0.33947560959139733</v>
      </c>
      <c r="J4" s="17">
        <f t="shared" ref="J4:J32" si="5">F4*0.85+G4+AF4*D4+D4*AE4+AG4+AD4</f>
        <v>686.47739344743593</v>
      </c>
      <c r="K4" s="17">
        <f t="shared" si="3"/>
        <v>9.8068199063919419</v>
      </c>
      <c r="L4" s="16">
        <v>100</v>
      </c>
      <c r="M4" s="19">
        <f t="shared" ref="M4:M32" si="6">IFERROR(D4/L4,"-")</f>
        <v>0.7</v>
      </c>
      <c r="N4" s="16">
        <v>191</v>
      </c>
      <c r="O4" s="20">
        <f t="shared" ref="O4:P4" si="7">D4/7</f>
        <v>10</v>
      </c>
      <c r="P4" s="20">
        <f t="shared" si="7"/>
        <v>0</v>
      </c>
      <c r="Q4" s="16">
        <f t="shared" ref="Q4:Q32" si="8">ROUNDDOWN(N4/(O4+P4),0)</f>
        <v>19</v>
      </c>
      <c r="R4" s="16"/>
      <c r="S4" s="21">
        <v>0.96720594665500603</v>
      </c>
      <c r="T4" s="14">
        <v>0</v>
      </c>
      <c r="U4" s="22" t="s">
        <v>33</v>
      </c>
      <c r="V4" s="23" t="s">
        <v>33</v>
      </c>
      <c r="W4" s="14">
        <v>0</v>
      </c>
      <c r="X4" s="24">
        <f t="shared" ref="X4:X32" si="9">IFERROR(W4/D4,0)</f>
        <v>0</v>
      </c>
      <c r="Y4" s="25">
        <f t="shared" ref="Y4:Y32" si="10">IFERROR(G4/(W4+Z4)*-1,0)</f>
        <v>0</v>
      </c>
      <c r="Z4" s="14">
        <v>0</v>
      </c>
      <c r="AA4" s="2" t="s">
        <v>34</v>
      </c>
      <c r="AB4" s="26">
        <f t="shared" ref="AB4:AB32" si="11">IF(OR(AA4="UsLargeStandardSize",AA4="UsSmallStandardSize"),-0.69,-0.48)</f>
        <v>-0.69</v>
      </c>
      <c r="AC4" s="27">
        <v>5.9784083333333328E-2</v>
      </c>
      <c r="AD4" s="25">
        <f t="shared" ref="AD4:AD32" si="12">IFERROR(AB4*AC4*D4*2,0)</f>
        <v>-5.7751424499999988</v>
      </c>
      <c r="AE4" s="25">
        <v>-5.42</v>
      </c>
      <c r="AF4" s="25">
        <v>-9.2455994871794882</v>
      </c>
      <c r="AG4" s="25">
        <v>0</v>
      </c>
    </row>
    <row r="5" spans="1:33" ht="15.75" customHeight="1" x14ac:dyDescent="0.2">
      <c r="A5" s="28" t="s">
        <v>35</v>
      </c>
      <c r="B5" s="28" t="s">
        <v>827</v>
      </c>
      <c r="C5" s="15">
        <f t="shared" si="4"/>
        <v>32.940769230769234</v>
      </c>
      <c r="D5" s="29">
        <v>26</v>
      </c>
      <c r="E5" s="29">
        <v>0</v>
      </c>
      <c r="F5" s="30">
        <v>856.46</v>
      </c>
      <c r="G5" s="30">
        <v>0</v>
      </c>
      <c r="H5" s="31">
        <f t="shared" si="1"/>
        <v>0</v>
      </c>
      <c r="I5" s="31">
        <f t="shared" si="2"/>
        <v>0.40228133812014671</v>
      </c>
      <c r="J5" s="32">
        <f t="shared" si="5"/>
        <v>344.53787484638087</v>
      </c>
      <c r="K5" s="32">
        <f t="shared" si="3"/>
        <v>13.251456724860804</v>
      </c>
      <c r="L5" s="29">
        <v>79</v>
      </c>
      <c r="M5" s="33">
        <f t="shared" si="6"/>
        <v>0.32911392405063289</v>
      </c>
      <c r="N5" s="29">
        <v>162</v>
      </c>
      <c r="O5" s="34">
        <f t="shared" ref="O5:P5" si="13">D5/7</f>
        <v>3.7142857142857144</v>
      </c>
      <c r="P5" s="34">
        <f t="shared" si="13"/>
        <v>0</v>
      </c>
      <c r="Q5" s="29">
        <f t="shared" si="8"/>
        <v>43</v>
      </c>
      <c r="R5" s="29"/>
      <c r="S5" s="35">
        <v>1.09246088193456</v>
      </c>
      <c r="T5" s="28">
        <v>0</v>
      </c>
      <c r="U5" s="36" t="s">
        <v>33</v>
      </c>
      <c r="V5" s="37" t="s">
        <v>33</v>
      </c>
      <c r="W5" s="28">
        <v>0</v>
      </c>
      <c r="X5" s="38">
        <f t="shared" si="9"/>
        <v>0</v>
      </c>
      <c r="Y5" s="39">
        <f t="shared" si="10"/>
        <v>0</v>
      </c>
      <c r="Z5" s="28">
        <v>0</v>
      </c>
      <c r="AA5" s="28" t="s">
        <v>34</v>
      </c>
      <c r="AB5" s="40">
        <f t="shared" si="11"/>
        <v>-0.69</v>
      </c>
      <c r="AC5" s="41">
        <v>5.9853358053302427E-2</v>
      </c>
      <c r="AD5" s="39">
        <f t="shared" si="12"/>
        <v>-2.1475384869524912</v>
      </c>
      <c r="AE5" s="39">
        <v>-5.42</v>
      </c>
      <c r="AF5" s="39">
        <v>-9.2455994871794882</v>
      </c>
      <c r="AG5" s="39">
        <v>0</v>
      </c>
    </row>
    <row r="6" spans="1:33" ht="15.75" customHeight="1" x14ac:dyDescent="0.2">
      <c r="A6" s="28" t="s">
        <v>37</v>
      </c>
      <c r="B6" s="28" t="s">
        <v>828</v>
      </c>
      <c r="C6" s="15">
        <f t="shared" si="4"/>
        <v>32.894166666666656</v>
      </c>
      <c r="D6" s="29">
        <v>24</v>
      </c>
      <c r="E6" s="29">
        <v>0</v>
      </c>
      <c r="F6" s="30">
        <v>789.45999999999981</v>
      </c>
      <c r="G6" s="30">
        <v>0</v>
      </c>
      <c r="H6" s="31">
        <f t="shared" si="1"/>
        <v>0</v>
      </c>
      <c r="I6" s="31">
        <f t="shared" si="2"/>
        <v>0.40164994232474377</v>
      </c>
      <c r="J6" s="32">
        <f t="shared" si="5"/>
        <v>317.08656346769214</v>
      </c>
      <c r="K6" s="32">
        <f t="shared" si="3"/>
        <v>13.211940144487173</v>
      </c>
      <c r="L6" s="29">
        <v>89</v>
      </c>
      <c r="M6" s="33">
        <f t="shared" si="6"/>
        <v>0.2696629213483146</v>
      </c>
      <c r="N6" s="29">
        <v>132</v>
      </c>
      <c r="O6" s="34">
        <f t="shared" ref="O6:P6" si="14">D6/7</f>
        <v>3.4285714285714284</v>
      </c>
      <c r="P6" s="34">
        <f t="shared" si="14"/>
        <v>0</v>
      </c>
      <c r="Q6" s="29">
        <f t="shared" si="8"/>
        <v>38</v>
      </c>
      <c r="R6" s="29"/>
      <c r="S6" s="35">
        <v>1.2037422037422001</v>
      </c>
      <c r="T6" s="28" t="s">
        <v>33</v>
      </c>
      <c r="U6" s="36" t="s">
        <v>33</v>
      </c>
      <c r="V6" s="37" t="s">
        <v>33</v>
      </c>
      <c r="W6" s="28">
        <v>0</v>
      </c>
      <c r="X6" s="38">
        <f t="shared" si="9"/>
        <v>0</v>
      </c>
      <c r="Y6" s="39">
        <f t="shared" si="10"/>
        <v>0</v>
      </c>
      <c r="Z6" s="28">
        <v>0</v>
      </c>
      <c r="AA6" s="28" t="s">
        <v>34</v>
      </c>
      <c r="AB6" s="40">
        <f t="shared" si="11"/>
        <v>-0.69</v>
      </c>
      <c r="AC6" s="41">
        <v>5.9784083333333328E-2</v>
      </c>
      <c r="AD6" s="39">
        <f t="shared" si="12"/>
        <v>-1.9800488399999998</v>
      </c>
      <c r="AE6" s="39">
        <v>-5.42</v>
      </c>
      <c r="AF6" s="39">
        <v>-9.2455994871794882</v>
      </c>
      <c r="AG6" s="39">
        <v>0</v>
      </c>
    </row>
    <row r="7" spans="1:33" ht="15.75" customHeight="1" x14ac:dyDescent="0.2">
      <c r="A7" s="28" t="s">
        <v>40</v>
      </c>
      <c r="B7" s="28" t="s">
        <v>82</v>
      </c>
      <c r="C7" s="15">
        <f t="shared" si="4"/>
        <v>32.710540540540542</v>
      </c>
      <c r="D7" s="29">
        <v>37</v>
      </c>
      <c r="E7" s="29">
        <v>0</v>
      </c>
      <c r="F7" s="30">
        <v>1210.29</v>
      </c>
      <c r="G7" s="30">
        <v>0</v>
      </c>
      <c r="H7" s="31">
        <f t="shared" si="1"/>
        <v>0</v>
      </c>
      <c r="I7" s="31">
        <f t="shared" si="2"/>
        <v>0.39913305379649422</v>
      </c>
      <c r="J7" s="32">
        <f t="shared" si="5"/>
        <v>483.06674367935898</v>
      </c>
      <c r="K7" s="32">
        <f t="shared" si="3"/>
        <v>13.055857937279972</v>
      </c>
      <c r="L7" s="29">
        <v>173</v>
      </c>
      <c r="M7" s="33">
        <f t="shared" si="6"/>
        <v>0.2138728323699422</v>
      </c>
      <c r="N7" s="29">
        <v>96</v>
      </c>
      <c r="O7" s="34">
        <f t="shared" ref="O7:P7" si="15">D7/7</f>
        <v>5.2857142857142856</v>
      </c>
      <c r="P7" s="34">
        <f t="shared" si="15"/>
        <v>0</v>
      </c>
      <c r="Q7" s="29">
        <f t="shared" si="8"/>
        <v>18</v>
      </c>
      <c r="R7" s="29"/>
      <c r="S7" s="35">
        <v>1.3576309794988599</v>
      </c>
      <c r="T7" s="28" t="s">
        <v>33</v>
      </c>
      <c r="U7" s="36" t="s">
        <v>33</v>
      </c>
      <c r="V7" s="37" t="s">
        <v>33</v>
      </c>
      <c r="W7" s="28">
        <v>0</v>
      </c>
      <c r="X7" s="38">
        <f t="shared" si="9"/>
        <v>0</v>
      </c>
      <c r="Y7" s="39">
        <f t="shared" si="10"/>
        <v>0</v>
      </c>
      <c r="Z7" s="28">
        <v>0</v>
      </c>
      <c r="AA7" s="28" t="s">
        <v>34</v>
      </c>
      <c r="AB7" s="40">
        <f t="shared" si="11"/>
        <v>-0.69</v>
      </c>
      <c r="AC7" s="41">
        <v>5.9784083333333328E-2</v>
      </c>
      <c r="AD7" s="39">
        <f t="shared" si="12"/>
        <v>-3.0525752949999996</v>
      </c>
      <c r="AE7" s="39">
        <v>-5.42</v>
      </c>
      <c r="AF7" s="39">
        <v>-9.2455994871794882</v>
      </c>
      <c r="AG7" s="39">
        <v>0</v>
      </c>
    </row>
    <row r="8" spans="1:33" ht="15.75" customHeight="1" x14ac:dyDescent="0.2">
      <c r="A8" s="28" t="s">
        <v>42</v>
      </c>
      <c r="B8" s="28" t="s">
        <v>829</v>
      </c>
      <c r="C8" s="15">
        <f t="shared" si="4"/>
        <v>32.756206896551731</v>
      </c>
      <c r="D8" s="29">
        <v>29</v>
      </c>
      <c r="E8" s="29">
        <v>0</v>
      </c>
      <c r="F8" s="30">
        <v>949.93000000000029</v>
      </c>
      <c r="G8" s="30">
        <v>-0.02</v>
      </c>
      <c r="H8" s="31">
        <f t="shared" si="1"/>
        <v>2.1054182939795557E-5</v>
      </c>
      <c r="I8" s="31">
        <f t="shared" si="2"/>
        <v>0.39960622465339568</v>
      </c>
      <c r="J8" s="32">
        <f t="shared" si="5"/>
        <v>379.59794098500026</v>
      </c>
      <c r="K8" s="32">
        <f t="shared" si="3"/>
        <v>13.089584171896561</v>
      </c>
      <c r="L8" s="29">
        <v>119</v>
      </c>
      <c r="M8" s="33">
        <f t="shared" si="6"/>
        <v>0.24369747899159663</v>
      </c>
      <c r="N8" s="29">
        <v>70</v>
      </c>
      <c r="O8" s="34">
        <f t="shared" ref="O8:P8" si="16">D8/7</f>
        <v>4.1428571428571432</v>
      </c>
      <c r="P8" s="34">
        <f t="shared" si="16"/>
        <v>0</v>
      </c>
      <c r="Q8" s="29">
        <f t="shared" si="8"/>
        <v>16</v>
      </c>
      <c r="R8" s="29"/>
      <c r="S8" s="35">
        <v>1.55612244897959</v>
      </c>
      <c r="T8" s="28" t="s">
        <v>33</v>
      </c>
      <c r="U8" s="36" t="s">
        <v>33</v>
      </c>
      <c r="V8" s="37" t="s">
        <v>33</v>
      </c>
      <c r="W8" s="28">
        <v>0</v>
      </c>
      <c r="X8" s="38">
        <f t="shared" si="9"/>
        <v>0</v>
      </c>
      <c r="Y8" s="39">
        <f t="shared" si="10"/>
        <v>0</v>
      </c>
      <c r="Z8" s="28">
        <v>0</v>
      </c>
      <c r="AA8" s="28" t="s">
        <v>34</v>
      </c>
      <c r="AB8" s="40">
        <f t="shared" si="11"/>
        <v>-0.69</v>
      </c>
      <c r="AC8" s="41">
        <v>5.9784083333333328E-2</v>
      </c>
      <c r="AD8" s="39">
        <f t="shared" si="12"/>
        <v>-2.3925590149999998</v>
      </c>
      <c r="AE8" s="39">
        <v>-5.42</v>
      </c>
      <c r="AF8" s="39">
        <v>-9.25</v>
      </c>
      <c r="AG8" s="39">
        <v>0</v>
      </c>
    </row>
    <row r="9" spans="1:33" ht="15.75" customHeight="1" x14ac:dyDescent="0.2">
      <c r="A9" s="28" t="s">
        <v>44</v>
      </c>
      <c r="B9" s="28" t="s">
        <v>830</v>
      </c>
      <c r="C9" s="15">
        <f t="shared" si="4"/>
        <v>31.209375000000001</v>
      </c>
      <c r="D9" s="29">
        <v>32</v>
      </c>
      <c r="E9" s="29">
        <v>0</v>
      </c>
      <c r="F9" s="30">
        <v>998.7</v>
      </c>
      <c r="G9" s="30">
        <v>-0.02</v>
      </c>
      <c r="H9" s="31">
        <f t="shared" si="1"/>
        <v>2.0026033843997196E-5</v>
      </c>
      <c r="I9" s="31">
        <f t="shared" si="2"/>
        <v>0.36603107887227765</v>
      </c>
      <c r="J9" s="32">
        <f t="shared" si="5"/>
        <v>365.5552384697437</v>
      </c>
      <c r="K9" s="32">
        <f t="shared" si="3"/>
        <v>11.423601202179491</v>
      </c>
      <c r="L9" s="29">
        <v>100</v>
      </c>
      <c r="M9" s="33">
        <f t="shared" si="6"/>
        <v>0.32</v>
      </c>
      <c r="N9" s="29">
        <v>36</v>
      </c>
      <c r="O9" s="34">
        <f t="shared" ref="O9:P9" si="17">D9/7</f>
        <v>4.5714285714285712</v>
      </c>
      <c r="P9" s="34">
        <f t="shared" si="17"/>
        <v>0</v>
      </c>
      <c r="Q9" s="29">
        <f t="shared" si="8"/>
        <v>7</v>
      </c>
      <c r="R9" s="29"/>
      <c r="S9" s="35">
        <v>1.7935943060498201</v>
      </c>
      <c r="T9" s="28" t="s">
        <v>33</v>
      </c>
      <c r="U9" s="36" t="s">
        <v>33</v>
      </c>
      <c r="V9" s="37" t="s">
        <v>33</v>
      </c>
      <c r="W9" s="28">
        <v>0</v>
      </c>
      <c r="X9" s="38">
        <f t="shared" si="9"/>
        <v>0</v>
      </c>
      <c r="Y9" s="39">
        <f t="shared" si="10"/>
        <v>0.02</v>
      </c>
      <c r="Z9" s="28">
        <v>1</v>
      </c>
      <c r="AA9" s="28" t="s">
        <v>34</v>
      </c>
      <c r="AB9" s="40">
        <f t="shared" si="11"/>
        <v>-0.69</v>
      </c>
      <c r="AC9" s="41">
        <v>5.9784083333333328E-2</v>
      </c>
      <c r="AD9" s="39">
        <f t="shared" si="12"/>
        <v>-2.6400651199999996</v>
      </c>
      <c r="AE9" s="39">
        <v>-5.42</v>
      </c>
      <c r="AF9" s="39">
        <v>-9.6012405128205103</v>
      </c>
      <c r="AG9" s="39">
        <v>0</v>
      </c>
    </row>
    <row r="10" spans="1:33" ht="15.75" customHeight="1" x14ac:dyDescent="0.2">
      <c r="A10" s="28" t="s">
        <v>46</v>
      </c>
      <c r="B10" s="28" t="s">
        <v>831</v>
      </c>
      <c r="C10" s="15">
        <f t="shared" si="4"/>
        <v>35.603333333333332</v>
      </c>
      <c r="D10" s="29">
        <v>9</v>
      </c>
      <c r="E10" s="29">
        <v>0</v>
      </c>
      <c r="F10" s="30">
        <v>320.43</v>
      </c>
      <c r="G10" s="30">
        <v>0</v>
      </c>
      <c r="H10" s="31">
        <f t="shared" si="1"/>
        <v>0</v>
      </c>
      <c r="I10" s="31">
        <f t="shared" si="2"/>
        <v>0.42577729010896415</v>
      </c>
      <c r="J10" s="32">
        <f t="shared" si="5"/>
        <v>136.43181706961539</v>
      </c>
      <c r="K10" s="32">
        <f t="shared" si="3"/>
        <v>15.159090785512822</v>
      </c>
      <c r="L10" s="29">
        <v>61</v>
      </c>
      <c r="M10" s="33">
        <f t="shared" si="6"/>
        <v>0.14754098360655737</v>
      </c>
      <c r="N10" s="29">
        <v>25</v>
      </c>
      <c r="O10" s="34">
        <f t="shared" ref="O10:P10" si="18">D10/7</f>
        <v>1.2857142857142858</v>
      </c>
      <c r="P10" s="34">
        <f t="shared" si="18"/>
        <v>0</v>
      </c>
      <c r="Q10" s="29">
        <f t="shared" si="8"/>
        <v>19</v>
      </c>
      <c r="R10" s="29"/>
      <c r="S10" s="35">
        <v>2.02568218298555</v>
      </c>
      <c r="T10" s="28">
        <v>0</v>
      </c>
      <c r="U10" s="36" t="s">
        <v>33</v>
      </c>
      <c r="V10" s="37" t="s">
        <v>33</v>
      </c>
      <c r="W10" s="28">
        <v>0</v>
      </c>
      <c r="X10" s="38">
        <f t="shared" si="9"/>
        <v>0</v>
      </c>
      <c r="Y10" s="39">
        <f t="shared" si="10"/>
        <v>0</v>
      </c>
      <c r="Z10" s="28">
        <v>0</v>
      </c>
      <c r="AA10" s="28" t="s">
        <v>34</v>
      </c>
      <c r="AB10" s="40">
        <f t="shared" si="11"/>
        <v>-0.69</v>
      </c>
      <c r="AC10" s="41">
        <v>5.9784083333333328E-2</v>
      </c>
      <c r="AD10" s="39">
        <f t="shared" si="12"/>
        <v>-0.74251831499999987</v>
      </c>
      <c r="AE10" s="39">
        <v>-5.42</v>
      </c>
      <c r="AF10" s="39">
        <v>-9.6012405128205103</v>
      </c>
      <c r="AG10" s="39">
        <v>0</v>
      </c>
    </row>
    <row r="11" spans="1:33" ht="15.75" customHeight="1" x14ac:dyDescent="0.2">
      <c r="A11" s="28" t="s">
        <v>48</v>
      </c>
      <c r="B11" s="28" t="s">
        <v>47</v>
      </c>
      <c r="C11" s="15">
        <f t="shared" si="4"/>
        <v>36.921818181818182</v>
      </c>
      <c r="D11" s="29">
        <v>11</v>
      </c>
      <c r="E11" s="29">
        <v>0</v>
      </c>
      <c r="F11" s="30">
        <v>406.14</v>
      </c>
      <c r="G11" s="30">
        <v>-0.04</v>
      </c>
      <c r="H11" s="31">
        <f t="shared" si="1"/>
        <v>9.8488206037327034E-5</v>
      </c>
      <c r="I11" s="31">
        <f t="shared" si="2"/>
        <v>0.4408278720982281</v>
      </c>
      <c r="J11" s="32">
        <f t="shared" si="5"/>
        <v>179.03783197397436</v>
      </c>
      <c r="K11" s="32">
        <f t="shared" si="3"/>
        <v>16.276166543088578</v>
      </c>
      <c r="L11" s="29">
        <v>55</v>
      </c>
      <c r="M11" s="33">
        <f t="shared" si="6"/>
        <v>0.2</v>
      </c>
      <c r="N11" s="29">
        <v>14</v>
      </c>
      <c r="O11" s="34">
        <f t="shared" ref="O11:P11" si="19">D11/7</f>
        <v>1.5714285714285714</v>
      </c>
      <c r="P11" s="34">
        <f t="shared" si="19"/>
        <v>0</v>
      </c>
      <c r="Q11" s="29">
        <f t="shared" si="8"/>
        <v>8</v>
      </c>
      <c r="R11" s="29"/>
      <c r="S11" s="35">
        <v>2.2715596330275201</v>
      </c>
      <c r="T11" s="28">
        <v>0</v>
      </c>
      <c r="U11" s="36" t="s">
        <v>33</v>
      </c>
      <c r="V11" s="37" t="s">
        <v>33</v>
      </c>
      <c r="W11" s="28">
        <v>0</v>
      </c>
      <c r="X11" s="38">
        <f t="shared" si="9"/>
        <v>0</v>
      </c>
      <c r="Y11" s="39">
        <f t="shared" si="10"/>
        <v>0</v>
      </c>
      <c r="Z11" s="28">
        <v>0</v>
      </c>
      <c r="AA11" s="28" t="s">
        <v>34</v>
      </c>
      <c r="AB11" s="40">
        <f t="shared" si="11"/>
        <v>-0.69</v>
      </c>
      <c r="AC11" s="41">
        <v>5.9784083333333328E-2</v>
      </c>
      <c r="AD11" s="39">
        <f t="shared" si="12"/>
        <v>-0.90752238499999982</v>
      </c>
      <c r="AE11" s="39">
        <v>-5.42</v>
      </c>
      <c r="AF11" s="39">
        <v>-9.6012405128205103</v>
      </c>
      <c r="AG11" s="39">
        <v>0</v>
      </c>
    </row>
    <row r="12" spans="1:33" ht="15.75" customHeight="1" x14ac:dyDescent="0.2">
      <c r="A12" s="28" t="s">
        <v>49</v>
      </c>
      <c r="B12" s="28" t="s">
        <v>150</v>
      </c>
      <c r="C12" s="15">
        <f t="shared" si="4"/>
        <v>34.77272727272728</v>
      </c>
      <c r="D12" s="29">
        <v>11</v>
      </c>
      <c r="E12" s="29">
        <v>1</v>
      </c>
      <c r="F12" s="30">
        <v>382.50000000000006</v>
      </c>
      <c r="G12" s="30">
        <v>-0.08</v>
      </c>
      <c r="H12" s="31">
        <f t="shared" si="1"/>
        <v>2.0915032679738558E-4</v>
      </c>
      <c r="I12" s="31">
        <f t="shared" si="2"/>
        <v>0.41543485483392012</v>
      </c>
      <c r="J12" s="32">
        <f t="shared" si="5"/>
        <v>158.90383197397446</v>
      </c>
      <c r="K12" s="32">
        <f t="shared" si="3"/>
        <v>14.445802906724952</v>
      </c>
      <c r="L12" s="29">
        <v>30</v>
      </c>
      <c r="M12" s="33">
        <f t="shared" si="6"/>
        <v>0.36666666666666664</v>
      </c>
      <c r="N12" s="29">
        <v>2</v>
      </c>
      <c r="O12" s="34">
        <f t="shared" ref="O12:P12" si="20">D12/7</f>
        <v>1.5714285714285714</v>
      </c>
      <c r="P12" s="34">
        <f t="shared" si="20"/>
        <v>0.14285714285714285</v>
      </c>
      <c r="Q12" s="29">
        <f t="shared" si="8"/>
        <v>1</v>
      </c>
      <c r="R12" s="29"/>
      <c r="S12" s="35">
        <v>2.5493562231759599</v>
      </c>
      <c r="T12" s="28">
        <v>0</v>
      </c>
      <c r="U12" s="36" t="s">
        <v>33</v>
      </c>
      <c r="V12" s="37" t="s">
        <v>33</v>
      </c>
      <c r="W12" s="28">
        <v>0</v>
      </c>
      <c r="X12" s="38">
        <f t="shared" si="9"/>
        <v>0</v>
      </c>
      <c r="Y12" s="39">
        <f t="shared" si="10"/>
        <v>0</v>
      </c>
      <c r="Z12" s="28">
        <v>0</v>
      </c>
      <c r="AA12" s="28" t="s">
        <v>34</v>
      </c>
      <c r="AB12" s="40">
        <f t="shared" si="11"/>
        <v>-0.69</v>
      </c>
      <c r="AC12" s="41">
        <v>5.9784083333333328E-2</v>
      </c>
      <c r="AD12" s="39">
        <f t="shared" si="12"/>
        <v>-0.90752238499999982</v>
      </c>
      <c r="AE12" s="39">
        <v>-5.42</v>
      </c>
      <c r="AF12" s="39">
        <v>-9.6012405128205103</v>
      </c>
      <c r="AG12" s="39">
        <v>0</v>
      </c>
    </row>
    <row r="13" spans="1:33" ht="15.75" customHeight="1" x14ac:dyDescent="0.2">
      <c r="A13" s="28" t="s">
        <v>50</v>
      </c>
      <c r="B13" s="28" t="s">
        <v>52</v>
      </c>
      <c r="C13" s="15">
        <f t="shared" si="4"/>
        <v>40.010000000000005</v>
      </c>
      <c r="D13" s="29">
        <v>2</v>
      </c>
      <c r="E13" s="29">
        <v>0</v>
      </c>
      <c r="F13" s="32">
        <v>80.02000000000001</v>
      </c>
      <c r="G13" s="30">
        <v>0</v>
      </c>
      <c r="H13" s="31">
        <f t="shared" si="1"/>
        <v>0</v>
      </c>
      <c r="I13" s="31">
        <f t="shared" si="2"/>
        <v>0.46782249350162453</v>
      </c>
      <c r="J13" s="32">
        <f t="shared" si="5"/>
        <v>37.435155930000001</v>
      </c>
      <c r="K13" s="32">
        <f t="shared" si="3"/>
        <v>18.717577965</v>
      </c>
      <c r="L13" s="29">
        <v>12</v>
      </c>
      <c r="M13" s="33">
        <f t="shared" si="6"/>
        <v>0.16666666666666666</v>
      </c>
      <c r="N13" s="29">
        <v>0</v>
      </c>
      <c r="O13" s="34">
        <f t="shared" ref="O13:P13" si="21">D13/7</f>
        <v>0.2857142857142857</v>
      </c>
      <c r="P13" s="34">
        <f t="shared" si="21"/>
        <v>0</v>
      </c>
      <c r="Q13" s="29">
        <f t="shared" si="8"/>
        <v>0</v>
      </c>
      <c r="R13" s="29"/>
      <c r="S13" s="35">
        <v>2.5863267670915402</v>
      </c>
      <c r="T13" s="28">
        <v>0</v>
      </c>
      <c r="U13" s="36" t="s">
        <v>33</v>
      </c>
      <c r="V13" s="37" t="s">
        <v>33</v>
      </c>
      <c r="W13" s="28">
        <v>0</v>
      </c>
      <c r="X13" s="38">
        <f t="shared" si="9"/>
        <v>0</v>
      </c>
      <c r="Y13" s="39">
        <f t="shared" si="10"/>
        <v>0</v>
      </c>
      <c r="Z13" s="28">
        <v>0</v>
      </c>
      <c r="AA13" s="28" t="s">
        <v>34</v>
      </c>
      <c r="AB13" s="40">
        <f t="shared" si="11"/>
        <v>-0.69</v>
      </c>
      <c r="AC13" s="41">
        <v>5.9784083333333328E-2</v>
      </c>
      <c r="AD13" s="39">
        <f t="shared" si="12"/>
        <v>-0.16500406999999997</v>
      </c>
      <c r="AE13" s="39">
        <v>-5.42</v>
      </c>
      <c r="AF13" s="39">
        <v>-9.7884200000000003</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1000</v>
      </c>
      <c r="U14" s="36" t="s">
        <v>33</v>
      </c>
      <c r="V14" s="37" t="s">
        <v>33</v>
      </c>
      <c r="W14" s="28">
        <v>0</v>
      </c>
      <c r="X14" s="38">
        <f t="shared" si="9"/>
        <v>0</v>
      </c>
      <c r="Y14" s="39">
        <f t="shared" si="10"/>
        <v>0</v>
      </c>
      <c r="Z14" s="28">
        <v>0</v>
      </c>
      <c r="AA14" s="28" t="s">
        <v>34</v>
      </c>
      <c r="AB14" s="40">
        <f t="shared" si="11"/>
        <v>-0.69</v>
      </c>
      <c r="AC14" s="41">
        <v>5.9784083333333328E-2</v>
      </c>
      <c r="AD14" s="39">
        <f t="shared" si="12"/>
        <v>0</v>
      </c>
      <c r="AE14" s="39">
        <v>-5.42</v>
      </c>
      <c r="AF14" s="39">
        <v>-9.7884200000000003</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1000</v>
      </c>
      <c r="U15" s="36" t="s">
        <v>33</v>
      </c>
      <c r="V15" s="37" t="s">
        <v>33</v>
      </c>
      <c r="W15" s="28">
        <v>0</v>
      </c>
      <c r="X15" s="38">
        <f t="shared" si="9"/>
        <v>0</v>
      </c>
      <c r="Y15" s="39">
        <f t="shared" si="10"/>
        <v>0</v>
      </c>
      <c r="Z15" s="28">
        <v>0</v>
      </c>
      <c r="AA15" s="28" t="s">
        <v>34</v>
      </c>
      <c r="AB15" s="40">
        <f t="shared" si="11"/>
        <v>-0.69</v>
      </c>
      <c r="AC15" s="41">
        <v>5.9784083333333328E-2</v>
      </c>
      <c r="AD15" s="39">
        <f t="shared" si="12"/>
        <v>0</v>
      </c>
      <c r="AE15" s="39">
        <v>-5.42</v>
      </c>
      <c r="AF15" s="39">
        <v>-9.7884200000000003</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0</v>
      </c>
      <c r="O16" s="34">
        <f t="shared" ref="O16:P16" si="24">D16/7</f>
        <v>0</v>
      </c>
      <c r="P16" s="34">
        <f t="shared" si="24"/>
        <v>0</v>
      </c>
      <c r="Q16" s="29" t="e">
        <f t="shared" si="8"/>
        <v>#DIV/0!</v>
      </c>
      <c r="R16" s="29"/>
      <c r="S16" s="35" t="e">
        <v>#N/A</v>
      </c>
      <c r="T16" s="28">
        <v>1000</v>
      </c>
      <c r="U16" s="36" t="s">
        <v>33</v>
      </c>
      <c r="V16" s="37" t="s">
        <v>33</v>
      </c>
      <c r="W16" s="28">
        <v>0</v>
      </c>
      <c r="X16" s="38">
        <f t="shared" si="9"/>
        <v>0</v>
      </c>
      <c r="Y16" s="39">
        <f t="shared" si="10"/>
        <v>0</v>
      </c>
      <c r="Z16" s="28">
        <v>0</v>
      </c>
      <c r="AA16" s="28" t="s">
        <v>34</v>
      </c>
      <c r="AB16" s="40">
        <f t="shared" si="11"/>
        <v>-0.69</v>
      </c>
      <c r="AC16" s="41">
        <v>5.9784083333333328E-2</v>
      </c>
      <c r="AD16" s="39">
        <f t="shared" si="12"/>
        <v>0</v>
      </c>
      <c r="AE16" s="39">
        <v>-5.42</v>
      </c>
      <c r="AF16" s="39">
        <v>-9.7884200000000003</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0</v>
      </c>
      <c r="O17" s="34">
        <f t="shared" ref="O17:P17" si="25">D17/7</f>
        <v>0</v>
      </c>
      <c r="P17" s="34">
        <f t="shared" si="25"/>
        <v>0</v>
      </c>
      <c r="Q17" s="29" t="e">
        <f t="shared" si="8"/>
        <v>#DIV/0!</v>
      </c>
      <c r="R17" s="29"/>
      <c r="S17" s="35" t="e">
        <v>#N/A</v>
      </c>
      <c r="T17" s="28">
        <v>2000</v>
      </c>
      <c r="U17" s="36" t="s">
        <v>33</v>
      </c>
      <c r="V17" s="37" t="s">
        <v>33</v>
      </c>
      <c r="W17" s="28">
        <v>0</v>
      </c>
      <c r="X17" s="38">
        <f t="shared" si="9"/>
        <v>0</v>
      </c>
      <c r="Y17" s="39">
        <f t="shared" si="10"/>
        <v>0</v>
      </c>
      <c r="Z17" s="28">
        <v>0</v>
      </c>
      <c r="AA17" s="28" t="s">
        <v>34</v>
      </c>
      <c r="AB17" s="40">
        <f t="shared" si="11"/>
        <v>-0.69</v>
      </c>
      <c r="AC17" s="41">
        <v>5.9784083333333328E-2</v>
      </c>
      <c r="AD17" s="39">
        <f t="shared" si="12"/>
        <v>0</v>
      </c>
      <c r="AE17" s="39">
        <v>-5.42</v>
      </c>
      <c r="AF17" s="39">
        <v>-9.5976199999999992</v>
      </c>
      <c r="AG17" s="39">
        <v>0</v>
      </c>
    </row>
    <row r="18" spans="1:33" ht="15.75" customHeight="1" x14ac:dyDescent="0.2">
      <c r="A18" s="28" t="s">
        <v>56</v>
      </c>
      <c r="B18" s="28"/>
      <c r="C18" s="15" t="str">
        <f t="shared" si="4"/>
        <v xml:space="preserve"> - </v>
      </c>
      <c r="D18" s="29">
        <v>0</v>
      </c>
      <c r="E18" s="29">
        <v>0</v>
      </c>
      <c r="F18" s="32">
        <v>0</v>
      </c>
      <c r="G18" s="30">
        <v>0</v>
      </c>
      <c r="H18" s="31" t="e">
        <f t="shared" si="1"/>
        <v>#DIV/0!</v>
      </c>
      <c r="I18" s="31" t="e">
        <f t="shared" si="2"/>
        <v>#DIV/0!</v>
      </c>
      <c r="J18" s="32">
        <f t="shared" si="5"/>
        <v>0</v>
      </c>
      <c r="K18" s="32" t="e">
        <f t="shared" si="3"/>
        <v>#DIV/0!</v>
      </c>
      <c r="L18" s="29">
        <v>0</v>
      </c>
      <c r="M18" s="33" t="str">
        <f t="shared" si="6"/>
        <v>-</v>
      </c>
      <c r="N18" s="29">
        <v>0</v>
      </c>
      <c r="O18" s="34">
        <f t="shared" ref="O18:P18" si="26">D18/7</f>
        <v>0</v>
      </c>
      <c r="P18" s="34">
        <f t="shared" si="26"/>
        <v>0</v>
      </c>
      <c r="Q18" s="29" t="e">
        <f t="shared" si="8"/>
        <v>#DIV/0!</v>
      </c>
      <c r="R18" s="29"/>
      <c r="S18" s="35" t="e">
        <v>#N/A</v>
      </c>
      <c r="T18" s="28">
        <v>3200</v>
      </c>
      <c r="U18" s="36" t="s">
        <v>33</v>
      </c>
      <c r="V18" s="37" t="s">
        <v>33</v>
      </c>
      <c r="W18" s="28">
        <v>0</v>
      </c>
      <c r="X18" s="38">
        <f t="shared" si="9"/>
        <v>0</v>
      </c>
      <c r="Y18" s="39">
        <f t="shared" si="10"/>
        <v>0</v>
      </c>
      <c r="Z18" s="28">
        <v>0</v>
      </c>
      <c r="AA18" s="28" t="s">
        <v>34</v>
      </c>
      <c r="AB18" s="40">
        <f t="shared" si="11"/>
        <v>-0.69</v>
      </c>
      <c r="AC18" s="41">
        <v>5.9784083333333328E-2</v>
      </c>
      <c r="AD18" s="39">
        <f t="shared" si="12"/>
        <v>0</v>
      </c>
      <c r="AE18" s="39">
        <v>-5.42</v>
      </c>
      <c r="AF18" s="39">
        <v>-9.5976199999999992</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t="e">
        <v>#N/A</v>
      </c>
      <c r="T19" s="28">
        <v>3200</v>
      </c>
      <c r="U19" s="36" t="s">
        <v>33</v>
      </c>
      <c r="V19" s="37" t="s">
        <v>33</v>
      </c>
      <c r="W19" s="28">
        <v>0</v>
      </c>
      <c r="X19" s="38">
        <f t="shared" si="9"/>
        <v>0</v>
      </c>
      <c r="Y19" s="39">
        <f t="shared" si="10"/>
        <v>0</v>
      </c>
      <c r="Z19" s="28">
        <v>0</v>
      </c>
      <c r="AA19" s="28" t="s">
        <v>34</v>
      </c>
      <c r="AB19" s="40">
        <f t="shared" si="11"/>
        <v>-0.69</v>
      </c>
      <c r="AC19" s="41">
        <v>5.9784083333333328E-2</v>
      </c>
      <c r="AD19" s="39">
        <f t="shared" si="12"/>
        <v>0</v>
      </c>
      <c r="AE19" s="39">
        <v>-5.42</v>
      </c>
      <c r="AF19" s="39">
        <v>-9.5976199999999992</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3200</v>
      </c>
      <c r="U20" s="36" t="s">
        <v>33</v>
      </c>
      <c r="V20" s="37" t="s">
        <v>33</v>
      </c>
      <c r="W20" s="28">
        <v>0</v>
      </c>
      <c r="X20" s="38">
        <f t="shared" si="9"/>
        <v>0</v>
      </c>
      <c r="Y20" s="39">
        <f t="shared" si="10"/>
        <v>0</v>
      </c>
      <c r="Z20" s="28">
        <v>0</v>
      </c>
      <c r="AA20" s="28" t="s">
        <v>34</v>
      </c>
      <c r="AB20" s="40">
        <f t="shared" si="11"/>
        <v>-0.69</v>
      </c>
      <c r="AC20" s="41">
        <v>5.9784083333333328E-2</v>
      </c>
      <c r="AD20" s="39">
        <f t="shared" si="12"/>
        <v>0</v>
      </c>
      <c r="AE20" s="39">
        <v>-5.42</v>
      </c>
      <c r="AF20" s="39">
        <v>-9.5976199999999992</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3200</v>
      </c>
      <c r="U21" s="36" t="s">
        <v>33</v>
      </c>
      <c r="V21" s="37" t="s">
        <v>33</v>
      </c>
      <c r="W21" s="28">
        <v>0</v>
      </c>
      <c r="X21" s="38">
        <f t="shared" si="9"/>
        <v>0</v>
      </c>
      <c r="Y21" s="39">
        <f t="shared" si="10"/>
        <v>0</v>
      </c>
      <c r="Z21" s="28">
        <v>0</v>
      </c>
      <c r="AA21" s="28" t="s">
        <v>34</v>
      </c>
      <c r="AB21" s="40">
        <f t="shared" si="11"/>
        <v>-0.69</v>
      </c>
      <c r="AC21" s="41">
        <v>5.9784083333333328E-2</v>
      </c>
      <c r="AD21" s="39">
        <f t="shared" si="12"/>
        <v>0</v>
      </c>
      <c r="AE21" s="39">
        <v>-5.42</v>
      </c>
      <c r="AF21" s="39">
        <v>-9.5976199999999992</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3200</v>
      </c>
      <c r="U22" s="36" t="s">
        <v>33</v>
      </c>
      <c r="V22" s="37" t="s">
        <v>33</v>
      </c>
      <c r="W22" s="28">
        <v>0</v>
      </c>
      <c r="X22" s="38">
        <f t="shared" si="9"/>
        <v>0</v>
      </c>
      <c r="Y22" s="39">
        <f t="shared" si="10"/>
        <v>0</v>
      </c>
      <c r="Z22" s="28">
        <v>0</v>
      </c>
      <c r="AA22" s="28" t="s">
        <v>34</v>
      </c>
      <c r="AB22" s="40">
        <f t="shared" si="11"/>
        <v>-0.69</v>
      </c>
      <c r="AC22" s="41">
        <v>5.9784083333333328E-2</v>
      </c>
      <c r="AD22" s="39">
        <f t="shared" si="12"/>
        <v>0</v>
      </c>
      <c r="AE22" s="39">
        <v>-5.42</v>
      </c>
      <c r="AF22" s="39">
        <v>-9.5976199999999992</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3200</v>
      </c>
      <c r="U23" s="36" t="s">
        <v>33</v>
      </c>
      <c r="V23" s="37" t="s">
        <v>33</v>
      </c>
      <c r="W23" s="28">
        <v>0</v>
      </c>
      <c r="X23" s="38">
        <f t="shared" si="9"/>
        <v>0</v>
      </c>
      <c r="Y23" s="39">
        <f t="shared" si="10"/>
        <v>0</v>
      </c>
      <c r="Z23" s="28">
        <v>0</v>
      </c>
      <c r="AA23" s="28" t="s">
        <v>34</v>
      </c>
      <c r="AB23" s="40">
        <f t="shared" si="11"/>
        <v>-0.69</v>
      </c>
      <c r="AC23" s="41">
        <v>5.9784083333333328E-2</v>
      </c>
      <c r="AD23" s="39">
        <f t="shared" si="12"/>
        <v>0</v>
      </c>
      <c r="AE23" s="39">
        <v>-5.42</v>
      </c>
      <c r="AF23" s="39">
        <v>-9.5976199999999992</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3200</v>
      </c>
      <c r="U24" s="36" t="s">
        <v>33</v>
      </c>
      <c r="V24" s="37" t="s">
        <v>33</v>
      </c>
      <c r="W24" s="28">
        <v>0</v>
      </c>
      <c r="X24" s="38">
        <f t="shared" si="9"/>
        <v>0</v>
      </c>
      <c r="Y24" s="39">
        <f t="shared" si="10"/>
        <v>0</v>
      </c>
      <c r="Z24" s="28">
        <v>0</v>
      </c>
      <c r="AA24" s="28" t="s">
        <v>34</v>
      </c>
      <c r="AB24" s="40">
        <f t="shared" si="11"/>
        <v>-0.69</v>
      </c>
      <c r="AC24" s="41">
        <v>5.9784083333333328E-2</v>
      </c>
      <c r="AD24" s="39">
        <f t="shared" si="12"/>
        <v>0</v>
      </c>
      <c r="AE24" s="39">
        <v>-5.42</v>
      </c>
      <c r="AF24" s="39">
        <v>-9.5976199999999992</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0</v>
      </c>
      <c r="O25" s="34">
        <f t="shared" ref="O25:P25" si="33">D25/7</f>
        <v>0</v>
      </c>
      <c r="P25" s="34">
        <f t="shared" si="33"/>
        <v>0</v>
      </c>
      <c r="Q25" s="29" t="e">
        <f t="shared" si="8"/>
        <v>#DIV/0!</v>
      </c>
      <c r="R25" s="29"/>
      <c r="S25" s="35">
        <v>0</v>
      </c>
      <c r="T25" s="28">
        <v>3200</v>
      </c>
      <c r="U25" s="36" t="s">
        <v>33</v>
      </c>
      <c r="V25" s="37" t="s">
        <v>33</v>
      </c>
      <c r="W25" s="14">
        <v>0</v>
      </c>
      <c r="X25" s="38">
        <f t="shared" si="9"/>
        <v>0</v>
      </c>
      <c r="Y25" s="39">
        <f t="shared" si="10"/>
        <v>0</v>
      </c>
      <c r="Z25" s="14">
        <v>0</v>
      </c>
      <c r="AA25" s="28" t="s">
        <v>34</v>
      </c>
      <c r="AB25" s="40">
        <f t="shared" si="11"/>
        <v>-0.69</v>
      </c>
      <c r="AC25" s="41">
        <v>5.9784083333333328E-2</v>
      </c>
      <c r="AD25" s="39">
        <f t="shared" si="12"/>
        <v>0</v>
      </c>
      <c r="AE25" s="39">
        <v>-5.42</v>
      </c>
      <c r="AF25" s="39">
        <v>-9.6</v>
      </c>
      <c r="AG25" s="39">
        <v>0</v>
      </c>
    </row>
    <row r="26" spans="1:33" ht="15.75" customHeight="1" x14ac:dyDescent="0.2">
      <c r="A26" s="14" t="s">
        <v>67</v>
      </c>
      <c r="B26" s="14"/>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0</v>
      </c>
      <c r="O26" s="34">
        <f t="shared" ref="O26:P26" si="34">D26/7</f>
        <v>0</v>
      </c>
      <c r="P26" s="34">
        <f t="shared" si="34"/>
        <v>0</v>
      </c>
      <c r="Q26" s="29" t="e">
        <f t="shared" si="8"/>
        <v>#DIV/0!</v>
      </c>
      <c r="R26" s="29"/>
      <c r="S26" s="21">
        <v>0</v>
      </c>
      <c r="T26" s="28">
        <v>3200</v>
      </c>
      <c r="U26" s="36" t="s">
        <v>33</v>
      </c>
      <c r="V26" s="37" t="s">
        <v>33</v>
      </c>
      <c r="W26" s="14">
        <v>0</v>
      </c>
      <c r="X26" s="38">
        <f t="shared" si="9"/>
        <v>0</v>
      </c>
      <c r="Y26" s="39">
        <f t="shared" si="10"/>
        <v>0</v>
      </c>
      <c r="Z26" s="14">
        <v>0</v>
      </c>
      <c r="AA26" s="28" t="s">
        <v>34</v>
      </c>
      <c r="AB26" s="40">
        <f t="shared" si="11"/>
        <v>-0.69</v>
      </c>
      <c r="AC26" s="41">
        <v>5.9784083333333328E-2</v>
      </c>
      <c r="AD26" s="39">
        <f t="shared" si="12"/>
        <v>0</v>
      </c>
      <c r="AE26" s="25">
        <v>-5.42</v>
      </c>
      <c r="AF26" s="25">
        <v>-10.077501</v>
      </c>
      <c r="AG26" s="25">
        <v>0</v>
      </c>
    </row>
    <row r="27" spans="1:33" ht="15.75" customHeight="1" x14ac:dyDescent="0.2">
      <c r="A27" s="14" t="s">
        <v>69</v>
      </c>
      <c r="B27" s="14"/>
      <c r="C27" s="15" t="str">
        <f t="shared" si="4"/>
        <v xml:space="preserve"> - </v>
      </c>
      <c r="D27" s="16">
        <v>0</v>
      </c>
      <c r="E27" s="16">
        <v>0</v>
      </c>
      <c r="F27" s="17">
        <v>0</v>
      </c>
      <c r="G27" s="17">
        <v>0</v>
      </c>
      <c r="H27" s="31" t="e">
        <f t="shared" si="1"/>
        <v>#DIV/0!</v>
      </c>
      <c r="I27" s="31" t="e">
        <f t="shared" si="2"/>
        <v>#DIV/0!</v>
      </c>
      <c r="J27" s="32">
        <f t="shared" si="5"/>
        <v>0</v>
      </c>
      <c r="K27" s="32" t="e">
        <f t="shared" si="3"/>
        <v>#DIV/0!</v>
      </c>
      <c r="L27" s="16">
        <v>0</v>
      </c>
      <c r="M27" s="33" t="str">
        <f t="shared" si="6"/>
        <v>-</v>
      </c>
      <c r="N27" s="16">
        <v>0</v>
      </c>
      <c r="O27" s="34">
        <f t="shared" ref="O27:P27" si="35">D27/7</f>
        <v>0</v>
      </c>
      <c r="P27" s="34">
        <f t="shared" si="35"/>
        <v>0</v>
      </c>
      <c r="Q27" s="29" t="e">
        <f t="shared" si="8"/>
        <v>#DIV/0!</v>
      </c>
      <c r="R27" s="29"/>
      <c r="S27" s="21">
        <v>0</v>
      </c>
      <c r="T27" s="28">
        <v>3200</v>
      </c>
      <c r="U27" s="36" t="s">
        <v>33</v>
      </c>
      <c r="V27" s="37" t="s">
        <v>33</v>
      </c>
      <c r="W27" s="14">
        <v>0</v>
      </c>
      <c r="X27" s="38">
        <f t="shared" si="9"/>
        <v>0</v>
      </c>
      <c r="Y27" s="39">
        <f t="shared" si="10"/>
        <v>0</v>
      </c>
      <c r="Z27" s="14">
        <v>0</v>
      </c>
      <c r="AA27" s="28" t="s">
        <v>34</v>
      </c>
      <c r="AB27" s="40">
        <f t="shared" si="11"/>
        <v>-0.69</v>
      </c>
      <c r="AC27" s="41">
        <v>5.9784083333333328E-2</v>
      </c>
      <c r="AD27" s="39">
        <f t="shared" si="12"/>
        <v>0</v>
      </c>
      <c r="AE27" s="25">
        <v>-5.42</v>
      </c>
      <c r="AF27" s="25">
        <v>-10.077501</v>
      </c>
      <c r="AG27" s="25">
        <v>0</v>
      </c>
    </row>
    <row r="28" spans="1:33" ht="15.75" customHeight="1" x14ac:dyDescent="0.2">
      <c r="A28" s="14" t="s">
        <v>71</v>
      </c>
      <c r="B28" s="14"/>
      <c r="C28" s="15" t="str">
        <f t="shared" si="4"/>
        <v xml:space="preserve"> - </v>
      </c>
      <c r="D28" s="16">
        <v>0</v>
      </c>
      <c r="E28" s="16">
        <v>0</v>
      </c>
      <c r="F28" s="17">
        <v>0</v>
      </c>
      <c r="G28" s="17">
        <v>0</v>
      </c>
      <c r="H28" s="31" t="e">
        <f t="shared" si="1"/>
        <v>#DIV/0!</v>
      </c>
      <c r="I28" s="31" t="e">
        <f t="shared" si="2"/>
        <v>#DIV/0!</v>
      </c>
      <c r="J28" s="32">
        <f t="shared" si="5"/>
        <v>0</v>
      </c>
      <c r="K28" s="32" t="e">
        <f t="shared" si="3"/>
        <v>#DIV/0!</v>
      </c>
      <c r="L28" s="16">
        <v>0</v>
      </c>
      <c r="M28" s="33" t="str">
        <f t="shared" si="6"/>
        <v>-</v>
      </c>
      <c r="N28" s="16">
        <v>0</v>
      </c>
      <c r="O28" s="34">
        <f t="shared" ref="O28:P28" si="36">D28/7</f>
        <v>0</v>
      </c>
      <c r="P28" s="34">
        <f t="shared" si="36"/>
        <v>0</v>
      </c>
      <c r="Q28" s="29" t="e">
        <f t="shared" si="8"/>
        <v>#DIV/0!</v>
      </c>
      <c r="R28" s="29"/>
      <c r="S28" s="21">
        <v>0</v>
      </c>
      <c r="T28" s="28">
        <v>3200</v>
      </c>
      <c r="U28" s="36" t="s">
        <v>33</v>
      </c>
      <c r="V28" s="37" t="s">
        <v>33</v>
      </c>
      <c r="W28" s="14">
        <v>0</v>
      </c>
      <c r="X28" s="38">
        <f t="shared" si="9"/>
        <v>0</v>
      </c>
      <c r="Y28" s="39">
        <f t="shared" si="10"/>
        <v>0</v>
      </c>
      <c r="Z28" s="14">
        <v>0</v>
      </c>
      <c r="AA28" s="28" t="s">
        <v>34</v>
      </c>
      <c r="AB28" s="40">
        <f t="shared" si="11"/>
        <v>-0.69</v>
      </c>
      <c r="AC28" s="41">
        <v>5.9784083333333328E-2</v>
      </c>
      <c r="AD28" s="39">
        <f t="shared" si="12"/>
        <v>0</v>
      </c>
      <c r="AE28" s="25">
        <v>-5.42</v>
      </c>
      <c r="AF28" s="25">
        <v>-10.077501</v>
      </c>
      <c r="AG28" s="25">
        <v>0</v>
      </c>
    </row>
    <row r="29" spans="1:33" ht="15.75" customHeight="1" x14ac:dyDescent="0.2">
      <c r="A29" s="28" t="s">
        <v>72</v>
      </c>
      <c r="B29" s="28"/>
      <c r="C29" s="15" t="str">
        <f t="shared" si="4"/>
        <v xml:space="preserve"> - </v>
      </c>
      <c r="D29" s="29">
        <v>0</v>
      </c>
      <c r="E29" s="29">
        <v>0</v>
      </c>
      <c r="F29" s="32">
        <v>0</v>
      </c>
      <c r="G29" s="32">
        <v>0</v>
      </c>
      <c r="H29" s="31" t="e">
        <f t="shared" si="1"/>
        <v>#DIV/0!</v>
      </c>
      <c r="I29" s="31" t="e">
        <f t="shared" si="2"/>
        <v>#DIV/0!</v>
      </c>
      <c r="J29" s="32">
        <f t="shared" si="5"/>
        <v>0</v>
      </c>
      <c r="K29" s="32" t="e">
        <f t="shared" si="3"/>
        <v>#DIV/0!</v>
      </c>
      <c r="L29" s="29">
        <v>0</v>
      </c>
      <c r="M29" s="33" t="str">
        <f t="shared" si="6"/>
        <v>-</v>
      </c>
      <c r="N29" s="16">
        <v>0</v>
      </c>
      <c r="O29" s="34">
        <f t="shared" ref="O29:P29" si="37">D29/7</f>
        <v>0</v>
      </c>
      <c r="P29" s="34">
        <f t="shared" si="37"/>
        <v>0</v>
      </c>
      <c r="Q29" s="29" t="e">
        <f t="shared" si="8"/>
        <v>#DIV/0!</v>
      </c>
      <c r="R29" s="29"/>
      <c r="S29" s="21">
        <v>0</v>
      </c>
      <c r="T29" s="28">
        <v>3200</v>
      </c>
      <c r="U29" s="36" t="s">
        <v>33</v>
      </c>
      <c r="V29" s="37" t="s">
        <v>33</v>
      </c>
      <c r="W29" s="14">
        <v>0</v>
      </c>
      <c r="X29" s="38">
        <f t="shared" si="9"/>
        <v>0</v>
      </c>
      <c r="Y29" s="39">
        <f t="shared" si="10"/>
        <v>0</v>
      </c>
      <c r="Z29" s="14">
        <v>0</v>
      </c>
      <c r="AA29" s="28" t="s">
        <v>34</v>
      </c>
      <c r="AB29" s="40">
        <f t="shared" si="11"/>
        <v>-0.69</v>
      </c>
      <c r="AC29" s="41">
        <v>5.9784083333333328E-2</v>
      </c>
      <c r="AD29" s="39">
        <f t="shared" si="12"/>
        <v>0</v>
      </c>
      <c r="AE29" s="39">
        <v>-5.42</v>
      </c>
      <c r="AF29" s="25">
        <v>-10.077501</v>
      </c>
      <c r="AG29" s="39">
        <v>0</v>
      </c>
    </row>
    <row r="30" spans="1:33" ht="15.75" customHeight="1" x14ac:dyDescent="0.2">
      <c r="A30" s="14" t="s">
        <v>74</v>
      </c>
      <c r="B30" s="14"/>
      <c r="C30" s="15" t="str">
        <f t="shared" si="4"/>
        <v xml:space="preserve"> - </v>
      </c>
      <c r="D30" s="16">
        <v>0</v>
      </c>
      <c r="E30" s="16">
        <v>0</v>
      </c>
      <c r="F30" s="17">
        <v>0</v>
      </c>
      <c r="G30" s="17">
        <v>0</v>
      </c>
      <c r="H30" s="31" t="e">
        <f t="shared" si="1"/>
        <v>#DIV/0!</v>
      </c>
      <c r="I30" s="31" t="e">
        <f t="shared" si="2"/>
        <v>#DIV/0!</v>
      </c>
      <c r="J30" s="32">
        <f t="shared" si="5"/>
        <v>0</v>
      </c>
      <c r="K30" s="32" t="e">
        <f t="shared" si="3"/>
        <v>#DIV/0!</v>
      </c>
      <c r="L30" s="16">
        <v>0</v>
      </c>
      <c r="M30" s="33" t="str">
        <f t="shared" si="6"/>
        <v>-</v>
      </c>
      <c r="N30" s="16">
        <v>0</v>
      </c>
      <c r="O30" s="34">
        <f t="shared" ref="O30:P30" si="38">D30/7</f>
        <v>0</v>
      </c>
      <c r="P30" s="34">
        <f t="shared" si="38"/>
        <v>0</v>
      </c>
      <c r="Q30" s="29" t="e">
        <f t="shared" si="8"/>
        <v>#DIV/0!</v>
      </c>
      <c r="R30" s="29"/>
      <c r="S30" s="21">
        <v>0</v>
      </c>
      <c r="T30" s="28">
        <v>3200</v>
      </c>
      <c r="U30" s="36" t="s">
        <v>33</v>
      </c>
      <c r="V30" s="37" t="s">
        <v>33</v>
      </c>
      <c r="W30" s="14">
        <v>0</v>
      </c>
      <c r="X30" s="38">
        <f t="shared" si="9"/>
        <v>0</v>
      </c>
      <c r="Y30" s="39">
        <f t="shared" si="10"/>
        <v>0</v>
      </c>
      <c r="Z30" s="14">
        <v>0</v>
      </c>
      <c r="AA30" s="28" t="s">
        <v>34</v>
      </c>
      <c r="AB30" s="40">
        <f t="shared" si="11"/>
        <v>-0.69</v>
      </c>
      <c r="AC30" s="41">
        <v>5.9784083333333328E-2</v>
      </c>
      <c r="AD30" s="39">
        <f t="shared" si="12"/>
        <v>0</v>
      </c>
      <c r="AE30" s="25">
        <v>-5.42</v>
      </c>
      <c r="AF30" s="25">
        <v>-8.5445010000000003</v>
      </c>
      <c r="AG30" s="25">
        <v>0</v>
      </c>
    </row>
    <row r="31" spans="1:33" ht="15.75" customHeight="1" x14ac:dyDescent="0.2">
      <c r="A31" s="14" t="s">
        <v>75</v>
      </c>
      <c r="B31" s="14"/>
      <c r="C31" s="15" t="str">
        <f t="shared" si="4"/>
        <v xml:space="preserve"> - </v>
      </c>
      <c r="D31" s="16">
        <v>0</v>
      </c>
      <c r="E31" s="16">
        <v>0</v>
      </c>
      <c r="F31" s="17">
        <v>0</v>
      </c>
      <c r="G31" s="42">
        <v>0</v>
      </c>
      <c r="H31" s="31" t="e">
        <f t="shared" si="1"/>
        <v>#DIV/0!</v>
      </c>
      <c r="I31" s="31" t="e">
        <f t="shared" si="2"/>
        <v>#DIV/0!</v>
      </c>
      <c r="J31" s="32">
        <f t="shared" si="5"/>
        <v>0</v>
      </c>
      <c r="K31" s="32" t="e">
        <f t="shared" si="3"/>
        <v>#DIV/0!</v>
      </c>
      <c r="L31" s="16">
        <v>0</v>
      </c>
      <c r="M31" s="33" t="str">
        <f t="shared" si="6"/>
        <v>-</v>
      </c>
      <c r="N31" s="16">
        <v>0</v>
      </c>
      <c r="O31" s="34">
        <f t="shared" ref="O31:P32" si="39">D31/7</f>
        <v>0</v>
      </c>
      <c r="P31" s="34">
        <f t="shared" si="39"/>
        <v>0</v>
      </c>
      <c r="Q31" s="29" t="e">
        <f t="shared" si="8"/>
        <v>#DIV/0!</v>
      </c>
      <c r="R31" s="29"/>
      <c r="S31" s="21" t="e">
        <v>#N/A</v>
      </c>
      <c r="T31" s="14" t="s">
        <v>33</v>
      </c>
      <c r="U31" s="22" t="s">
        <v>33</v>
      </c>
      <c r="V31" s="1" t="s">
        <v>938</v>
      </c>
      <c r="W31" s="14">
        <v>0</v>
      </c>
      <c r="X31" s="38">
        <f t="shared" si="9"/>
        <v>0</v>
      </c>
      <c r="Y31" s="39">
        <f t="shared" si="10"/>
        <v>0</v>
      </c>
      <c r="Z31" s="14">
        <v>0</v>
      </c>
      <c r="AA31" s="14" t="s">
        <v>34</v>
      </c>
      <c r="AB31" s="40">
        <f t="shared" si="11"/>
        <v>-0.69</v>
      </c>
      <c r="AC31" s="27">
        <v>5.9784083333333328E-2</v>
      </c>
      <c r="AD31" s="39">
        <f t="shared" si="12"/>
        <v>0</v>
      </c>
      <c r="AE31" s="43">
        <v>-5.42</v>
      </c>
      <c r="AF31" s="43">
        <v>-8.5445010000000003</v>
      </c>
      <c r="AG31" s="25">
        <v>0</v>
      </c>
    </row>
    <row r="32" spans="1:33" s="51" customFormat="1" ht="15.75" customHeight="1" x14ac:dyDescent="0.2">
      <c r="A32" s="51" t="s">
        <v>934</v>
      </c>
      <c r="C32" s="15" t="str">
        <f t="shared" si="4"/>
        <v xml:space="preserve"> - </v>
      </c>
      <c r="D32" s="52">
        <v>0</v>
      </c>
      <c r="E32" s="52">
        <v>0</v>
      </c>
      <c r="F32" s="53">
        <v>0</v>
      </c>
      <c r="G32" s="53">
        <v>0</v>
      </c>
      <c r="H32" s="31" t="e">
        <f t="shared" si="1"/>
        <v>#DIV/0!</v>
      </c>
      <c r="I32" s="31" t="e">
        <f t="shared" si="2"/>
        <v>#DIV/0!</v>
      </c>
      <c r="J32" s="32">
        <f t="shared" si="5"/>
        <v>0</v>
      </c>
      <c r="K32" s="32" t="e">
        <f t="shared" si="3"/>
        <v>#DIV/0!</v>
      </c>
      <c r="L32" s="52">
        <v>0</v>
      </c>
      <c r="M32" s="33" t="str">
        <f t="shared" si="6"/>
        <v>-</v>
      </c>
      <c r="N32" s="52">
        <v>0</v>
      </c>
      <c r="O32" s="34">
        <f t="shared" si="39"/>
        <v>0</v>
      </c>
      <c r="P32" s="34">
        <f t="shared" si="39"/>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5.9784083333333328E-2</v>
      </c>
      <c r="AD32" s="39">
        <f t="shared" si="12"/>
        <v>0</v>
      </c>
      <c r="AE32" s="58">
        <v>-5.42</v>
      </c>
      <c r="AF32" s="58">
        <v>-8.5445010000000003</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1.83203125" customWidth="1"/>
    <col min="3" max="3" width="9.1640625" customWidth="1"/>
    <col min="4" max="4" width="6.5" customWidth="1"/>
    <col min="5" max="5" width="10.5" customWidth="1"/>
    <col min="6" max="6" width="11.33203125" customWidth="1"/>
    <col min="7" max="7" width="11.5" customWidth="1"/>
    <col min="8" max="8" width="10.33203125" customWidth="1"/>
    <col min="9" max="10" width="13.5" customWidth="1"/>
    <col min="11" max="12" width="10" customWidth="1"/>
    <col min="13" max="13" width="11" customWidth="1"/>
    <col min="14" max="14" width="5.5" customWidth="1"/>
    <col min="15" max="15" width="18.5" customWidth="1"/>
    <col min="16" max="16" width="11.5" customWidth="1"/>
    <col min="17" max="17" width="8.5" customWidth="1"/>
    <col min="18" max="18" width="8.5" style="48" customWidth="1"/>
    <col min="19" max="19" width="8.33203125" customWidth="1"/>
    <col min="20" max="20" width="12.83203125" customWidth="1"/>
    <col min="21" max="21" width="15.5" customWidth="1"/>
    <col min="22" max="22" width="11.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Info!B1:BJ5000""),3,FALSE),"""")"),"9 Outlet Heavy Duty Surge Protector Power Strip - Black Metal Surge Protector with 9 Foot Extension Cord")</f>
        <v>9 Outlet Heavy Duty Surge Protector Power Strip - Black Metal Surge Protector with 9 Foot Extension Cord</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Info!B1:BJ5000""),2,FALSE),"""")"),"B082DJ2DMM")</f>
        <v>B082DJ2DMM</v>
      </c>
      <c r="B2" s="3" t="s">
        <v>832</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1" customHeight="1" x14ac:dyDescent="0.2">
      <c r="A3" s="76" t="s">
        <v>30</v>
      </c>
      <c r="B3" s="77"/>
      <c r="C3" s="47">
        <f>((AE32+AF32)/0.85)*-1</f>
        <v>21.355985294117648</v>
      </c>
      <c r="D3" s="5">
        <f>SUM(D4:D99765)</f>
        <v>147</v>
      </c>
      <c r="E3" s="5"/>
      <c r="F3" s="6">
        <f t="shared" ref="F3:G3" si="0">SUM(F4:F99765)</f>
        <v>3632.3099999999995</v>
      </c>
      <c r="G3" s="6">
        <f t="shared" si="0"/>
        <v>-4.6799999999999988</v>
      </c>
      <c r="H3" s="7">
        <f t="shared" ref="H3:H32" si="1">G3/F3*-1</f>
        <v>1.2884362843479768E-3</v>
      </c>
      <c r="I3" s="8">
        <f t="shared" ref="I3:I32" si="2">J3/F3</f>
        <v>5.7771455684236202E-2</v>
      </c>
      <c r="J3" s="6">
        <f>SUM(J4:J99765)</f>
        <v>209.84383619640798</v>
      </c>
      <c r="K3" s="6">
        <f t="shared" ref="K3:K32" si="3">J3/D3</f>
        <v>1.4275090897714828</v>
      </c>
      <c r="L3" s="5"/>
      <c r="M3" s="9"/>
      <c r="N3" s="10"/>
      <c r="O3" s="5" t="str">
        <f ca="1">IFERROR(__xludf.DUMMYFUNCTION("IFERROR(VLOOKUP(B2,IMPORTRANGE(""https://docs.google.com/spreadsheets/d/1N8jvpEHDVkurDv7NrPxwI3eH6hQsvtb1QltGNCalRjU/edit#gid=865736387"",""Compiled Sheet!a1:g5000""),2,FALSE),"""")"),"1 - March
1 - April
1 - May
1 - June
1 - July
1 - Aug
1 - Sept
1 - Oct
2 - Nov
2 - Dec
1 - Jan
1 - Feb")</f>
        <v>1 - March
1 - April
1 - May
1 - June
1 - July
1 - Aug
1 - Sept
1 - Oct
2 - Nov
2 - Dec
1 - Jan
1 -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v>
      </c>
      <c r="X3" s="7">
        <f>W3/D3</f>
        <v>6.8027210884353739E-3</v>
      </c>
      <c r="Y3" s="6"/>
      <c r="Z3" s="5"/>
      <c r="AA3" s="5"/>
      <c r="AB3" s="5"/>
      <c r="AC3" s="5"/>
      <c r="AD3" s="6">
        <f>SUM(AD4:AD99765)</f>
        <v>-27.46379297025879</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Info!B2:BZ7000""),37,FALSE)),"""")*-1"),-8.7325875)</f>
        <v>-8.7325874999999993</v>
      </c>
      <c r="AG3" s="6">
        <f>SUM(AG4:AG99765)</f>
        <v>0</v>
      </c>
    </row>
    <row r="4" spans="1:33" ht="15.75" customHeight="1" x14ac:dyDescent="0.2">
      <c r="A4" s="14" t="s">
        <v>31</v>
      </c>
      <c r="B4" s="14" t="s">
        <v>833</v>
      </c>
      <c r="C4" s="15">
        <f t="shared" ref="C4:C32" si="4">IFERROR(F4/D4," - ")</f>
        <v>27.994999999999997</v>
      </c>
      <c r="D4" s="16">
        <v>8</v>
      </c>
      <c r="E4" s="16">
        <v>0</v>
      </c>
      <c r="F4" s="17">
        <v>223.95999999999998</v>
      </c>
      <c r="G4" s="17">
        <v>-7.0000000000000007E-2</v>
      </c>
      <c r="H4" s="18">
        <f t="shared" si="1"/>
        <v>3.1255581353813189E-4</v>
      </c>
      <c r="I4" s="18">
        <f t="shared" si="2"/>
        <v>0.15259570161338329</v>
      </c>
      <c r="J4" s="17">
        <f t="shared" ref="J4:J32" si="5">F4*0.85+G4+AF4*D4+D4*AE4+AG4+AD4</f>
        <v>34.17533333333332</v>
      </c>
      <c r="K4" s="17">
        <f t="shared" si="3"/>
        <v>4.271916666666665</v>
      </c>
      <c r="L4" s="16">
        <v>19</v>
      </c>
      <c r="M4" s="19">
        <f t="shared" ref="M4:M32" si="6">IFERROR(D4/L4,"-")</f>
        <v>0.42105263157894735</v>
      </c>
      <c r="N4" s="16">
        <v>112</v>
      </c>
      <c r="O4" s="20">
        <f t="shared" ref="O4:P4" si="7">D4/7</f>
        <v>1.1428571428571428</v>
      </c>
      <c r="P4" s="20">
        <f t="shared" si="7"/>
        <v>0</v>
      </c>
      <c r="Q4" s="16">
        <f t="shared" ref="Q4:Q32" si="8">ROUNDDOWN(N4/(O4+P4),0)</f>
        <v>98</v>
      </c>
      <c r="R4" s="16"/>
      <c r="S4" s="21">
        <v>1.3269076305220799</v>
      </c>
      <c r="T4" s="14">
        <v>0</v>
      </c>
      <c r="U4" s="22" t="s">
        <v>33</v>
      </c>
      <c r="V4" s="23" t="s">
        <v>33</v>
      </c>
      <c r="W4" s="14">
        <v>0</v>
      </c>
      <c r="X4" s="24">
        <f t="shared" ref="X4:X32" si="9">IFERROR(W4/D4,0)</f>
        <v>0</v>
      </c>
      <c r="Y4" s="25">
        <f t="shared" ref="Y4:Y32" si="10">IFERROR(G4/(W4+Z4)*-1,0)</f>
        <v>0</v>
      </c>
      <c r="Z4" s="14">
        <v>0</v>
      </c>
      <c r="AA4" s="2" t="s">
        <v>621</v>
      </c>
      <c r="AB4" s="26">
        <f t="shared" ref="AB4:AB32" si="11">IF(OR(AA4="UsLargeStandardSize",AA4="UsSmallStandardSize"),-0.69,-0.48)</f>
        <v>-0.48</v>
      </c>
      <c r="AC4" s="27">
        <v>0.19444444444444445</v>
      </c>
      <c r="AD4" s="25">
        <f t="shared" ref="AD4:AD32" si="12">IFERROR(AB4*AC4*D4*2,0)</f>
        <v>-1.4933333333333334</v>
      </c>
      <c r="AE4" s="25">
        <v>-9.02</v>
      </c>
      <c r="AF4" s="25">
        <v>-10.308416666666668</v>
      </c>
      <c r="AG4" s="25">
        <v>0</v>
      </c>
    </row>
    <row r="5" spans="1:33" ht="15.75" customHeight="1" x14ac:dyDescent="0.2">
      <c r="A5" s="28" t="s">
        <v>35</v>
      </c>
      <c r="B5" s="28" t="s">
        <v>834</v>
      </c>
      <c r="C5" s="15">
        <f t="shared" si="4"/>
        <v>25.717857142857145</v>
      </c>
      <c r="D5" s="29">
        <v>14</v>
      </c>
      <c r="E5" s="29">
        <v>0</v>
      </c>
      <c r="F5" s="30">
        <v>360.05</v>
      </c>
      <c r="G5" s="30">
        <v>-0.16</v>
      </c>
      <c r="H5" s="31">
        <f t="shared" si="1"/>
        <v>4.4438272462158035E-4</v>
      </c>
      <c r="I5" s="31">
        <f t="shared" si="2"/>
        <v>9.0732690285011977E-2</v>
      </c>
      <c r="J5" s="32">
        <f t="shared" si="5"/>
        <v>32.668305137118566</v>
      </c>
      <c r="K5" s="32">
        <f t="shared" si="3"/>
        <v>2.3334503669370403</v>
      </c>
      <c r="L5" s="29">
        <v>33</v>
      </c>
      <c r="M5" s="33">
        <f t="shared" si="6"/>
        <v>0.42424242424242425</v>
      </c>
      <c r="N5" s="29">
        <v>97</v>
      </c>
      <c r="O5" s="34">
        <f t="shared" ref="O5:P5" si="13">D5/7</f>
        <v>2</v>
      </c>
      <c r="P5" s="34">
        <f t="shared" si="13"/>
        <v>0</v>
      </c>
      <c r="Q5" s="29">
        <f t="shared" si="8"/>
        <v>48</v>
      </c>
      <c r="R5" s="29"/>
      <c r="S5" s="35">
        <v>1.2914188615123099</v>
      </c>
      <c r="T5" s="28">
        <v>0</v>
      </c>
      <c r="U5" s="36" t="s">
        <v>33</v>
      </c>
      <c r="V5" s="37" t="s">
        <v>33</v>
      </c>
      <c r="W5" s="28">
        <v>0</v>
      </c>
      <c r="X5" s="38">
        <f t="shared" si="9"/>
        <v>0</v>
      </c>
      <c r="Y5" s="39">
        <f t="shared" si="10"/>
        <v>0</v>
      </c>
      <c r="Z5" s="28">
        <v>0</v>
      </c>
      <c r="AA5" s="28" t="s">
        <v>621</v>
      </c>
      <c r="AB5" s="40">
        <f t="shared" si="11"/>
        <v>-0.48</v>
      </c>
      <c r="AC5" s="41">
        <v>0.19466975666280417</v>
      </c>
      <c r="AD5" s="39">
        <f t="shared" si="12"/>
        <v>-2.616361529548088</v>
      </c>
      <c r="AE5" s="39">
        <v>-9.02</v>
      </c>
      <c r="AF5" s="39">
        <v>-10.308416666666668</v>
      </c>
      <c r="AG5" s="39">
        <v>0</v>
      </c>
    </row>
    <row r="6" spans="1:33" ht="15.75" customHeight="1" x14ac:dyDescent="0.2">
      <c r="A6" s="28" t="s">
        <v>37</v>
      </c>
      <c r="B6" s="28" t="s">
        <v>789</v>
      </c>
      <c r="C6" s="15">
        <f t="shared" si="4"/>
        <v>23.090588235294117</v>
      </c>
      <c r="D6" s="29">
        <v>85</v>
      </c>
      <c r="E6" s="29">
        <v>1</v>
      </c>
      <c r="F6" s="30">
        <v>1962.7</v>
      </c>
      <c r="G6" s="30">
        <v>-0.05</v>
      </c>
      <c r="H6" s="31">
        <f t="shared" si="1"/>
        <v>2.5475110816732055E-5</v>
      </c>
      <c r="I6" s="31">
        <f t="shared" si="2"/>
        <v>4.8120095733675972E-3</v>
      </c>
      <c r="J6" s="32">
        <f t="shared" si="5"/>
        <v>9.4445311896485826</v>
      </c>
      <c r="K6" s="32">
        <f t="shared" si="3"/>
        <v>0.11111213164292451</v>
      </c>
      <c r="L6" s="29">
        <v>83</v>
      </c>
      <c r="M6" s="33">
        <f t="shared" si="6"/>
        <v>1.0240963855421688</v>
      </c>
      <c r="N6" s="29">
        <v>17</v>
      </c>
      <c r="O6" s="34">
        <f t="shared" ref="O6:P6" si="14">D6/7</f>
        <v>12.142857142857142</v>
      </c>
      <c r="P6" s="34">
        <f t="shared" si="14"/>
        <v>0.14285714285714285</v>
      </c>
      <c r="Q6" s="29">
        <f t="shared" si="8"/>
        <v>1</v>
      </c>
      <c r="R6" s="29"/>
      <c r="S6" s="35">
        <v>1.46679499518768</v>
      </c>
      <c r="T6" s="28" t="s">
        <v>33</v>
      </c>
      <c r="U6" s="36" t="s">
        <v>33</v>
      </c>
      <c r="V6" s="37" t="s">
        <v>33</v>
      </c>
      <c r="W6" s="28">
        <v>0</v>
      </c>
      <c r="X6" s="38">
        <f t="shared" si="9"/>
        <v>0</v>
      </c>
      <c r="Y6" s="39">
        <f t="shared" si="10"/>
        <v>0</v>
      </c>
      <c r="Z6" s="28">
        <v>0</v>
      </c>
      <c r="AA6" s="28" t="s">
        <v>621</v>
      </c>
      <c r="AB6" s="40">
        <f t="shared" si="11"/>
        <v>-0.48</v>
      </c>
      <c r="AC6" s="41">
        <v>0.19466975666280417</v>
      </c>
      <c r="AD6" s="39">
        <f t="shared" si="12"/>
        <v>-15.88505214368482</v>
      </c>
      <c r="AE6" s="39">
        <v>-9.02</v>
      </c>
      <c r="AF6" s="39">
        <v>-10.308416666666668</v>
      </c>
      <c r="AG6" s="39">
        <v>0</v>
      </c>
    </row>
    <row r="7" spans="1:33" ht="15.75" customHeight="1" x14ac:dyDescent="0.2">
      <c r="A7" s="28" t="s">
        <v>40</v>
      </c>
      <c r="B7" s="28"/>
      <c r="C7" s="15">
        <f t="shared" si="4"/>
        <v>22.990000000000002</v>
      </c>
      <c r="D7" s="29">
        <v>8</v>
      </c>
      <c r="E7" s="29">
        <v>0</v>
      </c>
      <c r="F7" s="30">
        <v>183.92000000000002</v>
      </c>
      <c r="G7" s="30">
        <v>0</v>
      </c>
      <c r="H7" s="31">
        <f t="shared" si="1"/>
        <v>0</v>
      </c>
      <c r="I7" s="31">
        <f t="shared" si="2"/>
        <v>1.139641885038855E-3</v>
      </c>
      <c r="J7" s="32">
        <f t="shared" si="5"/>
        <v>0.20960293549634623</v>
      </c>
      <c r="K7" s="32">
        <f t="shared" si="3"/>
        <v>2.6200366937043279E-2</v>
      </c>
      <c r="L7" s="29">
        <v>17</v>
      </c>
      <c r="M7" s="33">
        <f t="shared" si="6"/>
        <v>0.47058823529411764</v>
      </c>
      <c r="N7" s="29">
        <v>0</v>
      </c>
      <c r="O7" s="34">
        <f t="shared" ref="O7:P7" si="15">D7/7</f>
        <v>1.1428571428571428</v>
      </c>
      <c r="P7" s="34">
        <f t="shared" si="15"/>
        <v>0</v>
      </c>
      <c r="Q7" s="29">
        <f t="shared" si="8"/>
        <v>0</v>
      </c>
      <c r="R7" s="29"/>
      <c r="S7" s="35" t="e">
        <v>#N/A</v>
      </c>
      <c r="T7" s="28" t="s">
        <v>33</v>
      </c>
      <c r="U7" s="36" t="s">
        <v>33</v>
      </c>
      <c r="V7" s="37" t="s">
        <v>33</v>
      </c>
      <c r="W7" s="28">
        <v>0</v>
      </c>
      <c r="X7" s="38">
        <f t="shared" si="9"/>
        <v>0</v>
      </c>
      <c r="Y7" s="39">
        <f t="shared" si="10"/>
        <v>0</v>
      </c>
      <c r="Z7" s="28">
        <v>0</v>
      </c>
      <c r="AA7" s="28" t="s">
        <v>621</v>
      </c>
      <c r="AB7" s="40">
        <f t="shared" si="11"/>
        <v>-0.48</v>
      </c>
      <c r="AC7" s="41">
        <v>0.19466975666280417</v>
      </c>
      <c r="AD7" s="39">
        <f t="shared" si="12"/>
        <v>-1.4950637311703361</v>
      </c>
      <c r="AE7" s="39">
        <v>-9.02</v>
      </c>
      <c r="AF7" s="39">
        <v>-10.308416666666668</v>
      </c>
      <c r="AG7" s="39">
        <v>0</v>
      </c>
    </row>
    <row r="8" spans="1:33" ht="15.75" customHeight="1" x14ac:dyDescent="0.2">
      <c r="A8" s="28" t="s">
        <v>42</v>
      </c>
      <c r="B8" s="28" t="s">
        <v>835</v>
      </c>
      <c r="C8" s="15" t="str">
        <f t="shared" si="4"/>
        <v xml:space="preserve"> - </v>
      </c>
      <c r="D8" s="29">
        <v>0</v>
      </c>
      <c r="E8" s="29">
        <v>0</v>
      </c>
      <c r="F8" s="30">
        <v>0</v>
      </c>
      <c r="G8" s="30">
        <v>0</v>
      </c>
      <c r="H8" s="31" t="e">
        <f t="shared" si="1"/>
        <v>#DIV/0!</v>
      </c>
      <c r="I8" s="31" t="e">
        <f t="shared" si="2"/>
        <v>#DIV/0!</v>
      </c>
      <c r="J8" s="32">
        <f t="shared" si="5"/>
        <v>0</v>
      </c>
      <c r="K8" s="32" t="e">
        <f t="shared" si="3"/>
        <v>#DIV/0!</v>
      </c>
      <c r="L8" s="29">
        <v>0</v>
      </c>
      <c r="M8" s="33" t="str">
        <f t="shared" si="6"/>
        <v>-</v>
      </c>
      <c r="N8" s="29">
        <v>2</v>
      </c>
      <c r="O8" s="34">
        <f t="shared" ref="O8:P8" si="16">D8/7</f>
        <v>0</v>
      </c>
      <c r="P8" s="34">
        <f t="shared" si="16"/>
        <v>0</v>
      </c>
      <c r="Q8" s="29" t="e">
        <f t="shared" si="8"/>
        <v>#DIV/0!</v>
      </c>
      <c r="R8" s="29"/>
      <c r="S8" s="35" t="e">
        <v>#N/A</v>
      </c>
      <c r="T8" s="28" t="s">
        <v>33</v>
      </c>
      <c r="U8" s="36" t="s">
        <v>33</v>
      </c>
      <c r="V8" s="37" t="s">
        <v>33</v>
      </c>
      <c r="W8" s="28">
        <v>0</v>
      </c>
      <c r="X8" s="38">
        <f t="shared" si="9"/>
        <v>0</v>
      </c>
      <c r="Y8" s="39">
        <f t="shared" si="10"/>
        <v>0</v>
      </c>
      <c r="Z8" s="28">
        <v>0</v>
      </c>
      <c r="AA8" s="28" t="s">
        <v>621</v>
      </c>
      <c r="AB8" s="40">
        <f t="shared" si="11"/>
        <v>-0.48</v>
      </c>
      <c r="AC8" s="41">
        <v>0.19466975666280417</v>
      </c>
      <c r="AD8" s="39">
        <f t="shared" si="12"/>
        <v>0</v>
      </c>
      <c r="AE8" s="39">
        <v>-9.02</v>
      </c>
      <c r="AF8" s="39">
        <v>-10.31</v>
      </c>
      <c r="AG8" s="39">
        <v>0</v>
      </c>
    </row>
    <row r="9" spans="1:33" ht="15.75" customHeight="1" x14ac:dyDescent="0.2">
      <c r="A9" s="28" t="s">
        <v>44</v>
      </c>
      <c r="B9" s="28" t="s">
        <v>789</v>
      </c>
      <c r="C9" s="15">
        <f t="shared" si="4"/>
        <v>29.99</v>
      </c>
      <c r="D9" s="29">
        <v>2</v>
      </c>
      <c r="E9" s="29">
        <v>0</v>
      </c>
      <c r="F9" s="30">
        <v>59.98</v>
      </c>
      <c r="G9" s="30">
        <v>0</v>
      </c>
      <c r="H9" s="31">
        <f t="shared" si="1"/>
        <v>0</v>
      </c>
      <c r="I9" s="31">
        <f t="shared" si="2"/>
        <v>0.17604313772158747</v>
      </c>
      <c r="J9" s="32">
        <f t="shared" si="5"/>
        <v>10.559067400540815</v>
      </c>
      <c r="K9" s="32">
        <f t="shared" si="3"/>
        <v>5.2795337002704077</v>
      </c>
      <c r="L9" s="29">
        <v>14</v>
      </c>
      <c r="M9" s="33">
        <f t="shared" si="6"/>
        <v>0.14285714285714285</v>
      </c>
      <c r="N9" s="29">
        <v>0</v>
      </c>
      <c r="O9" s="34">
        <f t="shared" ref="O9:P9" si="17">D9/7</f>
        <v>0.2857142857142857</v>
      </c>
      <c r="P9" s="34">
        <f t="shared" si="17"/>
        <v>0</v>
      </c>
      <c r="Q9" s="29">
        <f t="shared" si="8"/>
        <v>0</v>
      </c>
      <c r="R9" s="29"/>
      <c r="S9" s="35" t="e">
        <v>#N/A</v>
      </c>
      <c r="T9" s="28" t="s">
        <v>33</v>
      </c>
      <c r="U9" s="36" t="s">
        <v>33</v>
      </c>
      <c r="V9" s="37" t="s">
        <v>33</v>
      </c>
      <c r="W9" s="28">
        <v>0</v>
      </c>
      <c r="X9" s="38">
        <f t="shared" si="9"/>
        <v>0</v>
      </c>
      <c r="Y9" s="39">
        <f t="shared" si="10"/>
        <v>0</v>
      </c>
      <c r="Z9" s="28">
        <v>0</v>
      </c>
      <c r="AA9" s="28" t="s">
        <v>621</v>
      </c>
      <c r="AB9" s="40">
        <f t="shared" si="11"/>
        <v>-0.48</v>
      </c>
      <c r="AC9" s="41">
        <v>0.19466975666280417</v>
      </c>
      <c r="AD9" s="39">
        <f t="shared" si="12"/>
        <v>-0.37376593279258402</v>
      </c>
      <c r="AE9" s="39">
        <v>-9.02</v>
      </c>
      <c r="AF9" s="39">
        <v>-11.0050833333333</v>
      </c>
      <c r="AG9" s="39">
        <v>0</v>
      </c>
    </row>
    <row r="10" spans="1:33" ht="15.75" customHeight="1" x14ac:dyDescent="0.2">
      <c r="A10" s="28" t="s">
        <v>46</v>
      </c>
      <c r="B10" s="28"/>
      <c r="C10" s="15" t="str">
        <f t="shared" si="4"/>
        <v xml:space="preserve"> - </v>
      </c>
      <c r="D10" s="29">
        <v>0</v>
      </c>
      <c r="E10" s="29">
        <v>0</v>
      </c>
      <c r="F10" s="30">
        <v>0</v>
      </c>
      <c r="G10" s="30">
        <v>0</v>
      </c>
      <c r="H10" s="31" t="e">
        <f t="shared" si="1"/>
        <v>#DIV/0!</v>
      </c>
      <c r="I10" s="31" t="e">
        <f t="shared" si="2"/>
        <v>#DIV/0!</v>
      </c>
      <c r="J10" s="32">
        <f t="shared" si="5"/>
        <v>0</v>
      </c>
      <c r="K10" s="32" t="e">
        <f t="shared" si="3"/>
        <v>#DIV/0!</v>
      </c>
      <c r="L10" s="29">
        <v>0</v>
      </c>
      <c r="M10" s="33" t="str">
        <f t="shared" si="6"/>
        <v>-</v>
      </c>
      <c r="N10" s="29">
        <v>0</v>
      </c>
      <c r="O10" s="34">
        <f t="shared" ref="O10:P10" si="18">D10/7</f>
        <v>0</v>
      </c>
      <c r="P10" s="34">
        <f t="shared" si="18"/>
        <v>0</v>
      </c>
      <c r="Q10" s="29" t="e">
        <f t="shared" si="8"/>
        <v>#DIV/0!</v>
      </c>
      <c r="R10" s="29"/>
      <c r="S10" s="35" t="e">
        <v>#N/A</v>
      </c>
      <c r="T10" s="28">
        <v>0</v>
      </c>
      <c r="U10" s="36" t="s">
        <v>33</v>
      </c>
      <c r="V10" s="37" t="s">
        <v>33</v>
      </c>
      <c r="W10" s="28">
        <v>0</v>
      </c>
      <c r="X10" s="38">
        <f t="shared" si="9"/>
        <v>0</v>
      </c>
      <c r="Y10" s="39">
        <f t="shared" si="10"/>
        <v>0</v>
      </c>
      <c r="Z10" s="28">
        <v>0</v>
      </c>
      <c r="AA10" s="28" t="e">
        <v>#N/A</v>
      </c>
      <c r="AB10" s="40" t="e">
        <f t="shared" si="11"/>
        <v>#N/A</v>
      </c>
      <c r="AC10" s="41" t="e">
        <v>#N/A</v>
      </c>
      <c r="AD10" s="39">
        <f t="shared" si="12"/>
        <v>0</v>
      </c>
      <c r="AE10" s="39">
        <v>0</v>
      </c>
      <c r="AF10" s="39">
        <v>-11.0050833333333</v>
      </c>
      <c r="AG10" s="39">
        <v>0</v>
      </c>
    </row>
    <row r="11" spans="1:33" ht="15.75" customHeight="1" x14ac:dyDescent="0.2">
      <c r="A11" s="28" t="s">
        <v>48</v>
      </c>
      <c r="B11" s="28"/>
      <c r="C11" s="15" t="str">
        <f t="shared" si="4"/>
        <v xml:space="preserve"> - </v>
      </c>
      <c r="D11" s="29">
        <v>0</v>
      </c>
      <c r="E11" s="29">
        <v>0</v>
      </c>
      <c r="F11" s="30">
        <v>0</v>
      </c>
      <c r="G11" s="30">
        <v>0</v>
      </c>
      <c r="H11" s="31" t="e">
        <f t="shared" si="1"/>
        <v>#DIV/0!</v>
      </c>
      <c r="I11" s="31" t="e">
        <f t="shared" si="2"/>
        <v>#DIV/0!</v>
      </c>
      <c r="J11" s="32">
        <f t="shared" si="5"/>
        <v>0</v>
      </c>
      <c r="K11" s="32" t="e">
        <f t="shared" si="3"/>
        <v>#DIV/0!</v>
      </c>
      <c r="L11" s="29">
        <v>0</v>
      </c>
      <c r="M11" s="33" t="str">
        <f t="shared" si="6"/>
        <v>-</v>
      </c>
      <c r="N11" s="29">
        <v>0</v>
      </c>
      <c r="O11" s="34">
        <f t="shared" ref="O11:P11" si="19">D11/7</f>
        <v>0</v>
      </c>
      <c r="P11" s="34">
        <f t="shared" si="19"/>
        <v>0</v>
      </c>
      <c r="Q11" s="29" t="e">
        <f t="shared" si="8"/>
        <v>#DIV/0!</v>
      </c>
      <c r="R11" s="29"/>
      <c r="S11" s="35" t="e">
        <v>#N/A</v>
      </c>
      <c r="T11" s="28">
        <v>0</v>
      </c>
      <c r="U11" s="36" t="s">
        <v>33</v>
      </c>
      <c r="V11" s="37" t="s">
        <v>33</v>
      </c>
      <c r="W11" s="28">
        <v>0</v>
      </c>
      <c r="X11" s="38">
        <f t="shared" si="9"/>
        <v>0</v>
      </c>
      <c r="Y11" s="39">
        <f t="shared" si="10"/>
        <v>0</v>
      </c>
      <c r="Z11" s="28">
        <v>0</v>
      </c>
      <c r="AA11" s="28" t="e">
        <v>#N/A</v>
      </c>
      <c r="AB11" s="40" t="e">
        <f t="shared" si="11"/>
        <v>#N/A</v>
      </c>
      <c r="AC11" s="41" t="e">
        <v>#N/A</v>
      </c>
      <c r="AD11" s="39">
        <f t="shared" si="12"/>
        <v>0</v>
      </c>
      <c r="AE11" s="39">
        <v>0</v>
      </c>
      <c r="AF11" s="39">
        <v>-11.0050833333333</v>
      </c>
      <c r="AG11" s="39">
        <v>0</v>
      </c>
    </row>
    <row r="12" spans="1:33" ht="15.75" customHeight="1" x14ac:dyDescent="0.2">
      <c r="A12" s="28" t="s">
        <v>49</v>
      </c>
      <c r="B12" s="28"/>
      <c r="C12" s="15" t="str">
        <f t="shared" si="4"/>
        <v xml:space="preserve"> - </v>
      </c>
      <c r="D12" s="29">
        <v>0</v>
      </c>
      <c r="E12" s="29">
        <v>0</v>
      </c>
      <c r="F12" s="30">
        <v>0</v>
      </c>
      <c r="G12" s="30">
        <v>0</v>
      </c>
      <c r="H12" s="31" t="e">
        <f t="shared" si="1"/>
        <v>#DIV/0!</v>
      </c>
      <c r="I12" s="31" t="e">
        <f t="shared" si="2"/>
        <v>#DIV/0!</v>
      </c>
      <c r="J12" s="32">
        <f t="shared" si="5"/>
        <v>0</v>
      </c>
      <c r="K12" s="32" t="e">
        <f t="shared" si="3"/>
        <v>#DIV/0!</v>
      </c>
      <c r="L12" s="29">
        <v>0</v>
      </c>
      <c r="M12" s="33" t="str">
        <f t="shared" si="6"/>
        <v>-</v>
      </c>
      <c r="N12" s="29">
        <v>0</v>
      </c>
      <c r="O12" s="34">
        <f t="shared" ref="O12:P12" si="20">D12/7</f>
        <v>0</v>
      </c>
      <c r="P12" s="34">
        <f t="shared" si="20"/>
        <v>0</v>
      </c>
      <c r="Q12" s="29" t="e">
        <f t="shared" si="8"/>
        <v>#DIV/0!</v>
      </c>
      <c r="R12" s="29"/>
      <c r="S12" s="35" t="e">
        <v>#N/A</v>
      </c>
      <c r="T12" s="28">
        <v>0</v>
      </c>
      <c r="U12" s="36" t="s">
        <v>33</v>
      </c>
      <c r="V12" s="37" t="s">
        <v>33</v>
      </c>
      <c r="W12" s="28">
        <v>0</v>
      </c>
      <c r="X12" s="38">
        <f t="shared" si="9"/>
        <v>0</v>
      </c>
      <c r="Y12" s="39">
        <f t="shared" si="10"/>
        <v>0</v>
      </c>
      <c r="Z12" s="28">
        <v>0</v>
      </c>
      <c r="AA12" s="28" t="e">
        <v>#N/A</v>
      </c>
      <c r="AB12" s="40" t="e">
        <f t="shared" si="11"/>
        <v>#N/A</v>
      </c>
      <c r="AC12" s="41" t="e">
        <v>#N/A</v>
      </c>
      <c r="AD12" s="39">
        <f t="shared" si="12"/>
        <v>0</v>
      </c>
      <c r="AE12" s="39">
        <v>0</v>
      </c>
      <c r="AF12" s="39">
        <v>-11.0050833333333</v>
      </c>
      <c r="AG12" s="39">
        <v>0</v>
      </c>
    </row>
    <row r="13" spans="1:33" ht="15.75" customHeight="1" x14ac:dyDescent="0.2">
      <c r="A13" s="28" t="s">
        <v>50</v>
      </c>
      <c r="B13" s="28"/>
      <c r="C13" s="15" t="str">
        <f t="shared" si="4"/>
        <v xml:space="preserve"> - </v>
      </c>
      <c r="D13" s="29">
        <v>0</v>
      </c>
      <c r="E13" s="29">
        <v>0</v>
      </c>
      <c r="F13" s="32">
        <v>0</v>
      </c>
      <c r="G13" s="30">
        <v>0</v>
      </c>
      <c r="H13" s="31" t="e">
        <f t="shared" si="1"/>
        <v>#DIV/0!</v>
      </c>
      <c r="I13" s="31" t="e">
        <f t="shared" si="2"/>
        <v>#DIV/0!</v>
      </c>
      <c r="J13" s="32">
        <f t="shared" si="5"/>
        <v>0</v>
      </c>
      <c r="K13" s="32" t="e">
        <f t="shared" si="3"/>
        <v>#DIV/0!</v>
      </c>
      <c r="L13" s="29">
        <v>0</v>
      </c>
      <c r="M13" s="33" t="str">
        <f t="shared" si="6"/>
        <v>-</v>
      </c>
      <c r="N13" s="29">
        <v>0</v>
      </c>
      <c r="O13" s="34">
        <f t="shared" ref="O13:P13" si="21">D13/7</f>
        <v>0</v>
      </c>
      <c r="P13" s="34">
        <f t="shared" si="21"/>
        <v>0</v>
      </c>
      <c r="Q13" s="29" t="e">
        <f t="shared" si="8"/>
        <v>#DIV/0!</v>
      </c>
      <c r="R13" s="29"/>
      <c r="S13" s="35" t="e">
        <v>#N/A</v>
      </c>
      <c r="T13" s="28">
        <v>0</v>
      </c>
      <c r="U13" s="36" t="s">
        <v>33</v>
      </c>
      <c r="V13" s="37" t="s">
        <v>33</v>
      </c>
      <c r="W13" s="28">
        <v>0</v>
      </c>
      <c r="X13" s="38">
        <f t="shared" si="9"/>
        <v>0</v>
      </c>
      <c r="Y13" s="39">
        <f t="shared" si="10"/>
        <v>0</v>
      </c>
      <c r="Z13" s="28">
        <v>0</v>
      </c>
      <c r="AA13" s="28" t="e">
        <v>#N/A</v>
      </c>
      <c r="AB13" s="40" t="e">
        <f t="shared" si="11"/>
        <v>#N/A</v>
      </c>
      <c r="AC13" s="41" t="e">
        <v>#N/A</v>
      </c>
      <c r="AD13" s="39">
        <f t="shared" si="12"/>
        <v>0</v>
      </c>
      <c r="AE13" s="39">
        <v>0</v>
      </c>
      <c r="AF13" s="39">
        <v>-11.37175</v>
      </c>
      <c r="AG13" s="39">
        <v>0</v>
      </c>
    </row>
    <row r="14" spans="1:33" ht="15.75" customHeight="1" x14ac:dyDescent="0.2">
      <c r="A14" s="28" t="s">
        <v>51</v>
      </c>
      <c r="B14" s="28"/>
      <c r="C14" s="15" t="str">
        <f t="shared" si="4"/>
        <v xml:space="preserve"> - </v>
      </c>
      <c r="D14" s="29">
        <v>0</v>
      </c>
      <c r="E14" s="29">
        <v>0</v>
      </c>
      <c r="F14" s="32">
        <v>0</v>
      </c>
      <c r="G14" s="30">
        <v>0</v>
      </c>
      <c r="H14" s="31" t="e">
        <f t="shared" si="1"/>
        <v>#DIV/0!</v>
      </c>
      <c r="I14" s="31" t="e">
        <f t="shared" si="2"/>
        <v>#DIV/0!</v>
      </c>
      <c r="J14" s="32">
        <f t="shared" si="5"/>
        <v>0</v>
      </c>
      <c r="K14" s="32" t="e">
        <f t="shared" si="3"/>
        <v>#DIV/0!</v>
      </c>
      <c r="L14" s="29">
        <v>0</v>
      </c>
      <c r="M14" s="33" t="str">
        <f t="shared" si="6"/>
        <v>-</v>
      </c>
      <c r="N14" s="29">
        <v>0</v>
      </c>
      <c r="O14" s="34">
        <f t="shared" ref="O14:P14" si="22">D14/7</f>
        <v>0</v>
      </c>
      <c r="P14" s="34">
        <f t="shared" si="22"/>
        <v>0</v>
      </c>
      <c r="Q14" s="29" t="e">
        <f t="shared" si="8"/>
        <v>#DIV/0!</v>
      </c>
      <c r="R14" s="29"/>
      <c r="S14" s="35" t="e">
        <v>#N/A</v>
      </c>
      <c r="T14" s="28">
        <v>0</v>
      </c>
      <c r="U14" s="36" t="s">
        <v>33</v>
      </c>
      <c r="V14" s="37" t="s">
        <v>33</v>
      </c>
      <c r="W14" s="28">
        <v>0</v>
      </c>
      <c r="X14" s="38">
        <f t="shared" si="9"/>
        <v>0</v>
      </c>
      <c r="Y14" s="39">
        <f t="shared" si="10"/>
        <v>0</v>
      </c>
      <c r="Z14" s="28">
        <v>0</v>
      </c>
      <c r="AA14" s="28" t="e">
        <v>#N/A</v>
      </c>
      <c r="AB14" s="40" t="e">
        <f t="shared" si="11"/>
        <v>#N/A</v>
      </c>
      <c r="AC14" s="41" t="e">
        <v>#N/A</v>
      </c>
      <c r="AD14" s="39">
        <f t="shared" si="12"/>
        <v>0</v>
      </c>
      <c r="AE14" s="39">
        <v>0</v>
      </c>
      <c r="AF14" s="39">
        <v>-11.37175</v>
      </c>
      <c r="AG14" s="39">
        <v>0</v>
      </c>
    </row>
    <row r="15" spans="1:33" ht="15.75" customHeight="1" x14ac:dyDescent="0.2">
      <c r="A15" s="28" t="s">
        <v>53</v>
      </c>
      <c r="B15" s="28"/>
      <c r="C15" s="15" t="str">
        <f t="shared" si="4"/>
        <v xml:space="preserve"> - </v>
      </c>
      <c r="D15" s="29">
        <v>0</v>
      </c>
      <c r="E15" s="29">
        <v>0</v>
      </c>
      <c r="F15" s="32">
        <v>0</v>
      </c>
      <c r="G15" s="30">
        <v>0</v>
      </c>
      <c r="H15" s="31" t="e">
        <f t="shared" si="1"/>
        <v>#DIV/0!</v>
      </c>
      <c r="I15" s="31" t="e">
        <f t="shared" si="2"/>
        <v>#DIV/0!</v>
      </c>
      <c r="J15" s="32">
        <f t="shared" si="5"/>
        <v>0</v>
      </c>
      <c r="K15" s="32" t="e">
        <f t="shared" si="3"/>
        <v>#DIV/0!</v>
      </c>
      <c r="L15" s="29">
        <v>0</v>
      </c>
      <c r="M15" s="33" t="str">
        <f t="shared" si="6"/>
        <v>-</v>
      </c>
      <c r="N15" s="29">
        <v>0</v>
      </c>
      <c r="O15" s="34">
        <f t="shared" ref="O15:P15" si="23">D15/7</f>
        <v>0</v>
      </c>
      <c r="P15" s="34">
        <f t="shared" si="23"/>
        <v>0</v>
      </c>
      <c r="Q15" s="29" t="e">
        <f t="shared" si="8"/>
        <v>#DIV/0!</v>
      </c>
      <c r="R15" s="29"/>
      <c r="S15" s="35" t="e">
        <v>#N/A</v>
      </c>
      <c r="T15" s="28">
        <v>0</v>
      </c>
      <c r="U15" s="36" t="s">
        <v>33</v>
      </c>
      <c r="V15" s="37" t="s">
        <v>33</v>
      </c>
      <c r="W15" s="28">
        <v>0</v>
      </c>
      <c r="X15" s="38">
        <f t="shared" si="9"/>
        <v>0</v>
      </c>
      <c r="Y15" s="39">
        <f t="shared" si="10"/>
        <v>0</v>
      </c>
      <c r="Z15" s="28">
        <v>0</v>
      </c>
      <c r="AA15" s="28" t="e">
        <v>#N/A</v>
      </c>
      <c r="AB15" s="40" t="e">
        <f t="shared" si="11"/>
        <v>#N/A</v>
      </c>
      <c r="AC15" s="41" t="e">
        <v>#N/A</v>
      </c>
      <c r="AD15" s="39">
        <f t="shared" si="12"/>
        <v>0</v>
      </c>
      <c r="AE15" s="39">
        <v>0</v>
      </c>
      <c r="AF15" s="39">
        <v>-11.37175</v>
      </c>
      <c r="AG15" s="39">
        <v>0</v>
      </c>
    </row>
    <row r="16" spans="1:33" ht="15.75" customHeight="1" x14ac:dyDescent="0.2">
      <c r="A16" s="28" t="s">
        <v>54</v>
      </c>
      <c r="B16" s="28"/>
      <c r="C16" s="15" t="str">
        <f t="shared" si="4"/>
        <v xml:space="preserve"> - </v>
      </c>
      <c r="D16" s="29">
        <v>0</v>
      </c>
      <c r="E16" s="29">
        <v>0</v>
      </c>
      <c r="F16" s="32">
        <v>0</v>
      </c>
      <c r="G16" s="30">
        <v>0</v>
      </c>
      <c r="H16" s="31" t="e">
        <f t="shared" si="1"/>
        <v>#DIV/0!</v>
      </c>
      <c r="I16" s="31" t="e">
        <f t="shared" si="2"/>
        <v>#DIV/0!</v>
      </c>
      <c r="J16" s="32">
        <f t="shared" si="5"/>
        <v>0</v>
      </c>
      <c r="K16" s="32" t="e">
        <f t="shared" si="3"/>
        <v>#DIV/0!</v>
      </c>
      <c r="L16" s="29">
        <v>0</v>
      </c>
      <c r="M16" s="33" t="str">
        <f t="shared" si="6"/>
        <v>-</v>
      </c>
      <c r="N16" s="29">
        <v>0</v>
      </c>
      <c r="O16" s="34">
        <f t="shared" ref="O16:P16" si="24">D16/7</f>
        <v>0</v>
      </c>
      <c r="P16" s="34">
        <f t="shared" si="24"/>
        <v>0</v>
      </c>
      <c r="Q16" s="29" t="e">
        <f t="shared" si="8"/>
        <v>#DIV/0!</v>
      </c>
      <c r="R16" s="29"/>
      <c r="S16" s="35" t="e">
        <v>#N/A</v>
      </c>
      <c r="T16" s="28">
        <v>0</v>
      </c>
      <c r="U16" s="36" t="s">
        <v>33</v>
      </c>
      <c r="V16" s="37" t="s">
        <v>33</v>
      </c>
      <c r="W16" s="28">
        <v>0</v>
      </c>
      <c r="X16" s="38">
        <f t="shared" si="9"/>
        <v>0</v>
      </c>
      <c r="Y16" s="39">
        <f t="shared" si="10"/>
        <v>0</v>
      </c>
      <c r="Z16" s="28">
        <v>0</v>
      </c>
      <c r="AA16" s="28" t="e">
        <v>#N/A</v>
      </c>
      <c r="AB16" s="40" t="e">
        <f t="shared" si="11"/>
        <v>#N/A</v>
      </c>
      <c r="AC16" s="41" t="e">
        <v>#N/A</v>
      </c>
      <c r="AD16" s="39">
        <f t="shared" si="12"/>
        <v>0</v>
      </c>
      <c r="AE16" s="39">
        <v>0</v>
      </c>
      <c r="AF16" s="39">
        <v>-11.37175</v>
      </c>
      <c r="AG16" s="39">
        <v>0</v>
      </c>
    </row>
    <row r="17" spans="1:33" ht="15.75" customHeight="1" x14ac:dyDescent="0.2">
      <c r="A17" s="28" t="s">
        <v>55</v>
      </c>
      <c r="B17" s="28"/>
      <c r="C17" s="15" t="str">
        <f t="shared" si="4"/>
        <v xml:space="preserve"> - </v>
      </c>
      <c r="D17" s="29">
        <v>0</v>
      </c>
      <c r="E17" s="29">
        <v>0</v>
      </c>
      <c r="F17" s="32">
        <v>0</v>
      </c>
      <c r="G17" s="30">
        <v>0</v>
      </c>
      <c r="H17" s="31" t="e">
        <f t="shared" si="1"/>
        <v>#DIV/0!</v>
      </c>
      <c r="I17" s="31" t="e">
        <f t="shared" si="2"/>
        <v>#DIV/0!</v>
      </c>
      <c r="J17" s="32">
        <f t="shared" si="5"/>
        <v>0</v>
      </c>
      <c r="K17" s="32" t="e">
        <f t="shared" si="3"/>
        <v>#DIV/0!</v>
      </c>
      <c r="L17" s="29">
        <v>0</v>
      </c>
      <c r="M17" s="33" t="str">
        <f t="shared" si="6"/>
        <v>-</v>
      </c>
      <c r="N17" s="29">
        <v>0</v>
      </c>
      <c r="O17" s="34">
        <f t="shared" ref="O17:P17" si="25">D17/7</f>
        <v>0</v>
      </c>
      <c r="P17" s="34">
        <f t="shared" si="25"/>
        <v>0</v>
      </c>
      <c r="Q17" s="29" t="e">
        <f t="shared" si="8"/>
        <v>#DIV/0!</v>
      </c>
      <c r="R17" s="29"/>
      <c r="S17" s="35" t="e">
        <v>#N/A</v>
      </c>
      <c r="T17" s="28">
        <v>0</v>
      </c>
      <c r="U17" s="36" t="s">
        <v>33</v>
      </c>
      <c r="V17" s="37" t="s">
        <v>33</v>
      </c>
      <c r="W17" s="28">
        <v>0</v>
      </c>
      <c r="X17" s="38">
        <f t="shared" si="9"/>
        <v>0</v>
      </c>
      <c r="Y17" s="39">
        <f t="shared" si="10"/>
        <v>0</v>
      </c>
      <c r="Z17" s="28">
        <v>0</v>
      </c>
      <c r="AA17" s="28" t="e">
        <v>#N/A</v>
      </c>
      <c r="AB17" s="40" t="e">
        <f t="shared" si="11"/>
        <v>#N/A</v>
      </c>
      <c r="AC17" s="41" t="e">
        <v>#N/A</v>
      </c>
      <c r="AD17" s="39">
        <f t="shared" si="12"/>
        <v>0</v>
      </c>
      <c r="AE17" s="39">
        <v>0</v>
      </c>
      <c r="AF17" s="39">
        <v>-11.17675</v>
      </c>
      <c r="AG17" s="39">
        <v>0</v>
      </c>
    </row>
    <row r="18" spans="1:33" ht="15.75" customHeight="1" x14ac:dyDescent="0.2">
      <c r="A18" s="28" t="s">
        <v>56</v>
      </c>
      <c r="B18" s="28"/>
      <c r="C18" s="15">
        <f t="shared" si="4"/>
        <v>29.99</v>
      </c>
      <c r="D18" s="29">
        <v>1</v>
      </c>
      <c r="E18" s="29">
        <v>0</v>
      </c>
      <c r="F18" s="32">
        <v>29.99</v>
      </c>
      <c r="G18" s="30">
        <v>0</v>
      </c>
      <c r="H18" s="31">
        <f t="shared" si="1"/>
        <v>0</v>
      </c>
      <c r="I18" s="31">
        <f t="shared" si="2"/>
        <v>0.17031900745594222</v>
      </c>
      <c r="J18" s="32">
        <f t="shared" si="5"/>
        <v>5.1078670336037071</v>
      </c>
      <c r="K18" s="32">
        <f t="shared" si="3"/>
        <v>5.1078670336037071</v>
      </c>
      <c r="L18" s="29">
        <v>3</v>
      </c>
      <c r="M18" s="33">
        <f t="shared" si="6"/>
        <v>0.33333333333333331</v>
      </c>
      <c r="N18" s="29">
        <v>1</v>
      </c>
      <c r="O18" s="34">
        <f t="shared" ref="O18:P18" si="26">D18/7</f>
        <v>0.14285714285714285</v>
      </c>
      <c r="P18" s="34">
        <f t="shared" si="26"/>
        <v>0</v>
      </c>
      <c r="Q18" s="29">
        <f t="shared" si="8"/>
        <v>7</v>
      </c>
      <c r="R18" s="29"/>
      <c r="S18" s="35" t="e">
        <v>#N/A</v>
      </c>
      <c r="T18" s="28">
        <v>1000</v>
      </c>
      <c r="U18" s="36">
        <v>1000</v>
      </c>
      <c r="V18" s="37" t="s">
        <v>836</v>
      </c>
      <c r="W18" s="28">
        <v>0</v>
      </c>
      <c r="X18" s="38">
        <f t="shared" si="9"/>
        <v>0</v>
      </c>
      <c r="Y18" s="39">
        <f t="shared" si="10"/>
        <v>0</v>
      </c>
      <c r="Z18" s="28">
        <v>0</v>
      </c>
      <c r="AA18" s="28" t="s">
        <v>621</v>
      </c>
      <c r="AB18" s="40">
        <f t="shared" si="11"/>
        <v>-0.48</v>
      </c>
      <c r="AC18" s="41">
        <v>0.19466975666280417</v>
      </c>
      <c r="AD18" s="39">
        <f t="shared" si="12"/>
        <v>-0.18688296639629201</v>
      </c>
      <c r="AE18" s="39">
        <v>-9.02</v>
      </c>
      <c r="AF18" s="39">
        <v>-11.17675</v>
      </c>
      <c r="AG18" s="39">
        <v>0</v>
      </c>
    </row>
    <row r="19" spans="1:33" ht="15.75" customHeight="1" x14ac:dyDescent="0.2">
      <c r="A19" s="28" t="s">
        <v>57</v>
      </c>
      <c r="B19" s="28"/>
      <c r="C19" s="15" t="str">
        <f t="shared" si="4"/>
        <v xml:space="preserve"> - </v>
      </c>
      <c r="D19" s="29">
        <v>0</v>
      </c>
      <c r="E19" s="29">
        <v>0</v>
      </c>
      <c r="F19" s="32">
        <v>0</v>
      </c>
      <c r="G19" s="30">
        <v>0</v>
      </c>
      <c r="H19" s="31" t="e">
        <f t="shared" si="1"/>
        <v>#DIV/0!</v>
      </c>
      <c r="I19" s="31" t="e">
        <f t="shared" si="2"/>
        <v>#DIV/0!</v>
      </c>
      <c r="J19" s="32">
        <f t="shared" si="5"/>
        <v>0</v>
      </c>
      <c r="K19" s="32" t="e">
        <f t="shared" si="3"/>
        <v>#DIV/0!</v>
      </c>
      <c r="L19" s="29">
        <v>0</v>
      </c>
      <c r="M19" s="33" t="str">
        <f t="shared" si="6"/>
        <v>-</v>
      </c>
      <c r="N19" s="29">
        <v>0</v>
      </c>
      <c r="O19" s="34">
        <f t="shared" ref="O19:P19" si="27">D19/7</f>
        <v>0</v>
      </c>
      <c r="P19" s="34">
        <f t="shared" si="27"/>
        <v>0</v>
      </c>
      <c r="Q19" s="29" t="e">
        <f t="shared" si="8"/>
        <v>#DIV/0!</v>
      </c>
      <c r="R19" s="29"/>
      <c r="S19" s="35" t="e">
        <v>#N/A</v>
      </c>
      <c r="T19" s="28">
        <v>1000</v>
      </c>
      <c r="U19" s="36">
        <v>1000</v>
      </c>
      <c r="V19" s="37" t="s">
        <v>836</v>
      </c>
      <c r="W19" s="28">
        <v>0</v>
      </c>
      <c r="X19" s="38">
        <f t="shared" si="9"/>
        <v>0</v>
      </c>
      <c r="Y19" s="39">
        <f t="shared" si="10"/>
        <v>0</v>
      </c>
      <c r="Z19" s="28">
        <v>0</v>
      </c>
      <c r="AA19" s="28" t="e">
        <v>#N/A</v>
      </c>
      <c r="AB19" s="40" t="e">
        <f t="shared" si="11"/>
        <v>#N/A</v>
      </c>
      <c r="AC19" s="41" t="e">
        <v>#N/A</v>
      </c>
      <c r="AD19" s="39">
        <f t="shared" si="12"/>
        <v>0</v>
      </c>
      <c r="AE19" s="39">
        <v>0</v>
      </c>
      <c r="AF19" s="39">
        <v>-11.17675</v>
      </c>
      <c r="AG19" s="39">
        <v>0</v>
      </c>
    </row>
    <row r="20" spans="1:33" ht="15.75" customHeight="1" x14ac:dyDescent="0.2">
      <c r="A20" s="28" t="s">
        <v>58</v>
      </c>
      <c r="B20" s="28"/>
      <c r="C20" s="15" t="str">
        <f t="shared" si="4"/>
        <v xml:space="preserve"> - </v>
      </c>
      <c r="D20" s="29">
        <v>0</v>
      </c>
      <c r="E20" s="29">
        <v>0</v>
      </c>
      <c r="F20" s="32">
        <v>0</v>
      </c>
      <c r="G20" s="30">
        <v>0</v>
      </c>
      <c r="H20" s="31" t="e">
        <f t="shared" si="1"/>
        <v>#DIV/0!</v>
      </c>
      <c r="I20" s="31" t="e">
        <f t="shared" si="2"/>
        <v>#DIV/0!</v>
      </c>
      <c r="J20" s="32">
        <f t="shared" si="5"/>
        <v>0</v>
      </c>
      <c r="K20" s="32" t="e">
        <f t="shared" si="3"/>
        <v>#DIV/0!</v>
      </c>
      <c r="L20" s="29">
        <v>0</v>
      </c>
      <c r="M20" s="33" t="str">
        <f t="shared" si="6"/>
        <v>-</v>
      </c>
      <c r="N20" s="29">
        <v>0</v>
      </c>
      <c r="O20" s="34">
        <f t="shared" ref="O20:P20" si="28">D20/7</f>
        <v>0</v>
      </c>
      <c r="P20" s="34">
        <f t="shared" si="28"/>
        <v>0</v>
      </c>
      <c r="Q20" s="29" t="e">
        <f t="shared" si="8"/>
        <v>#DIV/0!</v>
      </c>
      <c r="R20" s="29"/>
      <c r="S20" s="35" t="e">
        <v>#N/A</v>
      </c>
      <c r="T20" s="28">
        <v>1000</v>
      </c>
      <c r="U20" s="36">
        <v>1000</v>
      </c>
      <c r="V20" s="37" t="s">
        <v>836</v>
      </c>
      <c r="W20" s="28">
        <v>0</v>
      </c>
      <c r="X20" s="38">
        <f t="shared" si="9"/>
        <v>0</v>
      </c>
      <c r="Y20" s="39">
        <f t="shared" si="10"/>
        <v>0</v>
      </c>
      <c r="Z20" s="28">
        <v>0</v>
      </c>
      <c r="AA20" s="28" t="e">
        <v>#N/A</v>
      </c>
      <c r="AB20" s="40" t="e">
        <f t="shared" si="11"/>
        <v>#N/A</v>
      </c>
      <c r="AC20" s="41" t="e">
        <v>#N/A</v>
      </c>
      <c r="AD20" s="39">
        <f t="shared" si="12"/>
        <v>0</v>
      </c>
      <c r="AE20" s="39">
        <v>0</v>
      </c>
      <c r="AF20" s="39">
        <v>-11.17675</v>
      </c>
      <c r="AG20" s="39">
        <v>0</v>
      </c>
    </row>
    <row r="21" spans="1:33" ht="15.75" customHeight="1" x14ac:dyDescent="0.2">
      <c r="A21" s="28" t="s">
        <v>59</v>
      </c>
      <c r="B21" s="28"/>
      <c r="C21" s="15" t="str">
        <f t="shared" si="4"/>
        <v xml:space="preserve"> - </v>
      </c>
      <c r="D21" s="29">
        <v>0</v>
      </c>
      <c r="E21" s="29">
        <v>0</v>
      </c>
      <c r="F21" s="32">
        <v>0</v>
      </c>
      <c r="G21" s="30">
        <v>0</v>
      </c>
      <c r="H21" s="31" t="e">
        <f t="shared" si="1"/>
        <v>#DIV/0!</v>
      </c>
      <c r="I21" s="31" t="e">
        <f t="shared" si="2"/>
        <v>#DIV/0!</v>
      </c>
      <c r="J21" s="32">
        <f t="shared" si="5"/>
        <v>0</v>
      </c>
      <c r="K21" s="32" t="e">
        <f t="shared" si="3"/>
        <v>#DIV/0!</v>
      </c>
      <c r="L21" s="29">
        <v>0</v>
      </c>
      <c r="M21" s="33" t="str">
        <f t="shared" si="6"/>
        <v>-</v>
      </c>
      <c r="N21" s="29">
        <v>0</v>
      </c>
      <c r="O21" s="34">
        <f t="shared" ref="O21:P21" si="29">D21/7</f>
        <v>0</v>
      </c>
      <c r="P21" s="34">
        <f t="shared" si="29"/>
        <v>0</v>
      </c>
      <c r="Q21" s="29" t="e">
        <f t="shared" si="8"/>
        <v>#DIV/0!</v>
      </c>
      <c r="R21" s="29"/>
      <c r="S21" s="35" t="e">
        <v>#N/A</v>
      </c>
      <c r="T21" s="28">
        <v>1000</v>
      </c>
      <c r="U21" s="36">
        <v>1000</v>
      </c>
      <c r="V21" s="37" t="s">
        <v>837</v>
      </c>
      <c r="W21" s="28">
        <v>0</v>
      </c>
      <c r="X21" s="38">
        <f t="shared" si="9"/>
        <v>0</v>
      </c>
      <c r="Y21" s="39">
        <f t="shared" si="10"/>
        <v>0</v>
      </c>
      <c r="Z21" s="28">
        <v>0</v>
      </c>
      <c r="AA21" s="28" t="e">
        <v>#N/A</v>
      </c>
      <c r="AB21" s="40" t="e">
        <f t="shared" si="11"/>
        <v>#N/A</v>
      </c>
      <c r="AC21" s="41" t="e">
        <v>#N/A</v>
      </c>
      <c r="AD21" s="39">
        <f t="shared" si="12"/>
        <v>0</v>
      </c>
      <c r="AE21" s="39">
        <v>0</v>
      </c>
      <c r="AF21" s="39">
        <v>-11.17675</v>
      </c>
      <c r="AG21" s="39">
        <v>0</v>
      </c>
    </row>
    <row r="22" spans="1:33" ht="15.75" customHeight="1" x14ac:dyDescent="0.2">
      <c r="A22" s="28" t="s">
        <v>60</v>
      </c>
      <c r="B22" s="28"/>
      <c r="C22" s="15" t="str">
        <f t="shared" si="4"/>
        <v xml:space="preserve"> - </v>
      </c>
      <c r="D22" s="29">
        <v>0</v>
      </c>
      <c r="E22" s="29">
        <v>0</v>
      </c>
      <c r="F22" s="30">
        <v>0</v>
      </c>
      <c r="G22" s="30">
        <v>0</v>
      </c>
      <c r="H22" s="31" t="e">
        <f t="shared" si="1"/>
        <v>#DIV/0!</v>
      </c>
      <c r="I22" s="31" t="e">
        <f t="shared" si="2"/>
        <v>#DIV/0!</v>
      </c>
      <c r="J22" s="32">
        <f t="shared" si="5"/>
        <v>0</v>
      </c>
      <c r="K22" s="32" t="e">
        <f t="shared" si="3"/>
        <v>#DIV/0!</v>
      </c>
      <c r="L22" s="29">
        <v>0</v>
      </c>
      <c r="M22" s="33" t="str">
        <f t="shared" si="6"/>
        <v>-</v>
      </c>
      <c r="N22" s="29">
        <v>0</v>
      </c>
      <c r="O22" s="34">
        <f t="shared" ref="O22:P22" si="30">D22/7</f>
        <v>0</v>
      </c>
      <c r="P22" s="34">
        <f t="shared" si="30"/>
        <v>0</v>
      </c>
      <c r="Q22" s="29" t="e">
        <f t="shared" si="8"/>
        <v>#DIV/0!</v>
      </c>
      <c r="R22" s="29"/>
      <c r="S22" s="35" t="e">
        <v>#N/A</v>
      </c>
      <c r="T22" s="28">
        <v>360</v>
      </c>
      <c r="U22" s="36">
        <v>360</v>
      </c>
      <c r="V22" s="37" t="s">
        <v>838</v>
      </c>
      <c r="W22" s="28">
        <v>0</v>
      </c>
      <c r="X22" s="38">
        <f t="shared" si="9"/>
        <v>0</v>
      </c>
      <c r="Y22" s="39">
        <f t="shared" si="10"/>
        <v>0</v>
      </c>
      <c r="Z22" s="28">
        <v>0</v>
      </c>
      <c r="AA22" s="28" t="e">
        <v>#N/A</v>
      </c>
      <c r="AB22" s="40" t="e">
        <f t="shared" si="11"/>
        <v>#N/A</v>
      </c>
      <c r="AC22" s="41" t="e">
        <v>#N/A</v>
      </c>
      <c r="AD22" s="39">
        <f t="shared" si="12"/>
        <v>0</v>
      </c>
      <c r="AE22" s="39">
        <v>0</v>
      </c>
      <c r="AF22" s="39">
        <v>-11.17675</v>
      </c>
      <c r="AG22" s="39">
        <v>0</v>
      </c>
    </row>
    <row r="23" spans="1:33" ht="15.75" customHeight="1" x14ac:dyDescent="0.2">
      <c r="A23" s="28" t="s">
        <v>62</v>
      </c>
      <c r="B23" s="28"/>
      <c r="C23" s="15" t="str">
        <f t="shared" si="4"/>
        <v xml:space="preserve"> - </v>
      </c>
      <c r="D23" s="29">
        <v>0</v>
      </c>
      <c r="E23" s="29">
        <v>0</v>
      </c>
      <c r="F23" s="32">
        <v>0</v>
      </c>
      <c r="G23" s="30">
        <v>0</v>
      </c>
      <c r="H23" s="31" t="e">
        <f t="shared" si="1"/>
        <v>#DIV/0!</v>
      </c>
      <c r="I23" s="31" t="e">
        <f t="shared" si="2"/>
        <v>#DIV/0!</v>
      </c>
      <c r="J23" s="32">
        <f t="shared" si="5"/>
        <v>0</v>
      </c>
      <c r="K23" s="32" t="e">
        <f t="shared" si="3"/>
        <v>#DIV/0!</v>
      </c>
      <c r="L23" s="29">
        <v>0</v>
      </c>
      <c r="M23" s="33" t="str">
        <f t="shared" si="6"/>
        <v>-</v>
      </c>
      <c r="N23" s="29">
        <v>0</v>
      </c>
      <c r="O23" s="34">
        <f t="shared" ref="O23:P23" si="31">D23/7</f>
        <v>0</v>
      </c>
      <c r="P23" s="34">
        <f t="shared" si="31"/>
        <v>0</v>
      </c>
      <c r="Q23" s="29" t="e">
        <f t="shared" si="8"/>
        <v>#DIV/0!</v>
      </c>
      <c r="R23" s="29"/>
      <c r="S23" s="35" t="e">
        <v>#N/A</v>
      </c>
      <c r="T23" s="28">
        <v>360</v>
      </c>
      <c r="U23" s="36">
        <v>360</v>
      </c>
      <c r="V23" s="37" t="s">
        <v>839</v>
      </c>
      <c r="W23" s="28">
        <v>0</v>
      </c>
      <c r="X23" s="38">
        <f t="shared" si="9"/>
        <v>0</v>
      </c>
      <c r="Y23" s="39">
        <f t="shared" si="10"/>
        <v>0</v>
      </c>
      <c r="Z23" s="28">
        <v>0</v>
      </c>
      <c r="AA23" s="28" t="s">
        <v>621</v>
      </c>
      <c r="AB23" s="40">
        <f t="shared" si="11"/>
        <v>-0.48</v>
      </c>
      <c r="AC23" s="41">
        <v>0.19444444444444445</v>
      </c>
      <c r="AD23" s="39">
        <f t="shared" si="12"/>
        <v>0</v>
      </c>
      <c r="AE23" s="39">
        <v>-9.02</v>
      </c>
      <c r="AF23" s="39">
        <v>-11.17675</v>
      </c>
      <c r="AG23" s="39">
        <v>0</v>
      </c>
    </row>
    <row r="24" spans="1:33" ht="15.75" customHeight="1" x14ac:dyDescent="0.2">
      <c r="A24" s="28" t="s">
        <v>64</v>
      </c>
      <c r="B24" s="28"/>
      <c r="C24" s="15" t="str">
        <f t="shared" si="4"/>
        <v xml:space="preserve"> - </v>
      </c>
      <c r="D24" s="29">
        <v>0</v>
      </c>
      <c r="E24" s="29">
        <v>0</v>
      </c>
      <c r="F24" s="32">
        <v>0</v>
      </c>
      <c r="G24" s="32">
        <v>0</v>
      </c>
      <c r="H24" s="31" t="e">
        <f t="shared" si="1"/>
        <v>#DIV/0!</v>
      </c>
      <c r="I24" s="31" t="e">
        <f t="shared" si="2"/>
        <v>#DIV/0!</v>
      </c>
      <c r="J24" s="32">
        <f t="shared" si="5"/>
        <v>0</v>
      </c>
      <c r="K24" s="32" t="e">
        <f t="shared" si="3"/>
        <v>#DIV/0!</v>
      </c>
      <c r="L24" s="29">
        <v>0</v>
      </c>
      <c r="M24" s="33" t="str">
        <f t="shared" si="6"/>
        <v>-</v>
      </c>
      <c r="N24" s="29">
        <v>0</v>
      </c>
      <c r="O24" s="34">
        <f t="shared" ref="O24:P24" si="32">D24/7</f>
        <v>0</v>
      </c>
      <c r="P24" s="34">
        <f t="shared" si="32"/>
        <v>0</v>
      </c>
      <c r="Q24" s="29" t="e">
        <f t="shared" si="8"/>
        <v>#DIV/0!</v>
      </c>
      <c r="R24" s="29"/>
      <c r="S24" s="35" t="e">
        <v>#N/A</v>
      </c>
      <c r="T24" s="28">
        <v>360</v>
      </c>
      <c r="U24" s="36">
        <v>360</v>
      </c>
      <c r="V24" s="37" t="s">
        <v>840</v>
      </c>
      <c r="W24" s="28">
        <v>0</v>
      </c>
      <c r="X24" s="38">
        <f t="shared" si="9"/>
        <v>0</v>
      </c>
      <c r="Y24" s="39">
        <f t="shared" si="10"/>
        <v>0</v>
      </c>
      <c r="Z24" s="28">
        <v>0</v>
      </c>
      <c r="AA24" s="28" t="s">
        <v>621</v>
      </c>
      <c r="AB24" s="40">
        <f t="shared" si="11"/>
        <v>-0.48</v>
      </c>
      <c r="AC24" s="41">
        <v>0.19444444444444445</v>
      </c>
      <c r="AD24" s="39">
        <f t="shared" si="12"/>
        <v>0</v>
      </c>
      <c r="AE24" s="39">
        <v>-9.02</v>
      </c>
      <c r="AF24" s="39">
        <v>-11.17675</v>
      </c>
      <c r="AG24" s="39">
        <v>0</v>
      </c>
    </row>
    <row r="25" spans="1:33" ht="15.75" customHeight="1" x14ac:dyDescent="0.2">
      <c r="A25" s="28" t="s">
        <v>65</v>
      </c>
      <c r="B25" s="14"/>
      <c r="C25" s="15" t="str">
        <f t="shared" si="4"/>
        <v xml:space="preserve"> - </v>
      </c>
      <c r="D25" s="29">
        <v>0</v>
      </c>
      <c r="E25" s="29">
        <v>0</v>
      </c>
      <c r="F25" s="32">
        <v>0</v>
      </c>
      <c r="G25" s="32">
        <v>0</v>
      </c>
      <c r="H25" s="31" t="e">
        <f t="shared" si="1"/>
        <v>#DIV/0!</v>
      </c>
      <c r="I25" s="31" t="e">
        <f t="shared" si="2"/>
        <v>#DIV/0!</v>
      </c>
      <c r="J25" s="32">
        <f t="shared" si="5"/>
        <v>0</v>
      </c>
      <c r="K25" s="32" t="e">
        <f t="shared" si="3"/>
        <v>#DIV/0!</v>
      </c>
      <c r="L25" s="29">
        <v>0</v>
      </c>
      <c r="M25" s="33" t="str">
        <f t="shared" si="6"/>
        <v>-</v>
      </c>
      <c r="N25" s="29">
        <v>361</v>
      </c>
      <c r="O25" s="34">
        <f t="shared" ref="O25:P25" si="33">D25/7</f>
        <v>0</v>
      </c>
      <c r="P25" s="34">
        <f t="shared" si="33"/>
        <v>0</v>
      </c>
      <c r="Q25" s="29" t="e">
        <f t="shared" si="8"/>
        <v>#DIV/0!</v>
      </c>
      <c r="R25" s="29"/>
      <c r="S25" s="35">
        <v>0</v>
      </c>
      <c r="T25" s="28">
        <v>640</v>
      </c>
      <c r="U25" s="36" t="s">
        <v>33</v>
      </c>
      <c r="V25" s="37" t="s">
        <v>33</v>
      </c>
      <c r="W25" s="14">
        <v>0</v>
      </c>
      <c r="X25" s="38">
        <f t="shared" si="9"/>
        <v>0</v>
      </c>
      <c r="Y25" s="39">
        <f t="shared" si="10"/>
        <v>0</v>
      </c>
      <c r="Z25" s="14">
        <v>0</v>
      </c>
      <c r="AA25" s="28" t="s">
        <v>621</v>
      </c>
      <c r="AB25" s="40">
        <f t="shared" si="11"/>
        <v>-0.48</v>
      </c>
      <c r="AC25" s="41">
        <v>0.19444444444444445</v>
      </c>
      <c r="AD25" s="39">
        <f t="shared" si="12"/>
        <v>0</v>
      </c>
      <c r="AE25" s="39">
        <v>-9.02</v>
      </c>
      <c r="AF25" s="39">
        <v>-11.18</v>
      </c>
      <c r="AG25" s="39">
        <v>0</v>
      </c>
    </row>
    <row r="26" spans="1:33" ht="15.75" customHeight="1" x14ac:dyDescent="0.2">
      <c r="A26" s="14" t="s">
        <v>67</v>
      </c>
      <c r="B26" s="14" t="s">
        <v>841</v>
      </c>
      <c r="C26" s="15" t="str">
        <f t="shared" si="4"/>
        <v xml:space="preserve"> - </v>
      </c>
      <c r="D26" s="16">
        <v>0</v>
      </c>
      <c r="E26" s="16">
        <v>0</v>
      </c>
      <c r="F26" s="17">
        <v>0</v>
      </c>
      <c r="G26" s="17">
        <v>0</v>
      </c>
      <c r="H26" s="31" t="e">
        <f t="shared" si="1"/>
        <v>#DIV/0!</v>
      </c>
      <c r="I26" s="31" t="e">
        <f t="shared" si="2"/>
        <v>#DIV/0!</v>
      </c>
      <c r="J26" s="32">
        <f t="shared" si="5"/>
        <v>0</v>
      </c>
      <c r="K26" s="32" t="e">
        <f t="shared" si="3"/>
        <v>#DIV/0!</v>
      </c>
      <c r="L26" s="16">
        <v>0</v>
      </c>
      <c r="M26" s="33" t="str">
        <f t="shared" si="6"/>
        <v>-</v>
      </c>
      <c r="N26" s="16">
        <v>391</v>
      </c>
      <c r="O26" s="34">
        <f t="shared" ref="O26:P26" si="34">D26/7</f>
        <v>0</v>
      </c>
      <c r="P26" s="34">
        <f t="shared" si="34"/>
        <v>0</v>
      </c>
      <c r="Q26" s="29" t="e">
        <f t="shared" si="8"/>
        <v>#DIV/0!</v>
      </c>
      <c r="R26" s="29"/>
      <c r="S26" s="21">
        <v>1.1080332409972299E-2</v>
      </c>
      <c r="T26" s="28">
        <v>640</v>
      </c>
      <c r="U26" s="36" t="s">
        <v>33</v>
      </c>
      <c r="V26" s="37" t="s">
        <v>33</v>
      </c>
      <c r="W26" s="14">
        <v>0</v>
      </c>
      <c r="X26" s="38">
        <f t="shared" si="9"/>
        <v>0</v>
      </c>
      <c r="Y26" s="39">
        <f t="shared" si="10"/>
        <v>0</v>
      </c>
      <c r="Z26" s="14">
        <v>0</v>
      </c>
      <c r="AA26" s="28" t="s">
        <v>621</v>
      </c>
      <c r="AB26" s="40">
        <f t="shared" si="11"/>
        <v>-0.48</v>
      </c>
      <c r="AC26" s="41">
        <v>0.19444444444444445</v>
      </c>
      <c r="AD26" s="39">
        <f t="shared" si="12"/>
        <v>0</v>
      </c>
      <c r="AE26" s="25">
        <v>-9.42</v>
      </c>
      <c r="AF26" s="25">
        <v>-11.735587499999999</v>
      </c>
      <c r="AG26" s="25">
        <v>0</v>
      </c>
    </row>
    <row r="27" spans="1:33" ht="15.75" customHeight="1" x14ac:dyDescent="0.2">
      <c r="A27" s="14" t="s">
        <v>69</v>
      </c>
      <c r="B27" s="14" t="s">
        <v>370</v>
      </c>
      <c r="C27" s="15">
        <f t="shared" si="4"/>
        <v>27.99</v>
      </c>
      <c r="D27" s="16">
        <v>2</v>
      </c>
      <c r="E27" s="16">
        <v>0</v>
      </c>
      <c r="F27" s="17">
        <v>55.98</v>
      </c>
      <c r="G27" s="17">
        <v>0</v>
      </c>
      <c r="H27" s="31">
        <f t="shared" si="1"/>
        <v>0</v>
      </c>
      <c r="I27" s="31">
        <f t="shared" si="2"/>
        <v>8.7504317017982614E-2</v>
      </c>
      <c r="J27" s="32">
        <f t="shared" si="5"/>
        <v>4.8984916666666667</v>
      </c>
      <c r="K27" s="32">
        <f t="shared" si="3"/>
        <v>2.4492458333333333</v>
      </c>
      <c r="L27" s="16">
        <v>9</v>
      </c>
      <c r="M27" s="33">
        <f t="shared" si="6"/>
        <v>0.22222222222222221</v>
      </c>
      <c r="N27" s="16">
        <v>375</v>
      </c>
      <c r="O27" s="34">
        <f t="shared" ref="O27:P27" si="35">D27/7</f>
        <v>0.2857142857142857</v>
      </c>
      <c r="P27" s="34">
        <f t="shared" si="35"/>
        <v>0</v>
      </c>
      <c r="Q27" s="29">
        <f t="shared" si="8"/>
        <v>1312</v>
      </c>
      <c r="R27" s="29"/>
      <c r="S27" s="21">
        <v>3.1914893617021267E-2</v>
      </c>
      <c r="T27" s="28">
        <v>640</v>
      </c>
      <c r="U27" s="36" t="s">
        <v>33</v>
      </c>
      <c r="V27" s="37" t="s">
        <v>33</v>
      </c>
      <c r="W27" s="14">
        <v>0</v>
      </c>
      <c r="X27" s="38">
        <f t="shared" si="9"/>
        <v>0</v>
      </c>
      <c r="Y27" s="39">
        <f t="shared" si="10"/>
        <v>0</v>
      </c>
      <c r="Z27" s="14">
        <v>0</v>
      </c>
      <c r="AA27" s="28" t="s">
        <v>621</v>
      </c>
      <c r="AB27" s="40">
        <f t="shared" si="11"/>
        <v>-0.48</v>
      </c>
      <c r="AC27" s="41">
        <v>0.19444444444444445</v>
      </c>
      <c r="AD27" s="39">
        <f t="shared" si="12"/>
        <v>-0.37333333333333335</v>
      </c>
      <c r="AE27" s="25">
        <v>-9.42</v>
      </c>
      <c r="AF27" s="25">
        <v>-11.735587499999999</v>
      </c>
      <c r="AG27" s="25">
        <v>0</v>
      </c>
    </row>
    <row r="28" spans="1:33" ht="15.75" customHeight="1" x14ac:dyDescent="0.2">
      <c r="A28" s="14" t="s">
        <v>71</v>
      </c>
      <c r="B28" s="14" t="s">
        <v>842</v>
      </c>
      <c r="C28" s="15">
        <f t="shared" si="4"/>
        <v>27.990000000000002</v>
      </c>
      <c r="D28" s="16">
        <v>7</v>
      </c>
      <c r="E28" s="16">
        <v>0</v>
      </c>
      <c r="F28" s="17">
        <v>195.93</v>
      </c>
      <c r="G28" s="17">
        <v>0</v>
      </c>
      <c r="H28" s="31">
        <f t="shared" si="1"/>
        <v>0</v>
      </c>
      <c r="I28" s="31">
        <f t="shared" si="2"/>
        <v>8.7504317017982669E-2</v>
      </c>
      <c r="J28" s="32">
        <f t="shared" si="5"/>
        <v>17.144720833333345</v>
      </c>
      <c r="K28" s="32">
        <f t="shared" si="3"/>
        <v>2.4492458333333351</v>
      </c>
      <c r="L28" s="16">
        <v>19</v>
      </c>
      <c r="M28" s="33">
        <f t="shared" si="6"/>
        <v>0.36842105263157893</v>
      </c>
      <c r="N28" s="16">
        <v>331</v>
      </c>
      <c r="O28" s="34">
        <f t="shared" ref="O28:P28" si="36">D28/7</f>
        <v>1</v>
      </c>
      <c r="P28" s="34">
        <f t="shared" si="36"/>
        <v>0</v>
      </c>
      <c r="Q28" s="29">
        <f t="shared" si="8"/>
        <v>331</v>
      </c>
      <c r="R28" s="29"/>
      <c r="S28" s="21">
        <v>7.6190476190476197E-2</v>
      </c>
      <c r="T28" s="28">
        <v>640</v>
      </c>
      <c r="U28" s="36" t="s">
        <v>33</v>
      </c>
      <c r="V28" s="37" t="s">
        <v>33</v>
      </c>
      <c r="W28" s="14">
        <v>0</v>
      </c>
      <c r="X28" s="38">
        <f t="shared" si="9"/>
        <v>0</v>
      </c>
      <c r="Y28" s="39">
        <f t="shared" si="10"/>
        <v>0</v>
      </c>
      <c r="Z28" s="14">
        <v>0</v>
      </c>
      <c r="AA28" s="28" t="s">
        <v>621</v>
      </c>
      <c r="AB28" s="40">
        <f t="shared" si="11"/>
        <v>-0.48</v>
      </c>
      <c r="AC28" s="41">
        <v>0.19444444444444445</v>
      </c>
      <c r="AD28" s="39">
        <f t="shared" si="12"/>
        <v>-1.3066666666666666</v>
      </c>
      <c r="AE28" s="25">
        <v>-9.42</v>
      </c>
      <c r="AF28" s="25">
        <v>-11.735587499999999</v>
      </c>
      <c r="AG28" s="25">
        <v>0</v>
      </c>
    </row>
    <row r="29" spans="1:33" ht="15.75" customHeight="1" x14ac:dyDescent="0.2">
      <c r="A29" s="28" t="s">
        <v>72</v>
      </c>
      <c r="B29" s="28" t="s">
        <v>47</v>
      </c>
      <c r="C29" s="15">
        <f t="shared" si="4"/>
        <v>27.99</v>
      </c>
      <c r="D29" s="29">
        <v>3</v>
      </c>
      <c r="E29" s="29">
        <v>0</v>
      </c>
      <c r="F29" s="32">
        <v>83.97</v>
      </c>
      <c r="G29" s="32">
        <v>0</v>
      </c>
      <c r="H29" s="31">
        <f t="shared" si="1"/>
        <v>0</v>
      </c>
      <c r="I29" s="31">
        <f t="shared" si="2"/>
        <v>8.7504317017982641E-2</v>
      </c>
      <c r="J29" s="32">
        <f t="shared" si="5"/>
        <v>7.3477375000000027</v>
      </c>
      <c r="K29" s="32">
        <f t="shared" si="3"/>
        <v>2.4492458333333342</v>
      </c>
      <c r="L29" s="29">
        <v>24</v>
      </c>
      <c r="M29" s="33">
        <f t="shared" si="6"/>
        <v>0.125</v>
      </c>
      <c r="N29" s="16">
        <v>328</v>
      </c>
      <c r="O29" s="34">
        <f t="shared" ref="O29:P29" si="37">D29/7</f>
        <v>0.42857142857142855</v>
      </c>
      <c r="P29" s="34">
        <f t="shared" si="37"/>
        <v>0</v>
      </c>
      <c r="Q29" s="29">
        <f t="shared" si="8"/>
        <v>765</v>
      </c>
      <c r="R29" s="29"/>
      <c r="S29" s="21">
        <v>0.13289036544850499</v>
      </c>
      <c r="T29" s="28">
        <v>640</v>
      </c>
      <c r="U29" s="36" t="s">
        <v>33</v>
      </c>
      <c r="V29" s="37" t="s">
        <v>33</v>
      </c>
      <c r="W29" s="14">
        <v>0</v>
      </c>
      <c r="X29" s="38">
        <f t="shared" si="9"/>
        <v>0</v>
      </c>
      <c r="Y29" s="39">
        <f t="shared" si="10"/>
        <v>0</v>
      </c>
      <c r="Z29" s="14">
        <v>0</v>
      </c>
      <c r="AA29" s="28" t="s">
        <v>621</v>
      </c>
      <c r="AB29" s="40">
        <f t="shared" si="11"/>
        <v>-0.48</v>
      </c>
      <c r="AC29" s="41">
        <v>0.19444444444444445</v>
      </c>
      <c r="AD29" s="39">
        <f t="shared" si="12"/>
        <v>-0.56000000000000005</v>
      </c>
      <c r="AE29" s="39">
        <v>-9.42</v>
      </c>
      <c r="AF29" s="25">
        <v>-11.735587499999999</v>
      </c>
      <c r="AG29" s="39">
        <v>0</v>
      </c>
    </row>
    <row r="30" spans="1:33" ht="15.75" customHeight="1" x14ac:dyDescent="0.2">
      <c r="A30" s="14" t="s">
        <v>74</v>
      </c>
      <c r="B30" s="14" t="s">
        <v>822</v>
      </c>
      <c r="C30" s="15">
        <f t="shared" si="4"/>
        <v>27.99</v>
      </c>
      <c r="D30" s="16">
        <v>5</v>
      </c>
      <c r="E30" s="16">
        <v>0</v>
      </c>
      <c r="F30" s="17">
        <v>139.94999999999999</v>
      </c>
      <c r="G30" s="17">
        <v>0</v>
      </c>
      <c r="H30" s="31">
        <f t="shared" si="1"/>
        <v>0</v>
      </c>
      <c r="I30" s="31">
        <f t="shared" si="2"/>
        <v>0.19479263427414542</v>
      </c>
      <c r="J30" s="32">
        <f t="shared" si="5"/>
        <v>27.261229166666649</v>
      </c>
      <c r="K30" s="32">
        <f t="shared" si="3"/>
        <v>5.4522458333333299</v>
      </c>
      <c r="L30" s="16">
        <v>23</v>
      </c>
      <c r="M30" s="33">
        <f t="shared" si="6"/>
        <v>0.21739130434782608</v>
      </c>
      <c r="N30" s="16">
        <v>332</v>
      </c>
      <c r="O30" s="34">
        <f t="shared" ref="O30:P30" si="38">D30/7</f>
        <v>0.7142857142857143</v>
      </c>
      <c r="P30" s="34">
        <f t="shared" si="38"/>
        <v>0</v>
      </c>
      <c r="Q30" s="29">
        <f t="shared" si="8"/>
        <v>464</v>
      </c>
      <c r="R30" s="29"/>
      <c r="S30" s="21">
        <v>8.608321377331421E-2</v>
      </c>
      <c r="T30" s="28">
        <v>640</v>
      </c>
      <c r="U30" s="36" t="s">
        <v>33</v>
      </c>
      <c r="V30" s="37" t="s">
        <v>33</v>
      </c>
      <c r="W30" s="14">
        <v>0</v>
      </c>
      <c r="X30" s="38">
        <f t="shared" si="9"/>
        <v>0</v>
      </c>
      <c r="Y30" s="39">
        <f t="shared" si="10"/>
        <v>0</v>
      </c>
      <c r="Z30" s="14">
        <v>0</v>
      </c>
      <c r="AA30" s="28" t="s">
        <v>621</v>
      </c>
      <c r="AB30" s="40">
        <f t="shared" si="11"/>
        <v>-0.48</v>
      </c>
      <c r="AC30" s="41">
        <v>0.19444444444444445</v>
      </c>
      <c r="AD30" s="39">
        <f t="shared" si="12"/>
        <v>-0.93333333333333335</v>
      </c>
      <c r="AE30" s="25">
        <v>-9.42</v>
      </c>
      <c r="AF30" s="25">
        <v>-8.7325874999999993</v>
      </c>
      <c r="AG30" s="25">
        <v>0</v>
      </c>
    </row>
    <row r="31" spans="1:33" ht="15.75" customHeight="1" x14ac:dyDescent="0.2">
      <c r="A31" s="14" t="s">
        <v>75</v>
      </c>
      <c r="B31" s="48" t="s">
        <v>843</v>
      </c>
      <c r="C31" s="15">
        <f t="shared" si="4"/>
        <v>27.99</v>
      </c>
      <c r="D31" s="16">
        <v>4</v>
      </c>
      <c r="E31" s="16">
        <v>0</v>
      </c>
      <c r="F31" s="17">
        <v>111.96</v>
      </c>
      <c r="G31" s="42">
        <v>0</v>
      </c>
      <c r="H31" s="31">
        <f t="shared" si="1"/>
        <v>0</v>
      </c>
      <c r="I31" s="31">
        <f t="shared" si="2"/>
        <v>0.19479263427414548</v>
      </c>
      <c r="J31" s="32">
        <f t="shared" si="5"/>
        <v>21.808983333333327</v>
      </c>
      <c r="K31" s="32">
        <f t="shared" si="3"/>
        <v>5.4522458333333317</v>
      </c>
      <c r="L31" s="16">
        <v>17</v>
      </c>
      <c r="M31" s="33">
        <f t="shared" si="6"/>
        <v>0.23529411764705882</v>
      </c>
      <c r="N31" s="16">
        <v>329</v>
      </c>
      <c r="O31" s="34">
        <f t="shared" ref="O31:P32" si="39">D31/7</f>
        <v>0.5714285714285714</v>
      </c>
      <c r="P31" s="34">
        <f t="shared" si="39"/>
        <v>0</v>
      </c>
      <c r="Q31" s="29">
        <f t="shared" si="8"/>
        <v>575</v>
      </c>
      <c r="R31" s="29"/>
      <c r="S31" s="21">
        <v>0.112834978843441</v>
      </c>
      <c r="T31" s="14">
        <v>640</v>
      </c>
      <c r="U31" s="22" t="s">
        <v>33</v>
      </c>
      <c r="V31" s="1" t="s">
        <v>937</v>
      </c>
      <c r="W31" s="14">
        <v>0</v>
      </c>
      <c r="X31" s="38">
        <f t="shared" si="9"/>
        <v>0</v>
      </c>
      <c r="Y31" s="39">
        <f t="shared" si="10"/>
        <v>0</v>
      </c>
      <c r="Z31" s="14">
        <v>0</v>
      </c>
      <c r="AA31" s="14" t="s">
        <v>621</v>
      </c>
      <c r="AB31" s="40">
        <f t="shared" si="11"/>
        <v>-0.48</v>
      </c>
      <c r="AC31" s="27">
        <v>0.19444444444444445</v>
      </c>
      <c r="AD31" s="39">
        <f t="shared" si="12"/>
        <v>-0.7466666666666667</v>
      </c>
      <c r="AE31" s="43">
        <v>-9.42</v>
      </c>
      <c r="AF31" s="43">
        <v>-8.7325875000000011</v>
      </c>
      <c r="AG31" s="25">
        <v>0</v>
      </c>
    </row>
    <row r="32" spans="1:33" s="51" customFormat="1" ht="15.75" customHeight="1" x14ac:dyDescent="0.2">
      <c r="A32" s="51" t="s">
        <v>934</v>
      </c>
      <c r="C32" s="15">
        <f t="shared" si="4"/>
        <v>27.99</v>
      </c>
      <c r="D32" s="52">
        <v>8</v>
      </c>
      <c r="E32" s="52">
        <v>0</v>
      </c>
      <c r="F32" s="53">
        <v>223.92</v>
      </c>
      <c r="G32" s="53">
        <v>-4.3999999999999986</v>
      </c>
      <c r="H32" s="31">
        <f t="shared" si="1"/>
        <v>1.9649874955341189E-2</v>
      </c>
      <c r="I32" s="31">
        <f t="shared" si="2"/>
        <v>0.17514275931880433</v>
      </c>
      <c r="J32" s="32">
        <f t="shared" si="5"/>
        <v>39.217966666666662</v>
      </c>
      <c r="K32" s="32">
        <f t="shared" si="3"/>
        <v>4.9022458333333327</v>
      </c>
      <c r="L32" s="52">
        <v>26</v>
      </c>
      <c r="M32" s="33">
        <f t="shared" si="6"/>
        <v>0.30769230769230771</v>
      </c>
      <c r="N32" s="52">
        <v>330</v>
      </c>
      <c r="O32" s="34">
        <f t="shared" si="39"/>
        <v>1.1428571428571428</v>
      </c>
      <c r="P32" s="34">
        <f t="shared" si="39"/>
        <v>0</v>
      </c>
      <c r="Q32" s="29">
        <f t="shared" si="8"/>
        <v>288</v>
      </c>
      <c r="R32" s="29" t="str">
        <f ca="1">IFERROR(VLOOKUP($B$2,IMPORTRANGE("https://docs.google.com/spreadsheets/d/1KiWZV1ko8G7lnRucBRBd29jj3Be6ltMfljMDqzOkQmI/edit#gid=1381463014","Lookup!A:F"),6,FALSE),"")</f>
        <v/>
      </c>
      <c r="S32" s="54">
        <v>0.15384615384615391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1</v>
      </c>
      <c r="X32" s="38">
        <f t="shared" si="9"/>
        <v>0.125</v>
      </c>
      <c r="Y32" s="39">
        <f t="shared" si="10"/>
        <v>4.3999999999999986</v>
      </c>
      <c r="Z32" s="51">
        <v>0</v>
      </c>
      <c r="AA32" s="51" t="s">
        <v>621</v>
      </c>
      <c r="AB32" s="40">
        <f t="shared" si="11"/>
        <v>-0.48</v>
      </c>
      <c r="AC32" s="57">
        <v>0.19444444444444445</v>
      </c>
      <c r="AD32" s="39">
        <f t="shared" si="12"/>
        <v>-1.4933333333333334</v>
      </c>
      <c r="AE32" s="58">
        <v>-9.42</v>
      </c>
      <c r="AF32" s="58">
        <v>-8.7325874999999993</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28"/>
      <c r="B141" s="28"/>
      <c r="C141" s="46"/>
      <c r="D141" s="46"/>
      <c r="E141" s="46"/>
      <c r="F141" s="46"/>
      <c r="G141" s="46"/>
      <c r="H141" s="46"/>
      <c r="I141" s="46"/>
      <c r="J141" s="46"/>
      <c r="K141" s="46"/>
      <c r="L141" s="46"/>
      <c r="M141" s="46"/>
      <c r="N141" s="46"/>
      <c r="O141" s="46"/>
      <c r="P141" s="46"/>
      <c r="Q141" s="46"/>
      <c r="R141" s="46"/>
      <c r="S141" s="35"/>
      <c r="T141" s="28"/>
      <c r="U141" s="28"/>
      <c r="V141" s="28"/>
      <c r="W141" s="28"/>
      <c r="X141" s="28"/>
      <c r="Y141" s="28"/>
      <c r="Z141" s="28"/>
      <c r="AA141" s="28"/>
      <c r="AB141" s="28"/>
      <c r="AC141" s="28"/>
      <c r="AD141" s="28"/>
      <c r="AE141" s="28"/>
      <c r="AF141" s="28"/>
      <c r="AG141" s="28"/>
    </row>
    <row r="142" spans="1:33" ht="15.75" customHeight="1" x14ac:dyDescent="0.2">
      <c r="A142" s="28"/>
      <c r="B142" s="28"/>
      <c r="C142" s="46"/>
      <c r="D142" s="46"/>
      <c r="E142" s="46"/>
      <c r="F142" s="46"/>
      <c r="G142" s="46"/>
      <c r="H142" s="46"/>
      <c r="I142" s="46"/>
      <c r="J142" s="46"/>
      <c r="K142" s="46"/>
      <c r="L142" s="46"/>
      <c r="M142" s="46"/>
      <c r="N142" s="46"/>
      <c r="O142" s="46"/>
      <c r="P142" s="46"/>
      <c r="Q142" s="46"/>
      <c r="R142" s="46"/>
      <c r="S142" s="35"/>
      <c r="T142" s="28"/>
      <c r="U142" s="28"/>
      <c r="V142" s="28"/>
      <c r="W142" s="28"/>
      <c r="X142" s="28"/>
      <c r="Y142" s="28"/>
      <c r="Z142" s="28"/>
      <c r="AA142" s="28"/>
      <c r="AB142" s="28"/>
      <c r="AC142" s="28"/>
      <c r="AD142" s="28"/>
      <c r="AE142" s="28"/>
      <c r="AF142" s="28"/>
      <c r="AG142" s="28"/>
    </row>
    <row r="143" spans="1:33" ht="15.75" customHeight="1" x14ac:dyDescent="0.2">
      <c r="A143" s="28"/>
      <c r="B143" s="28"/>
      <c r="C143" s="46"/>
      <c r="D143" s="46"/>
      <c r="E143" s="46"/>
      <c r="F143" s="46"/>
      <c r="G143" s="46"/>
      <c r="H143" s="46"/>
      <c r="I143" s="46"/>
      <c r="J143" s="46"/>
      <c r="K143" s="46"/>
      <c r="L143" s="46"/>
      <c r="M143" s="46"/>
      <c r="N143" s="46"/>
      <c r="O143" s="46"/>
      <c r="P143" s="46"/>
      <c r="Q143" s="46"/>
      <c r="R143" s="46"/>
      <c r="S143" s="35"/>
      <c r="T143" s="28"/>
      <c r="U143" s="28"/>
      <c r="V143" s="28"/>
      <c r="W143" s="28"/>
      <c r="X143" s="28"/>
      <c r="Y143" s="28"/>
      <c r="Z143" s="28"/>
      <c r="AA143" s="28"/>
      <c r="AB143" s="28"/>
      <c r="AC143" s="28"/>
      <c r="AD143" s="28"/>
      <c r="AE143" s="28"/>
      <c r="AF143" s="28"/>
      <c r="AG143" s="28"/>
    </row>
    <row r="144" spans="1:33" ht="15.75" customHeight="1" x14ac:dyDescent="0.2">
      <c r="A144" s="28"/>
      <c r="B144" s="28"/>
      <c r="C144" s="46"/>
      <c r="D144" s="46"/>
      <c r="E144" s="46"/>
      <c r="F144" s="46"/>
      <c r="G144" s="46"/>
      <c r="H144" s="46"/>
      <c r="I144" s="46"/>
      <c r="J144" s="46"/>
      <c r="K144" s="46"/>
      <c r="L144" s="46"/>
      <c r="M144" s="46"/>
      <c r="N144" s="46"/>
      <c r="O144" s="46"/>
      <c r="P144" s="46"/>
      <c r="Q144" s="46"/>
      <c r="R144" s="46"/>
      <c r="S144" s="35"/>
      <c r="T144" s="28"/>
      <c r="U144" s="28"/>
      <c r="V144" s="28"/>
      <c r="W144" s="28"/>
      <c r="X144" s="28"/>
      <c r="Y144" s="28"/>
      <c r="Z144" s="28"/>
      <c r="AA144" s="28"/>
      <c r="AB144" s="28"/>
      <c r="AC144" s="28"/>
      <c r="AD144" s="28"/>
      <c r="AE144" s="28"/>
      <c r="AF144" s="28"/>
      <c r="AG144" s="28"/>
    </row>
    <row r="145" spans="1:33" ht="15.75" customHeight="1" x14ac:dyDescent="0.2">
      <c r="A145" s="28"/>
      <c r="B145" s="28"/>
      <c r="C145" s="46"/>
      <c r="D145" s="46"/>
      <c r="E145" s="46"/>
      <c r="F145" s="46"/>
      <c r="G145" s="46"/>
      <c r="H145" s="46"/>
      <c r="I145" s="46"/>
      <c r="J145" s="46"/>
      <c r="K145" s="46"/>
      <c r="L145" s="46"/>
      <c r="M145" s="46"/>
      <c r="N145" s="46"/>
      <c r="O145" s="46"/>
      <c r="P145" s="46"/>
      <c r="Q145" s="46"/>
      <c r="R145" s="46"/>
      <c r="S145" s="35"/>
      <c r="T145" s="28"/>
      <c r="U145" s="28"/>
      <c r="V145" s="28"/>
      <c r="W145" s="28"/>
      <c r="X145" s="28"/>
      <c r="Y145" s="28"/>
      <c r="Z145" s="28"/>
      <c r="AA145" s="28"/>
      <c r="AB145" s="28"/>
      <c r="AC145" s="28"/>
      <c r="AD145" s="28"/>
      <c r="AE145" s="28"/>
      <c r="AF145" s="28"/>
      <c r="AG145" s="28"/>
    </row>
    <row r="146" spans="1:33" ht="15.75" customHeight="1" x14ac:dyDescent="0.2">
      <c r="A146" s="28"/>
      <c r="B146" s="28"/>
      <c r="C146" s="46"/>
      <c r="D146" s="46"/>
      <c r="E146" s="46"/>
      <c r="F146" s="46"/>
      <c r="G146" s="46"/>
      <c r="H146" s="46"/>
      <c r="I146" s="46"/>
      <c r="J146" s="46"/>
      <c r="K146" s="46"/>
      <c r="L146" s="46"/>
      <c r="M146" s="46"/>
      <c r="N146" s="46"/>
      <c r="O146" s="46"/>
      <c r="P146" s="46"/>
      <c r="Q146" s="46"/>
      <c r="R146" s="46"/>
      <c r="S146" s="35"/>
      <c r="T146" s="28"/>
      <c r="U146" s="28"/>
      <c r="V146" s="28"/>
      <c r="W146" s="28"/>
      <c r="X146" s="28"/>
      <c r="Y146" s="28"/>
      <c r="Z146" s="28"/>
      <c r="AA146" s="28"/>
      <c r="AB146" s="28"/>
      <c r="AC146" s="28"/>
      <c r="AD146" s="28"/>
      <c r="AE146" s="28"/>
      <c r="AF146" s="28"/>
      <c r="AG146" s="28"/>
    </row>
    <row r="147" spans="1:33" ht="15.75" customHeight="1" x14ac:dyDescent="0.2">
      <c r="A147" s="28"/>
      <c r="B147" s="28"/>
      <c r="C147" s="46"/>
      <c r="D147" s="46"/>
      <c r="E147" s="46"/>
      <c r="F147" s="46"/>
      <c r="G147" s="46"/>
      <c r="H147" s="46"/>
      <c r="I147" s="46"/>
      <c r="J147" s="46"/>
      <c r="K147" s="46"/>
      <c r="L147" s="46"/>
      <c r="M147" s="46"/>
      <c r="N147" s="46"/>
      <c r="O147" s="46"/>
      <c r="P147" s="46"/>
      <c r="Q147" s="46"/>
      <c r="R147" s="46"/>
      <c r="S147" s="35"/>
      <c r="T147" s="28"/>
      <c r="U147" s="28"/>
      <c r="V147" s="28"/>
      <c r="W147" s="28"/>
      <c r="X147" s="28"/>
      <c r="Y147" s="28"/>
      <c r="Z147" s="28"/>
      <c r="AA147" s="28"/>
      <c r="AB147" s="28"/>
      <c r="AC147" s="28"/>
      <c r="AD147" s="28"/>
      <c r="AE147" s="28"/>
      <c r="AF147" s="28"/>
      <c r="AG147" s="28"/>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3:19" ht="15.75" customHeight="1" x14ac:dyDescent="0.2">
      <c r="C193" s="45"/>
      <c r="D193" s="45"/>
      <c r="E193" s="45"/>
      <c r="F193" s="45"/>
      <c r="G193" s="45"/>
      <c r="H193" s="45"/>
      <c r="I193" s="45"/>
      <c r="J193" s="45"/>
      <c r="K193" s="45"/>
      <c r="L193" s="45"/>
      <c r="M193" s="45"/>
      <c r="N193" s="45"/>
      <c r="O193" s="45"/>
      <c r="P193" s="45"/>
      <c r="Q193" s="45"/>
      <c r="R193" s="45"/>
      <c r="S193" s="21"/>
    </row>
    <row r="194" spans="3:19" ht="15.75" customHeight="1" x14ac:dyDescent="0.2">
      <c r="C194" s="45"/>
      <c r="D194" s="45"/>
      <c r="E194" s="45"/>
      <c r="F194" s="45"/>
      <c r="G194" s="45"/>
      <c r="H194" s="45"/>
      <c r="I194" s="45"/>
      <c r="J194" s="45"/>
      <c r="K194" s="45"/>
      <c r="L194" s="45"/>
      <c r="M194" s="45"/>
      <c r="N194" s="45"/>
      <c r="O194" s="45"/>
      <c r="P194" s="45"/>
      <c r="Q194" s="45"/>
      <c r="R194" s="45"/>
      <c r="S194" s="21"/>
    </row>
    <row r="195" spans="3:19" ht="15.75" customHeight="1" x14ac:dyDescent="0.2">
      <c r="C195" s="45"/>
      <c r="D195" s="45"/>
      <c r="E195" s="45"/>
      <c r="F195" s="45"/>
      <c r="G195" s="45"/>
      <c r="H195" s="45"/>
      <c r="I195" s="45"/>
      <c r="J195" s="45"/>
      <c r="K195" s="45"/>
      <c r="L195" s="45"/>
      <c r="M195" s="45"/>
      <c r="N195" s="45"/>
      <c r="O195" s="45"/>
      <c r="P195" s="45"/>
      <c r="Q195" s="45"/>
      <c r="R195" s="45"/>
      <c r="S195" s="21"/>
    </row>
    <row r="196" spans="3:19" ht="15.75" customHeight="1" x14ac:dyDescent="0.2">
      <c r="C196" s="45"/>
      <c r="D196" s="45"/>
      <c r="E196" s="45"/>
      <c r="F196" s="45"/>
      <c r="G196" s="45"/>
      <c r="H196" s="45"/>
      <c r="I196" s="45"/>
      <c r="J196" s="45"/>
      <c r="K196" s="45"/>
      <c r="L196" s="45"/>
      <c r="M196" s="45"/>
      <c r="N196" s="45"/>
      <c r="O196" s="45"/>
      <c r="P196" s="45"/>
      <c r="Q196" s="45"/>
      <c r="R196" s="45"/>
      <c r="S196" s="21"/>
    </row>
    <row r="197" spans="3:19" ht="15.75" customHeight="1" x14ac:dyDescent="0.2">
      <c r="C197" s="45"/>
      <c r="D197" s="45"/>
      <c r="E197" s="45"/>
      <c r="F197" s="45"/>
      <c r="G197" s="45"/>
      <c r="H197" s="45"/>
      <c r="I197" s="45"/>
      <c r="J197" s="45"/>
      <c r="K197" s="45"/>
      <c r="L197" s="45"/>
      <c r="M197" s="45"/>
      <c r="N197" s="45"/>
      <c r="O197" s="45"/>
      <c r="P197" s="45"/>
      <c r="Q197" s="45"/>
      <c r="R197" s="45"/>
      <c r="S197" s="21"/>
    </row>
    <row r="198" spans="3:19" ht="15.75" customHeight="1" x14ac:dyDescent="0.2">
      <c r="C198" s="45"/>
      <c r="D198" s="45"/>
      <c r="E198" s="45"/>
      <c r="F198" s="45"/>
      <c r="G198" s="45"/>
      <c r="H198" s="45"/>
      <c r="I198" s="45"/>
      <c r="J198" s="45"/>
      <c r="K198" s="45"/>
      <c r="L198" s="45"/>
      <c r="M198" s="45"/>
      <c r="N198" s="45"/>
      <c r="O198" s="45"/>
      <c r="P198" s="45"/>
      <c r="Q198" s="45"/>
      <c r="R198" s="45"/>
      <c r="S198" s="21"/>
    </row>
    <row r="199" spans="3:19" ht="15.75" customHeight="1" x14ac:dyDescent="0.2">
      <c r="C199" s="45"/>
      <c r="D199" s="45"/>
      <c r="E199" s="45"/>
      <c r="F199" s="45"/>
      <c r="G199" s="45"/>
      <c r="H199" s="45"/>
      <c r="I199" s="45"/>
      <c r="J199" s="45"/>
      <c r="K199" s="45"/>
      <c r="L199" s="45"/>
      <c r="M199" s="45"/>
      <c r="N199" s="45"/>
      <c r="O199" s="45"/>
      <c r="P199" s="45"/>
      <c r="Q199" s="45"/>
      <c r="R199" s="45"/>
      <c r="S199" s="21"/>
    </row>
    <row r="200" spans="3:19" ht="15.75" customHeight="1" x14ac:dyDescent="0.2">
      <c r="C200" s="45"/>
      <c r="D200" s="45"/>
      <c r="E200" s="45"/>
      <c r="F200" s="45"/>
      <c r="G200" s="45"/>
      <c r="H200" s="45"/>
      <c r="I200" s="45"/>
      <c r="J200" s="45"/>
      <c r="K200" s="45"/>
      <c r="L200" s="45"/>
      <c r="M200" s="45"/>
      <c r="N200" s="45"/>
      <c r="O200" s="45"/>
      <c r="P200" s="45"/>
      <c r="Q200" s="45"/>
      <c r="R200" s="45"/>
      <c r="S200" s="21"/>
    </row>
    <row r="201" spans="3:19" ht="15.75" customHeight="1" x14ac:dyDescent="0.2">
      <c r="C201" s="45"/>
      <c r="D201" s="45"/>
      <c r="E201" s="45"/>
      <c r="F201" s="45"/>
      <c r="G201" s="45"/>
      <c r="H201" s="45"/>
      <c r="I201" s="45"/>
      <c r="J201" s="45"/>
      <c r="K201" s="45"/>
      <c r="L201" s="45"/>
      <c r="M201" s="45"/>
      <c r="N201" s="45"/>
      <c r="O201" s="45"/>
      <c r="P201" s="45"/>
      <c r="Q201" s="45"/>
      <c r="R201" s="45"/>
      <c r="S201" s="21"/>
    </row>
    <row r="202" spans="3:19" ht="15.75" customHeight="1" x14ac:dyDescent="0.2">
      <c r="C202" s="45"/>
      <c r="D202" s="45"/>
      <c r="E202" s="45"/>
      <c r="F202" s="45"/>
      <c r="G202" s="45"/>
      <c r="H202" s="45"/>
      <c r="I202" s="45"/>
      <c r="J202" s="45"/>
      <c r="K202" s="45"/>
      <c r="L202" s="45"/>
      <c r="M202" s="45"/>
      <c r="N202" s="45"/>
      <c r="O202" s="45"/>
      <c r="P202" s="45"/>
      <c r="Q202" s="45"/>
      <c r="R202" s="45"/>
      <c r="S202" s="21"/>
    </row>
    <row r="203" spans="3:19" ht="15.75" customHeight="1" x14ac:dyDescent="0.2">
      <c r="C203" s="45"/>
      <c r="D203" s="45"/>
      <c r="E203" s="45"/>
      <c r="F203" s="45"/>
      <c r="G203" s="45"/>
      <c r="H203" s="45"/>
      <c r="I203" s="45"/>
      <c r="J203" s="45"/>
      <c r="K203" s="45"/>
      <c r="L203" s="45"/>
      <c r="M203" s="45"/>
      <c r="N203" s="45"/>
      <c r="O203" s="45"/>
      <c r="P203" s="45"/>
      <c r="Q203" s="45"/>
      <c r="R203" s="45"/>
      <c r="S203" s="21"/>
    </row>
    <row r="204" spans="3:19" ht="15.75" customHeight="1" x14ac:dyDescent="0.2">
      <c r="C204" s="45"/>
      <c r="D204" s="45"/>
      <c r="E204" s="45"/>
      <c r="F204" s="45"/>
      <c r="G204" s="45"/>
      <c r="H204" s="45"/>
      <c r="I204" s="45"/>
      <c r="J204" s="45"/>
      <c r="K204" s="45"/>
      <c r="L204" s="45"/>
      <c r="M204" s="45"/>
      <c r="N204" s="45"/>
      <c r="O204" s="45"/>
      <c r="P204" s="45"/>
      <c r="Q204" s="45"/>
      <c r="R204" s="45"/>
      <c r="S204" s="21"/>
    </row>
    <row r="205" spans="3:19" ht="15.75" customHeight="1" x14ac:dyDescent="0.2">
      <c r="C205" s="45"/>
      <c r="D205" s="45"/>
      <c r="E205" s="45"/>
      <c r="F205" s="45"/>
      <c r="G205" s="45"/>
      <c r="H205" s="45"/>
      <c r="I205" s="45"/>
      <c r="J205" s="45"/>
      <c r="K205" s="45"/>
      <c r="L205" s="45"/>
      <c r="M205" s="45"/>
      <c r="N205" s="45"/>
      <c r="O205" s="45"/>
      <c r="P205" s="45"/>
      <c r="Q205" s="45"/>
      <c r="R205" s="45"/>
      <c r="S205" s="21"/>
    </row>
    <row r="206" spans="3:19" ht="15.75" customHeight="1" x14ac:dyDescent="0.2">
      <c r="C206" s="45"/>
      <c r="D206" s="45"/>
      <c r="E206" s="45"/>
      <c r="F206" s="45"/>
      <c r="G206" s="45"/>
      <c r="H206" s="45"/>
      <c r="I206" s="45"/>
      <c r="J206" s="45"/>
      <c r="K206" s="45"/>
      <c r="L206" s="45"/>
      <c r="M206" s="45"/>
      <c r="N206" s="45"/>
      <c r="O206" s="45"/>
      <c r="P206" s="45"/>
      <c r="Q206" s="45"/>
      <c r="R206" s="45"/>
      <c r="S206" s="21"/>
    </row>
    <row r="207" spans="3:19" ht="15.75" customHeight="1" x14ac:dyDescent="0.2">
      <c r="C207" s="45"/>
      <c r="D207" s="45"/>
      <c r="E207" s="45"/>
      <c r="F207" s="45"/>
      <c r="G207" s="45"/>
      <c r="H207" s="45"/>
      <c r="I207" s="45"/>
      <c r="J207" s="45"/>
      <c r="K207" s="45"/>
      <c r="L207" s="45"/>
      <c r="M207" s="45"/>
      <c r="N207" s="45"/>
      <c r="O207" s="45"/>
      <c r="P207" s="45"/>
      <c r="Q207" s="45"/>
      <c r="R207" s="45"/>
      <c r="S207" s="21"/>
    </row>
    <row r="208" spans="3:19" ht="15.75" customHeight="1" x14ac:dyDescent="0.2">
      <c r="C208" s="45"/>
      <c r="D208" s="45"/>
      <c r="E208" s="45"/>
      <c r="F208" s="45"/>
      <c r="G208" s="45"/>
      <c r="H208" s="45"/>
      <c r="I208" s="45"/>
      <c r="J208" s="45"/>
      <c r="K208" s="45"/>
      <c r="L208" s="45"/>
      <c r="M208" s="45"/>
      <c r="N208" s="45"/>
      <c r="O208" s="45"/>
      <c r="P208" s="45"/>
      <c r="Q208" s="45"/>
      <c r="R208" s="45"/>
      <c r="S208" s="21"/>
    </row>
    <row r="209" spans="3:19" ht="15.75" customHeight="1" x14ac:dyDescent="0.2">
      <c r="C209" s="45"/>
      <c r="D209" s="45"/>
      <c r="E209" s="45"/>
      <c r="F209" s="45"/>
      <c r="G209" s="45"/>
      <c r="H209" s="45"/>
      <c r="I209" s="45"/>
      <c r="J209" s="45"/>
      <c r="K209" s="45"/>
      <c r="L209" s="45"/>
      <c r="M209" s="45"/>
      <c r="N209" s="45"/>
      <c r="O209" s="45"/>
      <c r="P209" s="45"/>
      <c r="Q209" s="45"/>
      <c r="R209" s="45"/>
      <c r="S209" s="21"/>
    </row>
    <row r="210" spans="3:19" ht="15.75" customHeight="1" x14ac:dyDescent="0.2">
      <c r="C210" s="45"/>
      <c r="D210" s="45"/>
      <c r="E210" s="45"/>
      <c r="F210" s="45"/>
      <c r="G210" s="45"/>
      <c r="H210" s="45"/>
      <c r="I210" s="45"/>
      <c r="J210" s="45"/>
      <c r="K210" s="45"/>
      <c r="L210" s="45"/>
      <c r="M210" s="45"/>
      <c r="N210" s="45"/>
      <c r="O210" s="45"/>
      <c r="P210" s="45"/>
      <c r="Q210" s="45"/>
      <c r="R210" s="45"/>
      <c r="S210" s="21"/>
    </row>
    <row r="211" spans="3:19" ht="15.75" customHeight="1" x14ac:dyDescent="0.2">
      <c r="C211" s="45"/>
      <c r="D211" s="45"/>
      <c r="E211" s="45"/>
      <c r="F211" s="45"/>
      <c r="G211" s="45"/>
      <c r="H211" s="45"/>
      <c r="I211" s="45"/>
      <c r="J211" s="45"/>
      <c r="K211" s="45"/>
      <c r="L211" s="45"/>
      <c r="M211" s="45"/>
      <c r="N211" s="45"/>
      <c r="O211" s="45"/>
      <c r="P211" s="45"/>
      <c r="Q211" s="45"/>
      <c r="R211" s="45"/>
      <c r="S211" s="21"/>
    </row>
    <row r="212" spans="3:19" ht="15.75" customHeight="1" x14ac:dyDescent="0.2">
      <c r="C212" s="45"/>
      <c r="D212" s="45"/>
      <c r="E212" s="45"/>
      <c r="F212" s="45"/>
      <c r="G212" s="45"/>
      <c r="H212" s="45"/>
      <c r="I212" s="45"/>
      <c r="J212" s="45"/>
      <c r="K212" s="45"/>
      <c r="L212" s="45"/>
      <c r="M212" s="45"/>
      <c r="N212" s="45"/>
      <c r="O212" s="45"/>
      <c r="P212" s="45"/>
      <c r="Q212" s="45"/>
      <c r="R212" s="45"/>
      <c r="S212" s="21"/>
    </row>
    <row r="213" spans="3:19" ht="15.75" customHeight="1" x14ac:dyDescent="0.2">
      <c r="C213" s="45"/>
      <c r="D213" s="45"/>
      <c r="E213" s="45"/>
      <c r="F213" s="45"/>
      <c r="G213" s="45"/>
      <c r="H213" s="45"/>
      <c r="I213" s="45"/>
      <c r="J213" s="45"/>
      <c r="K213" s="45"/>
      <c r="L213" s="45"/>
      <c r="M213" s="45"/>
      <c r="N213" s="45"/>
      <c r="O213" s="45"/>
      <c r="P213" s="45"/>
      <c r="Q213" s="45"/>
      <c r="R213" s="45"/>
      <c r="S213" s="21"/>
    </row>
    <row r="214" spans="3:19" ht="15.75" customHeight="1" x14ac:dyDescent="0.2">
      <c r="C214" s="45"/>
      <c r="D214" s="45"/>
      <c r="E214" s="45"/>
      <c r="F214" s="45"/>
      <c r="G214" s="45"/>
      <c r="H214" s="45"/>
      <c r="I214" s="45"/>
      <c r="J214" s="45"/>
      <c r="K214" s="45"/>
      <c r="L214" s="45"/>
      <c r="M214" s="45"/>
      <c r="N214" s="45"/>
      <c r="O214" s="45"/>
      <c r="P214" s="45"/>
      <c r="Q214" s="45"/>
      <c r="R214" s="45"/>
      <c r="S214" s="21"/>
    </row>
    <row r="215" spans="3:19" ht="15.75" customHeight="1" x14ac:dyDescent="0.2">
      <c r="C215" s="45"/>
      <c r="D215" s="45"/>
      <c r="E215" s="45"/>
      <c r="F215" s="45"/>
      <c r="G215" s="45"/>
      <c r="H215" s="45"/>
      <c r="I215" s="45"/>
      <c r="J215" s="45"/>
      <c r="K215" s="45"/>
      <c r="L215" s="45"/>
      <c r="M215" s="45"/>
      <c r="N215" s="45"/>
      <c r="O215" s="45"/>
      <c r="P215" s="45"/>
      <c r="Q215" s="45"/>
      <c r="R215" s="45"/>
      <c r="S215" s="21"/>
    </row>
    <row r="216" spans="3:19" ht="15.75" customHeight="1" x14ac:dyDescent="0.2">
      <c r="C216" s="45"/>
      <c r="D216" s="45"/>
      <c r="E216" s="45"/>
      <c r="F216" s="45"/>
      <c r="G216" s="45"/>
      <c r="H216" s="45"/>
      <c r="I216" s="45"/>
      <c r="J216" s="45"/>
      <c r="K216" s="45"/>
      <c r="L216" s="45"/>
      <c r="M216" s="45"/>
      <c r="N216" s="45"/>
      <c r="O216" s="45"/>
      <c r="P216" s="45"/>
      <c r="Q216" s="45"/>
      <c r="R216" s="45"/>
      <c r="S216" s="21"/>
    </row>
    <row r="217" spans="3:19" ht="15.75" customHeight="1" x14ac:dyDescent="0.2">
      <c r="C217" s="45"/>
      <c r="D217" s="45"/>
      <c r="E217" s="45"/>
      <c r="F217" s="45"/>
      <c r="G217" s="45"/>
      <c r="H217" s="45"/>
      <c r="I217" s="45"/>
      <c r="J217" s="45"/>
      <c r="K217" s="45"/>
      <c r="L217" s="45"/>
      <c r="M217" s="45"/>
      <c r="N217" s="45"/>
      <c r="O217" s="45"/>
      <c r="P217" s="45"/>
      <c r="Q217" s="45"/>
      <c r="R217" s="45"/>
      <c r="S217" s="21"/>
    </row>
    <row r="218" spans="3:19" ht="15.75" customHeight="1" x14ac:dyDescent="0.2">
      <c r="C218" s="45"/>
      <c r="D218" s="45"/>
      <c r="E218" s="45"/>
      <c r="F218" s="45"/>
      <c r="G218" s="45"/>
      <c r="H218" s="45"/>
      <c r="I218" s="45"/>
      <c r="J218" s="45"/>
      <c r="K218" s="45"/>
      <c r="L218" s="45"/>
      <c r="M218" s="45"/>
      <c r="N218" s="45"/>
      <c r="O218" s="45"/>
      <c r="P218" s="45"/>
      <c r="Q218" s="45"/>
      <c r="R218" s="45"/>
      <c r="S218" s="21"/>
    </row>
    <row r="219" spans="3:19" ht="15.75" customHeight="1" x14ac:dyDescent="0.2">
      <c r="C219" s="45"/>
      <c r="D219" s="45"/>
      <c r="E219" s="45"/>
      <c r="F219" s="45"/>
      <c r="G219" s="45"/>
      <c r="H219" s="45"/>
      <c r="I219" s="45"/>
      <c r="J219" s="45"/>
      <c r="K219" s="45"/>
      <c r="L219" s="45"/>
      <c r="M219" s="45"/>
      <c r="N219" s="45"/>
      <c r="O219" s="45"/>
      <c r="P219" s="45"/>
      <c r="Q219" s="45"/>
      <c r="R219" s="45"/>
      <c r="S219" s="21"/>
    </row>
    <row r="220" spans="3:19" ht="15.75" customHeight="1" x14ac:dyDescent="0.2">
      <c r="C220" s="45"/>
      <c r="D220" s="45"/>
      <c r="E220" s="45"/>
      <c r="F220" s="45"/>
      <c r="G220" s="45"/>
      <c r="H220" s="45"/>
      <c r="I220" s="45"/>
      <c r="J220" s="45"/>
      <c r="K220" s="45"/>
      <c r="L220" s="45"/>
      <c r="M220" s="45"/>
      <c r="N220" s="45"/>
      <c r="O220" s="45"/>
      <c r="P220" s="45"/>
      <c r="Q220" s="45"/>
      <c r="R220" s="45"/>
      <c r="S220" s="21"/>
    </row>
    <row r="221" spans="3:19" ht="15.75" customHeight="1" x14ac:dyDescent="0.2">
      <c r="S221" s="21"/>
    </row>
    <row r="222" spans="3:19" ht="15.75" customHeight="1" x14ac:dyDescent="0.2">
      <c r="S222" s="21"/>
    </row>
    <row r="223" spans="3:19" ht="15.75" customHeight="1" x14ac:dyDescent="0.2">
      <c r="S223" s="21"/>
    </row>
    <row r="224" spans="3:19"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Ft Power Cord for TV Computer or Monitor - 18/3 Replacement Power Cable, Black")</f>
        <v>3 Ft Power Cord for TV Computer or Monitor - 18/3 Replacement Power Cable,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Info!B1:BJ5000""),2,FALSE),"""")"),"B08NM1ZNFC")</f>
        <v>B08NM1ZNFC</v>
      </c>
      <c r="B2" s="3" t="s">
        <v>844</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5.0083984695698529</v>
      </c>
      <c r="D3" s="5">
        <f>SUM(D4:D99765)</f>
        <v>51</v>
      </c>
      <c r="E3" s="5"/>
      <c r="F3" s="6">
        <f t="shared" ref="F3:G3" si="0">SUM(F4:F99765)</f>
        <v>341.65</v>
      </c>
      <c r="G3" s="6">
        <f t="shared" si="0"/>
        <v>-281.67</v>
      </c>
      <c r="H3" s="7">
        <f>G3/F3*-1</f>
        <v>0.82444021659593159</v>
      </c>
      <c r="I3" s="8">
        <f>J3/F3</f>
        <v>-0.61362031991513333</v>
      </c>
      <c r="J3" s="6">
        <f>SUM(J4:J99765)</f>
        <v>-209.64338229900528</v>
      </c>
      <c r="K3" s="6">
        <f>J3/D3</f>
        <v>-4.1106545548824567</v>
      </c>
      <c r="L3" s="5"/>
      <c r="M3" s="9"/>
      <c r="N3" s="10"/>
      <c r="O3" s="5" t="str">
        <f ca="1">IFERROR(__xludf.DUMMYFUNCTION("VLOOKUP(B2,IMPORTRANGE(""https://docs.google.com/spreadsheets/d/1N8jvpEHDVkurDv7NrPxwI3eH6hQsvtb1QltGNCalRjU/edit#gid=865736387"",""Compiled Sheet!a1:g5000""),2,FALSE)")," - March
 - April
 - May
 - June
 - July
 - Aug
 - Sept
 - Oct
 - Nov
 - Dec
 - Jan
 - Feb")</f>
        <v xml:space="preserve"> - March
 - April
 - May
 - June
 - July
 - Aug
 - Sept
 - Oct
 - Nov
 - Dec
 - Jan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37</v>
      </c>
      <c r="X3" s="7">
        <f>W3/D3</f>
        <v>0.72549019607843135</v>
      </c>
      <c r="Y3" s="6"/>
      <c r="Z3" s="5"/>
      <c r="AA3" s="5"/>
      <c r="AB3" s="5"/>
      <c r="AC3" s="5"/>
      <c r="AD3" s="6">
        <f>SUM(AD4:AD99765)</f>
        <v>-2.2378898033333336</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Info!B2:BZ7000""),37,FALSE)),"""")*-1"),-0.787138699134375)</f>
        <v>-0.78713869913437495</v>
      </c>
      <c r="AG3" s="6">
        <f>SUM(AG4:AG99765)</f>
        <v>-4</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845</v>
      </c>
      <c r="C21" s="15">
        <f t="shared" ref="C21:C32" si="1">IFERROR(F21/D21," - ")</f>
        <v>6.99</v>
      </c>
      <c r="D21" s="29">
        <v>10</v>
      </c>
      <c r="E21" s="29">
        <v>0</v>
      </c>
      <c r="F21" s="32">
        <v>69.900000000000006</v>
      </c>
      <c r="G21" s="30">
        <v>-64.69</v>
      </c>
      <c r="H21" s="31">
        <f t="shared" ref="H21:H32" si="2">G21/F21*-1</f>
        <v>0.92546494992846917</v>
      </c>
      <c r="I21" s="31">
        <f t="shared" ref="I21:I32" si="3">J21/F21</f>
        <v>-0.66907978429502457</v>
      </c>
      <c r="J21" s="32">
        <f t="shared" ref="J21:J32" si="4">F21*0.85+G21+AF21*D21+D21*AE21+AG21+AD21</f>
        <v>-46.76867692222222</v>
      </c>
      <c r="K21" s="32">
        <f t="shared" ref="K21:K32" si="5">J21/D21</f>
        <v>-4.6768676922222223</v>
      </c>
      <c r="L21" s="29">
        <v>4</v>
      </c>
      <c r="M21" s="33">
        <f t="shared" ref="M21:M32" si="6">IFERROR(D21/L21,"-")</f>
        <v>2.5</v>
      </c>
      <c r="N21" s="29">
        <v>193</v>
      </c>
      <c r="O21" s="34">
        <f t="shared" ref="O21:P21" si="7">D21/7</f>
        <v>1.4285714285714286</v>
      </c>
      <c r="P21" s="34">
        <f t="shared" si="7"/>
        <v>0</v>
      </c>
      <c r="Q21" s="29">
        <f t="shared" ref="Q21:Q32" si="8">ROUNDDOWN(N21/(O21+P21),0)</f>
        <v>135</v>
      </c>
      <c r="R21" s="29"/>
      <c r="S21" s="35">
        <v>6.0913705583756299E-2</v>
      </c>
      <c r="T21" s="28">
        <v>200</v>
      </c>
      <c r="U21" s="36" t="s">
        <v>33</v>
      </c>
      <c r="V21" s="37" t="s">
        <v>33</v>
      </c>
      <c r="W21" s="28">
        <v>9</v>
      </c>
      <c r="X21" s="38">
        <f t="shared" ref="X21:X32" si="9">IFERROR(W21/D21,0)</f>
        <v>0.9</v>
      </c>
      <c r="Y21" s="39">
        <f t="shared" ref="Y21:Y32" si="10">IFERROR(G21/(W21+Z21)*-1,0)</f>
        <v>6.4689999999999994</v>
      </c>
      <c r="Z21" s="28">
        <v>1</v>
      </c>
      <c r="AA21" s="28" t="s">
        <v>34</v>
      </c>
      <c r="AB21" s="40">
        <f t="shared" ref="AB21:AB32" si="11">IF(OR(AA21="UsLargeStandardSize",AA21="UsSmallStandardSize"),-0.69,-0.48)</f>
        <v>-0.69</v>
      </c>
      <c r="AC21" s="41">
        <v>3.1797240740740744E-2</v>
      </c>
      <c r="AD21" s="39">
        <f t="shared" ref="AD21:AD32" si="12">IFERROR(AB21*AC21*D21*2,0)</f>
        <v>-0.43880192222222225</v>
      </c>
      <c r="AE21" s="39">
        <v>-3.31</v>
      </c>
      <c r="AF21" s="39">
        <v>-0.79548750000000013</v>
      </c>
      <c r="AG21" s="39">
        <v>0</v>
      </c>
    </row>
    <row r="22" spans="1:33" ht="15.75" customHeight="1" x14ac:dyDescent="0.2">
      <c r="A22" s="28" t="s">
        <v>60</v>
      </c>
      <c r="B22" s="28" t="s">
        <v>846</v>
      </c>
      <c r="C22" s="15">
        <f t="shared" si="1"/>
        <v>6.99</v>
      </c>
      <c r="D22" s="29">
        <v>4</v>
      </c>
      <c r="E22" s="29">
        <v>0</v>
      </c>
      <c r="F22" s="30">
        <v>27.96</v>
      </c>
      <c r="G22" s="30">
        <v>-17.16</v>
      </c>
      <c r="H22" s="31">
        <f t="shared" si="2"/>
        <v>0.61373390557939911</v>
      </c>
      <c r="I22" s="31">
        <f t="shared" si="3"/>
        <v>-0.35734873994595451</v>
      </c>
      <c r="J22" s="32">
        <f t="shared" si="4"/>
        <v>-9.9914707688888882</v>
      </c>
      <c r="K22" s="32">
        <f t="shared" si="5"/>
        <v>-2.497867692222222</v>
      </c>
      <c r="L22" s="29">
        <v>9</v>
      </c>
      <c r="M22" s="33">
        <f t="shared" si="6"/>
        <v>0.44444444444444442</v>
      </c>
      <c r="N22" s="29">
        <v>185</v>
      </c>
      <c r="O22" s="34">
        <f t="shared" ref="O22:P22" si="13">D22/7</f>
        <v>0.5714285714285714</v>
      </c>
      <c r="P22" s="34">
        <f t="shared" si="13"/>
        <v>0</v>
      </c>
      <c r="Q22" s="29">
        <f t="shared" si="8"/>
        <v>323</v>
      </c>
      <c r="R22" s="29"/>
      <c r="S22" s="35">
        <v>0.25806451612903197</v>
      </c>
      <c r="T22" s="28">
        <v>200</v>
      </c>
      <c r="U22" s="36" t="s">
        <v>33</v>
      </c>
      <c r="V22" s="37" t="s">
        <v>33</v>
      </c>
      <c r="W22" s="28">
        <v>3</v>
      </c>
      <c r="X22" s="38">
        <f t="shared" si="9"/>
        <v>0.75</v>
      </c>
      <c r="Y22" s="39">
        <f t="shared" si="10"/>
        <v>5.72</v>
      </c>
      <c r="Z22" s="28">
        <v>0</v>
      </c>
      <c r="AA22" s="28" t="s">
        <v>34</v>
      </c>
      <c r="AB22" s="40">
        <f t="shared" si="11"/>
        <v>-0.69</v>
      </c>
      <c r="AC22" s="41">
        <v>3.1797240740740744E-2</v>
      </c>
      <c r="AD22" s="39">
        <f t="shared" si="12"/>
        <v>-0.1755207688888889</v>
      </c>
      <c r="AE22" s="39">
        <v>-3.31</v>
      </c>
      <c r="AF22" s="39">
        <v>-0.79548750000000013</v>
      </c>
      <c r="AG22" s="39">
        <v>0</v>
      </c>
    </row>
    <row r="23" spans="1:33" ht="15.75" customHeight="1" x14ac:dyDescent="0.2">
      <c r="A23" s="28" t="s">
        <v>62</v>
      </c>
      <c r="B23" s="28" t="s">
        <v>847</v>
      </c>
      <c r="C23" s="15">
        <f t="shared" si="1"/>
        <v>6.4333333333333336</v>
      </c>
      <c r="D23" s="29">
        <v>3</v>
      </c>
      <c r="E23" s="29">
        <v>0</v>
      </c>
      <c r="F23" s="32">
        <v>19.3</v>
      </c>
      <c r="G23" s="30">
        <v>-16.189999999999998</v>
      </c>
      <c r="H23" s="31">
        <f t="shared" si="2"/>
        <v>0.83886010362694285</v>
      </c>
      <c r="I23" s="31">
        <f t="shared" si="3"/>
        <v>-0.63383953765112244</v>
      </c>
      <c r="J23" s="32">
        <f t="shared" si="4"/>
        <v>-12.233103076666664</v>
      </c>
      <c r="K23" s="32">
        <f t="shared" si="5"/>
        <v>-4.0777010255555544</v>
      </c>
      <c r="L23" s="29">
        <v>5</v>
      </c>
      <c r="M23" s="33">
        <f t="shared" si="6"/>
        <v>0.6</v>
      </c>
      <c r="N23" s="29">
        <v>180</v>
      </c>
      <c r="O23" s="34">
        <f t="shared" ref="O23:P23" si="14">D23/7</f>
        <v>0.42857142857142855</v>
      </c>
      <c r="P23" s="34">
        <f t="shared" si="14"/>
        <v>0</v>
      </c>
      <c r="Q23" s="29">
        <f t="shared" si="8"/>
        <v>420</v>
      </c>
      <c r="R23" s="29"/>
      <c r="S23" s="35">
        <v>0.35294117647058798</v>
      </c>
      <c r="T23" s="28">
        <v>200</v>
      </c>
      <c r="U23" s="36" t="s">
        <v>33</v>
      </c>
      <c r="V23" s="37" t="s">
        <v>33</v>
      </c>
      <c r="W23" s="28">
        <v>2</v>
      </c>
      <c r="X23" s="38">
        <f t="shared" si="9"/>
        <v>0.66666666666666663</v>
      </c>
      <c r="Y23" s="39">
        <f t="shared" si="10"/>
        <v>5.3966666666666656</v>
      </c>
      <c r="Z23" s="28">
        <v>1</v>
      </c>
      <c r="AA23" s="28" t="s">
        <v>34</v>
      </c>
      <c r="AB23" s="40">
        <f t="shared" si="11"/>
        <v>-0.69</v>
      </c>
      <c r="AC23" s="41">
        <v>3.1797240740740744E-2</v>
      </c>
      <c r="AD23" s="39">
        <f t="shared" si="12"/>
        <v>-0.13164057666666668</v>
      </c>
      <c r="AE23" s="39">
        <v>-3.31</v>
      </c>
      <c r="AF23" s="39">
        <v>-0.79548750000000013</v>
      </c>
      <c r="AG23" s="39">
        <v>0</v>
      </c>
    </row>
    <row r="24" spans="1:33" ht="15.75" customHeight="1" x14ac:dyDescent="0.2">
      <c r="A24" s="28" t="s">
        <v>64</v>
      </c>
      <c r="B24" s="28" t="s">
        <v>848</v>
      </c>
      <c r="C24" s="15">
        <f t="shared" si="1"/>
        <v>6.8228571428571438</v>
      </c>
      <c r="D24" s="29">
        <v>7</v>
      </c>
      <c r="E24" s="29">
        <v>0</v>
      </c>
      <c r="F24" s="32">
        <v>47.760000000000005</v>
      </c>
      <c r="G24" s="32">
        <v>-76.54000000000002</v>
      </c>
      <c r="H24" s="31">
        <f t="shared" si="2"/>
        <v>1.602596314907873</v>
      </c>
      <c r="I24" s="31">
        <f t="shared" si="3"/>
        <v>-1.3816912446724368</v>
      </c>
      <c r="J24" s="32">
        <f t="shared" si="4"/>
        <v>-65.989573845555583</v>
      </c>
      <c r="K24" s="32">
        <f t="shared" si="5"/>
        <v>-9.4270819779365116</v>
      </c>
      <c r="L24" s="29">
        <v>18</v>
      </c>
      <c r="M24" s="33">
        <f t="shared" si="6"/>
        <v>0.3888888888888889</v>
      </c>
      <c r="N24" s="29">
        <v>175</v>
      </c>
      <c r="O24" s="34">
        <f t="shared" ref="O24:P24" si="15">D24/7</f>
        <v>1</v>
      </c>
      <c r="P24" s="34">
        <f t="shared" si="15"/>
        <v>0</v>
      </c>
      <c r="Q24" s="29">
        <f t="shared" si="8"/>
        <v>175</v>
      </c>
      <c r="R24" s="29"/>
      <c r="S24" s="35">
        <v>0.434285714285714</v>
      </c>
      <c r="T24" s="28">
        <v>200</v>
      </c>
      <c r="U24" s="36" t="s">
        <v>33</v>
      </c>
      <c r="V24" s="37" t="s">
        <v>33</v>
      </c>
      <c r="W24" s="28">
        <v>7</v>
      </c>
      <c r="X24" s="38">
        <f t="shared" si="9"/>
        <v>1</v>
      </c>
      <c r="Y24" s="39">
        <f t="shared" si="10"/>
        <v>5.4671428571428589</v>
      </c>
      <c r="Z24" s="28">
        <v>7</v>
      </c>
      <c r="AA24" s="28" t="s">
        <v>34</v>
      </c>
      <c r="AB24" s="40">
        <f t="shared" si="11"/>
        <v>-0.69</v>
      </c>
      <c r="AC24" s="41">
        <v>3.1797240740740744E-2</v>
      </c>
      <c r="AD24" s="39">
        <f t="shared" si="12"/>
        <v>-0.30716134555555558</v>
      </c>
      <c r="AE24" s="39">
        <v>-3.31</v>
      </c>
      <c r="AF24" s="39">
        <v>-0.79548750000000013</v>
      </c>
      <c r="AG24" s="39">
        <v>-1</v>
      </c>
    </row>
    <row r="25" spans="1:33" ht="15.75" customHeight="1" x14ac:dyDescent="0.2">
      <c r="A25" s="28" t="s">
        <v>65</v>
      </c>
      <c r="B25" s="14"/>
      <c r="C25" s="15">
        <f t="shared" si="1"/>
        <v>6.99</v>
      </c>
      <c r="D25" s="29">
        <v>10</v>
      </c>
      <c r="E25" s="29">
        <v>0</v>
      </c>
      <c r="F25" s="32">
        <v>69.900000000000006</v>
      </c>
      <c r="G25" s="32">
        <v>-29.89</v>
      </c>
      <c r="H25" s="31">
        <f t="shared" si="2"/>
        <v>0.42761087267525033</v>
      </c>
      <c r="I25" s="31">
        <f t="shared" si="3"/>
        <v>-0.20048357542521053</v>
      </c>
      <c r="J25" s="32">
        <f t="shared" si="4"/>
        <v>-14.013801922222218</v>
      </c>
      <c r="K25" s="32">
        <f t="shared" si="5"/>
        <v>-1.4013801922222218</v>
      </c>
      <c r="L25" s="29">
        <v>13</v>
      </c>
      <c r="M25" s="33">
        <f t="shared" si="6"/>
        <v>0.76923076923076927</v>
      </c>
      <c r="N25" s="29">
        <v>165</v>
      </c>
      <c r="O25" s="34">
        <f t="shared" ref="O25:P25" si="16">D25/7</f>
        <v>1.4285714285714286</v>
      </c>
      <c r="P25" s="34">
        <f t="shared" si="16"/>
        <v>0</v>
      </c>
      <c r="Q25" s="29">
        <f t="shared" si="8"/>
        <v>115</v>
      </c>
      <c r="R25" s="29"/>
      <c r="S25" s="35">
        <v>0.37260273972602742</v>
      </c>
      <c r="T25" s="28">
        <v>200</v>
      </c>
      <c r="U25" s="36" t="s">
        <v>33</v>
      </c>
      <c r="V25" s="37" t="s">
        <v>33</v>
      </c>
      <c r="W25" s="14">
        <v>9</v>
      </c>
      <c r="X25" s="38">
        <f t="shared" si="9"/>
        <v>0.9</v>
      </c>
      <c r="Y25" s="39">
        <f t="shared" si="10"/>
        <v>2.7172727272727273</v>
      </c>
      <c r="Z25" s="14">
        <v>2</v>
      </c>
      <c r="AA25" s="28" t="s">
        <v>34</v>
      </c>
      <c r="AB25" s="40">
        <f t="shared" si="11"/>
        <v>-0.69</v>
      </c>
      <c r="AC25" s="41">
        <v>3.1797240740740744E-2</v>
      </c>
      <c r="AD25" s="39">
        <f t="shared" si="12"/>
        <v>-0.43880192222222225</v>
      </c>
      <c r="AE25" s="39">
        <v>-3.31</v>
      </c>
      <c r="AF25" s="39">
        <v>-0.8</v>
      </c>
      <c r="AG25" s="39">
        <v>-2</v>
      </c>
    </row>
    <row r="26" spans="1:33" ht="15.75" customHeight="1" x14ac:dyDescent="0.2">
      <c r="A26" s="14" t="s">
        <v>67</v>
      </c>
      <c r="B26" s="14" t="s">
        <v>849</v>
      </c>
      <c r="C26" s="15">
        <f t="shared" si="1"/>
        <v>6.9899999999999993</v>
      </c>
      <c r="D26" s="16">
        <v>3</v>
      </c>
      <c r="E26" s="16">
        <v>0</v>
      </c>
      <c r="F26" s="17">
        <v>20.97</v>
      </c>
      <c r="G26" s="17">
        <v>-7.92</v>
      </c>
      <c r="H26" s="31">
        <f t="shared" si="2"/>
        <v>0.37768240343347642</v>
      </c>
      <c r="I26" s="31">
        <f t="shared" si="3"/>
        <v>-0.14460135081862996</v>
      </c>
      <c r="J26" s="32">
        <f t="shared" si="4"/>
        <v>-3.0322903266666699</v>
      </c>
      <c r="K26" s="32">
        <f t="shared" si="5"/>
        <v>-1.0107634422222234</v>
      </c>
      <c r="L26" s="16">
        <v>9</v>
      </c>
      <c r="M26" s="33">
        <f t="shared" si="6"/>
        <v>0.33333333333333331</v>
      </c>
      <c r="N26" s="16">
        <v>163</v>
      </c>
      <c r="O26" s="34">
        <f t="shared" ref="O26:P26" si="17">D26/7</f>
        <v>0.42857142857142855</v>
      </c>
      <c r="P26" s="34">
        <f t="shared" si="17"/>
        <v>0</v>
      </c>
      <c r="Q26" s="29">
        <f t="shared" si="8"/>
        <v>380</v>
      </c>
      <c r="R26" s="29"/>
      <c r="S26" s="21">
        <v>0.41142857142857142</v>
      </c>
      <c r="T26" s="28">
        <v>200</v>
      </c>
      <c r="U26" s="36" t="s">
        <v>33</v>
      </c>
      <c r="V26" s="37" t="s">
        <v>33</v>
      </c>
      <c r="W26" s="14">
        <v>1</v>
      </c>
      <c r="X26" s="38">
        <f t="shared" si="9"/>
        <v>0.33333333333333331</v>
      </c>
      <c r="Y26" s="39">
        <f t="shared" si="10"/>
        <v>7.92</v>
      </c>
      <c r="Z26" s="14">
        <v>0</v>
      </c>
      <c r="AA26" s="28" t="s">
        <v>34</v>
      </c>
      <c r="AB26" s="40">
        <f t="shared" si="11"/>
        <v>-0.69</v>
      </c>
      <c r="AC26" s="41">
        <v>3.1797240740740744E-2</v>
      </c>
      <c r="AD26" s="39">
        <f t="shared" si="12"/>
        <v>-0.13164057666666668</v>
      </c>
      <c r="AE26" s="25">
        <v>-3.47</v>
      </c>
      <c r="AF26" s="25">
        <v>-0.79838324999999999</v>
      </c>
      <c r="AG26" s="25">
        <v>0</v>
      </c>
    </row>
    <row r="27" spans="1:33" ht="15.75" customHeight="1" x14ac:dyDescent="0.2">
      <c r="A27" s="14" t="s">
        <v>69</v>
      </c>
      <c r="B27" s="14" t="s">
        <v>850</v>
      </c>
      <c r="C27" s="15">
        <f t="shared" si="1"/>
        <v>6.99</v>
      </c>
      <c r="D27" s="16">
        <v>1</v>
      </c>
      <c r="E27" s="16">
        <v>0</v>
      </c>
      <c r="F27" s="17">
        <v>6.99</v>
      </c>
      <c r="G27" s="17">
        <v>-12.91</v>
      </c>
      <c r="H27" s="31">
        <f t="shared" si="2"/>
        <v>1.8469241773962803</v>
      </c>
      <c r="I27" s="31">
        <f t="shared" si="3"/>
        <v>-1.6138431247814338</v>
      </c>
      <c r="J27" s="32">
        <f t="shared" si="4"/>
        <v>-11.280763442222222</v>
      </c>
      <c r="K27" s="32">
        <f t="shared" si="5"/>
        <v>-11.280763442222222</v>
      </c>
      <c r="L27" s="16">
        <v>10</v>
      </c>
      <c r="M27" s="33">
        <f t="shared" si="6"/>
        <v>0.1</v>
      </c>
      <c r="N27" s="16">
        <v>161</v>
      </c>
      <c r="O27" s="34">
        <f t="shared" ref="O27:P27" si="18">D27/7</f>
        <v>0.14285714285714285</v>
      </c>
      <c r="P27" s="34">
        <f t="shared" si="18"/>
        <v>0</v>
      </c>
      <c r="Q27" s="29">
        <f t="shared" si="8"/>
        <v>1127</v>
      </c>
      <c r="R27" s="29"/>
      <c r="S27" s="21">
        <v>0.45921450151057402</v>
      </c>
      <c r="T27" s="28">
        <v>200</v>
      </c>
      <c r="U27" s="36" t="s">
        <v>33</v>
      </c>
      <c r="V27" s="37" t="s">
        <v>33</v>
      </c>
      <c r="W27" s="14">
        <v>1</v>
      </c>
      <c r="X27" s="38">
        <f t="shared" si="9"/>
        <v>1</v>
      </c>
      <c r="Y27" s="39">
        <f t="shared" si="10"/>
        <v>12.91</v>
      </c>
      <c r="Z27" s="14">
        <v>0</v>
      </c>
      <c r="AA27" s="28" t="s">
        <v>34</v>
      </c>
      <c r="AB27" s="40">
        <f t="shared" si="11"/>
        <v>-0.69</v>
      </c>
      <c r="AC27" s="41">
        <v>3.1797240740740744E-2</v>
      </c>
      <c r="AD27" s="39">
        <f t="shared" si="12"/>
        <v>-4.3880192222222225E-2</v>
      </c>
      <c r="AE27" s="25">
        <v>-3.47</v>
      </c>
      <c r="AF27" s="25">
        <v>-0.79838324999999999</v>
      </c>
      <c r="AG27" s="25">
        <v>0</v>
      </c>
    </row>
    <row r="28" spans="1:33" ht="15.75" customHeight="1" x14ac:dyDescent="0.2">
      <c r="A28" s="14" t="s">
        <v>71</v>
      </c>
      <c r="B28" s="14" t="s">
        <v>851</v>
      </c>
      <c r="C28" s="15">
        <f t="shared" si="1"/>
        <v>5.9899999999999993</v>
      </c>
      <c r="D28" s="16">
        <v>3</v>
      </c>
      <c r="E28" s="16">
        <v>0</v>
      </c>
      <c r="F28" s="17">
        <v>17.97</v>
      </c>
      <c r="G28" s="17">
        <v>-34.76</v>
      </c>
      <c r="H28" s="31">
        <f t="shared" si="2"/>
        <v>1.9343350027824151</v>
      </c>
      <c r="I28" s="31">
        <f t="shared" si="3"/>
        <v>-1.8042454271934709</v>
      </c>
      <c r="J28" s="32">
        <f t="shared" si="4"/>
        <v>-32.422290326666669</v>
      </c>
      <c r="K28" s="32">
        <f t="shared" si="5"/>
        <v>-10.807430108888889</v>
      </c>
      <c r="L28" s="16">
        <v>17</v>
      </c>
      <c r="M28" s="33">
        <f t="shared" si="6"/>
        <v>0.17647058823529413</v>
      </c>
      <c r="N28" s="16">
        <v>159</v>
      </c>
      <c r="O28" s="34">
        <f t="shared" ref="O28:P28" si="19">D28/7</f>
        <v>0.42857142857142855</v>
      </c>
      <c r="P28" s="34">
        <f t="shared" si="19"/>
        <v>0</v>
      </c>
      <c r="Q28" s="29">
        <f t="shared" si="8"/>
        <v>371</v>
      </c>
      <c r="R28" s="29"/>
      <c r="S28" s="21">
        <v>0.47761194029850751</v>
      </c>
      <c r="T28" s="28">
        <v>200</v>
      </c>
      <c r="U28" s="36" t="s">
        <v>33</v>
      </c>
      <c r="V28" s="37" t="s">
        <v>33</v>
      </c>
      <c r="W28" s="14">
        <v>1</v>
      </c>
      <c r="X28" s="38">
        <f t="shared" si="9"/>
        <v>0.33333333333333331</v>
      </c>
      <c r="Y28" s="39">
        <f t="shared" si="10"/>
        <v>6.952</v>
      </c>
      <c r="Z28" s="14">
        <v>4</v>
      </c>
      <c r="AA28" s="28" t="s">
        <v>34</v>
      </c>
      <c r="AB28" s="40">
        <f t="shared" si="11"/>
        <v>-0.69</v>
      </c>
      <c r="AC28" s="41">
        <v>3.1797240740740744E-2</v>
      </c>
      <c r="AD28" s="39">
        <f t="shared" si="12"/>
        <v>-0.13164057666666668</v>
      </c>
      <c r="AE28" s="25">
        <v>-3.47</v>
      </c>
      <c r="AF28" s="25">
        <v>-0.79838324999999999</v>
      </c>
      <c r="AG28" s="25">
        <v>0</v>
      </c>
    </row>
    <row r="29" spans="1:33" ht="15.75" customHeight="1" x14ac:dyDescent="0.2">
      <c r="A29" s="28" t="s">
        <v>72</v>
      </c>
      <c r="B29" s="28" t="s">
        <v>852</v>
      </c>
      <c r="C29" s="15">
        <f t="shared" si="1"/>
        <v>5.99</v>
      </c>
      <c r="D29" s="29">
        <v>5</v>
      </c>
      <c r="E29" s="29">
        <v>136</v>
      </c>
      <c r="F29" s="32">
        <v>29.95</v>
      </c>
      <c r="G29" s="32">
        <v>-15.23</v>
      </c>
      <c r="H29" s="31">
        <f t="shared" si="2"/>
        <v>0.50851419031719536</v>
      </c>
      <c r="I29" s="31">
        <f t="shared" si="3"/>
        <v>-0.37842461472825084</v>
      </c>
      <c r="J29" s="32">
        <f t="shared" si="4"/>
        <v>-11.333817211111112</v>
      </c>
      <c r="K29" s="32">
        <f t="shared" si="5"/>
        <v>-2.2667634422222225</v>
      </c>
      <c r="L29" s="29">
        <v>8</v>
      </c>
      <c r="M29" s="33">
        <f t="shared" si="6"/>
        <v>0.625</v>
      </c>
      <c r="N29" s="16">
        <v>140</v>
      </c>
      <c r="O29" s="34">
        <f t="shared" ref="O29:P29" si="20">D29/7</f>
        <v>0.7142857142857143</v>
      </c>
      <c r="P29" s="34">
        <f t="shared" si="20"/>
        <v>19.428571428571427</v>
      </c>
      <c r="Q29" s="29">
        <f t="shared" si="8"/>
        <v>6</v>
      </c>
      <c r="R29" s="29"/>
      <c r="S29" s="21">
        <v>0.38709677419354838</v>
      </c>
      <c r="T29" s="28">
        <v>200</v>
      </c>
      <c r="U29" s="36" t="s">
        <v>33</v>
      </c>
      <c r="V29" s="37" t="s">
        <v>33</v>
      </c>
      <c r="W29" s="14">
        <v>3</v>
      </c>
      <c r="X29" s="38">
        <f t="shared" si="9"/>
        <v>0.6</v>
      </c>
      <c r="Y29" s="39">
        <f t="shared" si="10"/>
        <v>5.0766666666666671</v>
      </c>
      <c r="Z29" s="14">
        <v>0</v>
      </c>
      <c r="AA29" s="28" t="s">
        <v>34</v>
      </c>
      <c r="AB29" s="40">
        <f t="shared" si="11"/>
        <v>-0.69</v>
      </c>
      <c r="AC29" s="41">
        <v>3.1797240740740744E-2</v>
      </c>
      <c r="AD29" s="39">
        <f t="shared" si="12"/>
        <v>-0.21940096111111113</v>
      </c>
      <c r="AE29" s="39">
        <v>-3.47</v>
      </c>
      <c r="AF29" s="25">
        <v>-0.79838324999999999</v>
      </c>
      <c r="AG29" s="39">
        <v>0</v>
      </c>
    </row>
    <row r="30" spans="1:33" ht="15.75" customHeight="1" x14ac:dyDescent="0.2">
      <c r="A30" s="14" t="s">
        <v>74</v>
      </c>
      <c r="B30" s="14" t="s">
        <v>850</v>
      </c>
      <c r="C30" s="15">
        <f t="shared" si="1"/>
        <v>5.99</v>
      </c>
      <c r="D30" s="16">
        <v>1</v>
      </c>
      <c r="E30" s="16">
        <v>0</v>
      </c>
      <c r="F30" s="17">
        <v>5.99</v>
      </c>
      <c r="G30" s="17">
        <v>0</v>
      </c>
      <c r="H30" s="31">
        <f t="shared" si="2"/>
        <v>0</v>
      </c>
      <c r="I30" s="31">
        <f t="shared" si="3"/>
        <v>-3.497811207956552E-2</v>
      </c>
      <c r="J30" s="32">
        <f t="shared" si="4"/>
        <v>-0.20951889135659746</v>
      </c>
      <c r="K30" s="32">
        <f t="shared" si="5"/>
        <v>-0.20951889135659746</v>
      </c>
      <c r="L30" s="16">
        <v>4</v>
      </c>
      <c r="M30" s="33">
        <f t="shared" si="6"/>
        <v>0.25</v>
      </c>
      <c r="N30" s="16">
        <v>18</v>
      </c>
      <c r="O30" s="34">
        <f t="shared" ref="O30:P30" si="21">D30/7</f>
        <v>0.14285714285714285</v>
      </c>
      <c r="P30" s="34">
        <f t="shared" si="21"/>
        <v>0</v>
      </c>
      <c r="Q30" s="29">
        <f t="shared" si="8"/>
        <v>126</v>
      </c>
      <c r="R30" s="29"/>
      <c r="S30" s="21">
        <v>0.4</v>
      </c>
      <c r="T30" s="28">
        <v>200</v>
      </c>
      <c r="U30" s="36" t="s">
        <v>33</v>
      </c>
      <c r="V30" s="37" t="s">
        <v>33</v>
      </c>
      <c r="W30" s="14">
        <v>0</v>
      </c>
      <c r="X30" s="38">
        <f t="shared" si="9"/>
        <v>0</v>
      </c>
      <c r="Y30" s="39">
        <f t="shared" si="10"/>
        <v>0</v>
      </c>
      <c r="Z30" s="14">
        <v>0</v>
      </c>
      <c r="AA30" s="28" t="s">
        <v>34</v>
      </c>
      <c r="AB30" s="40">
        <f t="shared" si="11"/>
        <v>-0.69</v>
      </c>
      <c r="AC30" s="41">
        <v>3.1797240740740744E-2</v>
      </c>
      <c r="AD30" s="39">
        <f t="shared" si="12"/>
        <v>-4.3880192222222225E-2</v>
      </c>
      <c r="AE30" s="25">
        <v>-3.47</v>
      </c>
      <c r="AF30" s="25">
        <v>-0.78713869913437495</v>
      </c>
      <c r="AG30" s="25">
        <v>-1</v>
      </c>
    </row>
    <row r="31" spans="1:33" ht="15.75" customHeight="1" x14ac:dyDescent="0.2">
      <c r="A31" s="14" t="s">
        <v>75</v>
      </c>
      <c r="B31" s="48" t="s">
        <v>853</v>
      </c>
      <c r="C31" s="15">
        <f t="shared" si="1"/>
        <v>6.99</v>
      </c>
      <c r="D31" s="16">
        <v>1</v>
      </c>
      <c r="E31" s="16">
        <v>0</v>
      </c>
      <c r="F31" s="17">
        <v>6.99</v>
      </c>
      <c r="G31" s="42">
        <v>0</v>
      </c>
      <c r="H31" s="31">
        <f t="shared" si="2"/>
        <v>0</v>
      </c>
      <c r="I31" s="31">
        <f t="shared" si="3"/>
        <v>0.23468971511350542</v>
      </c>
      <c r="J31" s="32">
        <f t="shared" si="4"/>
        <v>1.640481108643403</v>
      </c>
      <c r="K31" s="32">
        <f t="shared" si="5"/>
        <v>1.640481108643403</v>
      </c>
      <c r="L31" s="16">
        <v>3</v>
      </c>
      <c r="M31" s="33">
        <f t="shared" si="6"/>
        <v>0.33333333333333331</v>
      </c>
      <c r="N31" s="16">
        <v>18</v>
      </c>
      <c r="O31" s="34">
        <f t="shared" ref="O31:P32" si="22">D31/7</f>
        <v>0.14285714285714285</v>
      </c>
      <c r="P31" s="34">
        <f t="shared" si="22"/>
        <v>0</v>
      </c>
      <c r="Q31" s="29">
        <f t="shared" si="8"/>
        <v>126</v>
      </c>
      <c r="R31" s="29"/>
      <c r="S31" s="21">
        <v>0.51366120218579203</v>
      </c>
      <c r="T31" s="14" t="s">
        <v>33</v>
      </c>
      <c r="U31" s="22" t="s">
        <v>33</v>
      </c>
      <c r="V31" s="1" t="s">
        <v>936</v>
      </c>
      <c r="W31" s="14">
        <v>0</v>
      </c>
      <c r="X31" s="38">
        <f t="shared" si="9"/>
        <v>0</v>
      </c>
      <c r="Y31" s="39">
        <f t="shared" si="10"/>
        <v>0</v>
      </c>
      <c r="Z31" s="14">
        <v>0</v>
      </c>
      <c r="AA31" s="14" t="s">
        <v>34</v>
      </c>
      <c r="AB31" s="40">
        <f t="shared" si="11"/>
        <v>-0.69</v>
      </c>
      <c r="AC31" s="27">
        <v>3.1797240740740744E-2</v>
      </c>
      <c r="AD31" s="39">
        <f t="shared" si="12"/>
        <v>-4.3880192222222225E-2</v>
      </c>
      <c r="AE31" s="43">
        <v>-3.47</v>
      </c>
      <c r="AF31" s="43">
        <v>-0.78713869913437506</v>
      </c>
      <c r="AG31" s="25">
        <v>0</v>
      </c>
    </row>
    <row r="32" spans="1:33" s="51" customFormat="1" ht="15.75" customHeight="1" x14ac:dyDescent="0.2">
      <c r="A32" s="51" t="s">
        <v>934</v>
      </c>
      <c r="C32" s="15">
        <f t="shared" si="1"/>
        <v>5.9899999999999993</v>
      </c>
      <c r="D32" s="52">
        <v>3</v>
      </c>
      <c r="E32" s="52">
        <v>0</v>
      </c>
      <c r="F32" s="53">
        <v>17.97</v>
      </c>
      <c r="G32" s="53">
        <v>-6.38</v>
      </c>
      <c r="H32" s="31">
        <f t="shared" si="2"/>
        <v>0.3550361713967724</v>
      </c>
      <c r="I32" s="31">
        <f t="shared" si="3"/>
        <v>-0.22306937529603754</v>
      </c>
      <c r="J32" s="32">
        <f t="shared" si="4"/>
        <v>-4.0085566740697942</v>
      </c>
      <c r="K32" s="32">
        <f t="shared" si="5"/>
        <v>-1.3361855580232647</v>
      </c>
      <c r="L32" s="52">
        <v>8</v>
      </c>
      <c r="M32" s="33">
        <f t="shared" si="6"/>
        <v>0.375</v>
      </c>
      <c r="N32" s="52">
        <v>15</v>
      </c>
      <c r="O32" s="34">
        <f t="shared" si="22"/>
        <v>0.42857142857142855</v>
      </c>
      <c r="P32" s="34">
        <f t="shared" si="22"/>
        <v>0</v>
      </c>
      <c r="Q32" s="29">
        <f t="shared" si="8"/>
        <v>35</v>
      </c>
      <c r="R32" s="29" t="str">
        <f ca="1">IFERROR(VLOOKUP($B$2,IMPORTRANGE("https://docs.google.com/spreadsheets/d/1KiWZV1ko8G7lnRucBRBd29jj3Be6ltMfljMDqzOkQmI/edit#gid=1381463014","Lookup!A:F"),6,FALSE),"")</f>
        <v/>
      </c>
      <c r="S32" s="54">
        <v>0.55211267605633807</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1</v>
      </c>
      <c r="X32" s="38">
        <f t="shared" si="9"/>
        <v>0.33333333333333331</v>
      </c>
      <c r="Y32" s="39">
        <f t="shared" si="10"/>
        <v>6.38</v>
      </c>
      <c r="Z32" s="51">
        <v>0</v>
      </c>
      <c r="AA32" s="51" t="s">
        <v>34</v>
      </c>
      <c r="AB32" s="40">
        <f t="shared" si="11"/>
        <v>-0.69</v>
      </c>
      <c r="AC32" s="57">
        <v>3.1797240740740744E-2</v>
      </c>
      <c r="AD32" s="39">
        <f t="shared" si="12"/>
        <v>-0.13164057666666668</v>
      </c>
      <c r="AE32" s="58">
        <v>-3.47</v>
      </c>
      <c r="AF32" s="58">
        <v>-0.78713869913437495</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Ft Power Cords for TV Computer or Monitor, 2 Pack - 18/3 Replacement Power Cables, Black")</f>
        <v>3 Ft Power Cords for TV Computer or Monitor, 2 Pack - 18/3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Info!B1:BJ5000""),2,FALSE),"""")"),"B08NM1QDFB")</f>
        <v>B08NM1QDFB</v>
      </c>
      <c r="B2" s="3" t="s">
        <v>854</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6.1344439979632357</v>
      </c>
      <c r="D3" s="5">
        <f>SUM(D4:D99765)</f>
        <v>128</v>
      </c>
      <c r="E3" s="5"/>
      <c r="F3" s="6">
        <f t="shared" ref="F3:G3" si="0">SUM(F4:F99765)</f>
        <v>932.08</v>
      </c>
      <c r="G3" s="6">
        <f t="shared" si="0"/>
        <v>-305.95999999999998</v>
      </c>
      <c r="H3" s="7">
        <f>G3/F3*-1</f>
        <v>0.32825508540039477</v>
      </c>
      <c r="I3" s="8">
        <f>J3/F3</f>
        <v>-0.21700434733600749</v>
      </c>
      <c r="J3" s="6">
        <f>SUM(J4:J99765)</f>
        <v>-202.26541206494588</v>
      </c>
      <c r="K3" s="6">
        <f>J3/D3</f>
        <v>-1.5801985317573897</v>
      </c>
      <c r="L3" s="5"/>
      <c r="M3" s="9"/>
      <c r="N3" s="10"/>
      <c r="O3" s="5" t="str">
        <f ca="1">IFERROR(__xludf.DUMMYFUNCTION("VLOOKUP(B2,IMPORTRANGE(""https://docs.google.com/spreadsheets/d/1N8jvpEHDVkurDv7NrPxwI3eH6hQsvtb1QltGNCalRjU/edit#gid=865736387"",""Compiled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39</v>
      </c>
      <c r="X3" s="7">
        <f>W3/D3</f>
        <v>0.3046875</v>
      </c>
      <c r="Y3" s="6"/>
      <c r="Z3" s="5"/>
      <c r="AA3" s="5"/>
      <c r="AB3" s="5"/>
      <c r="AC3" s="5"/>
      <c r="AD3" s="6">
        <f>SUM(AD4:AD99765)</f>
        <v>-6.1870792445833311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Info!B2:BZ7000""),37,FALSE)),"""")*-1"),-1.57427739826875)</f>
        <v>-1.5742773982687499</v>
      </c>
      <c r="AG3" s="6">
        <f>SUM(AG4:AG99765)</f>
        <v>-14</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855</v>
      </c>
      <c r="C21" s="15">
        <f t="shared" ref="C21:C32" si="1">IFERROR(F21/D21," - ")</f>
        <v>9.99</v>
      </c>
      <c r="D21" s="29">
        <v>1</v>
      </c>
      <c r="E21" s="29">
        <v>0</v>
      </c>
      <c r="F21" s="32">
        <v>9.99</v>
      </c>
      <c r="G21" s="30">
        <v>-27.38</v>
      </c>
      <c r="H21" s="31">
        <f t="shared" ref="H21:H32" si="2">G21/F21*-1</f>
        <v>2.7407407407407405</v>
      </c>
      <c r="I21" s="31">
        <f t="shared" ref="I21:I32" si="3">J21/F21</f>
        <v>-2.5931795684573467</v>
      </c>
      <c r="J21" s="32">
        <f t="shared" ref="J21:J32" si="4">F21*0.85+G21+AF21*D21+D21*AE21+AG21+AD21</f>
        <v>-25.905863888888891</v>
      </c>
      <c r="K21" s="32">
        <f t="shared" ref="K21:K32" si="5">J21/D21</f>
        <v>-25.905863888888891</v>
      </c>
      <c r="L21" s="29">
        <v>0</v>
      </c>
      <c r="M21" s="33" t="str">
        <f t="shared" ref="M21:M32" si="6">IFERROR(D21/L21,"-")</f>
        <v>-</v>
      </c>
      <c r="N21" s="29">
        <v>198</v>
      </c>
      <c r="O21" s="34">
        <f t="shared" ref="O21:P21" si="7">D21/7</f>
        <v>0.14285714285714285</v>
      </c>
      <c r="P21" s="34">
        <f t="shared" si="7"/>
        <v>0</v>
      </c>
      <c r="Q21" s="29">
        <f t="shared" ref="Q21:Q32" si="8">ROUNDDOWN(N21/(O21+P21),0)</f>
        <v>1386</v>
      </c>
      <c r="R21" s="29"/>
      <c r="S21" s="35">
        <v>0</v>
      </c>
      <c r="T21" s="28">
        <v>400</v>
      </c>
      <c r="U21" s="36" t="s">
        <v>33</v>
      </c>
      <c r="V21" s="37" t="s">
        <v>33</v>
      </c>
      <c r="W21" s="28">
        <v>1</v>
      </c>
      <c r="X21" s="38">
        <f t="shared" ref="X21:X32" si="9">IFERROR(W21/D21,0)</f>
        <v>1</v>
      </c>
      <c r="Y21" s="39">
        <f t="shared" ref="Y21:Y32" si="10">IFERROR(G21/(W21+Z21)*-1,0)</f>
        <v>9.1266666666666669</v>
      </c>
      <c r="Z21" s="28">
        <v>2</v>
      </c>
      <c r="AA21" s="28" t="s">
        <v>34</v>
      </c>
      <c r="AB21" s="40">
        <f t="shared" ref="AB21:AB32" si="11">IF(OR(AA21="UsLargeStandardSize",AA21="UsSmallStandardSize"),-0.69,-0.48)</f>
        <v>-0.69</v>
      </c>
      <c r="AC21" s="41">
        <v>4.6296296296296294E-3</v>
      </c>
      <c r="AD21" s="39">
        <f t="shared" ref="AD21:AD32" si="12">IFERROR(AB21*AC21*D21*2,0)</f>
        <v>-6.3888888888888884E-3</v>
      </c>
      <c r="AE21" s="39">
        <v>-5.42</v>
      </c>
      <c r="AF21" s="39">
        <v>-1.5909750000000003</v>
      </c>
      <c r="AG21" s="39">
        <v>0</v>
      </c>
    </row>
    <row r="22" spans="1:33" ht="15.75" customHeight="1" x14ac:dyDescent="0.2">
      <c r="A22" s="28" t="s">
        <v>60</v>
      </c>
      <c r="B22" s="28" t="s">
        <v>856</v>
      </c>
      <c r="C22" s="15">
        <f t="shared" si="1"/>
        <v>9.99</v>
      </c>
      <c r="D22" s="29">
        <v>1</v>
      </c>
      <c r="E22" s="29">
        <v>0</v>
      </c>
      <c r="F22" s="30">
        <v>9.99</v>
      </c>
      <c r="G22" s="30">
        <v>-6.94</v>
      </c>
      <c r="H22" s="31">
        <f t="shared" si="2"/>
        <v>0.69469469469469469</v>
      </c>
      <c r="I22" s="31">
        <f t="shared" si="3"/>
        <v>-0.3571713566761206</v>
      </c>
      <c r="J22" s="32">
        <f t="shared" si="4"/>
        <v>-3.5681418531944447</v>
      </c>
      <c r="K22" s="32">
        <f t="shared" si="5"/>
        <v>-3.5681418531944447</v>
      </c>
      <c r="L22" s="29">
        <v>8</v>
      </c>
      <c r="M22" s="33">
        <f t="shared" si="6"/>
        <v>0.125</v>
      </c>
      <c r="N22" s="29">
        <v>189</v>
      </c>
      <c r="O22" s="34">
        <f t="shared" ref="O22:P22" si="13">D22/7</f>
        <v>0.14285714285714285</v>
      </c>
      <c r="P22" s="34">
        <f t="shared" si="13"/>
        <v>0</v>
      </c>
      <c r="Q22" s="29">
        <f t="shared" si="8"/>
        <v>1323</v>
      </c>
      <c r="R22" s="29"/>
      <c r="S22" s="35">
        <v>4.2328042328042298E-2</v>
      </c>
      <c r="T22" s="28">
        <v>400</v>
      </c>
      <c r="U22" s="36" t="s">
        <v>33</v>
      </c>
      <c r="V22" s="37" t="s">
        <v>33</v>
      </c>
      <c r="W22" s="28">
        <v>0</v>
      </c>
      <c r="X22" s="38">
        <f t="shared" si="9"/>
        <v>0</v>
      </c>
      <c r="Y22" s="39">
        <f t="shared" si="10"/>
        <v>0</v>
      </c>
      <c r="Z22" s="28">
        <v>0</v>
      </c>
      <c r="AA22" s="28" t="s">
        <v>34</v>
      </c>
      <c r="AB22" s="40">
        <f t="shared" si="11"/>
        <v>-0.69</v>
      </c>
      <c r="AC22" s="41">
        <v>3.5265835648148142E-2</v>
      </c>
      <c r="AD22" s="39">
        <f t="shared" si="12"/>
        <v>-4.8666853194444429E-2</v>
      </c>
      <c r="AE22" s="39">
        <v>-3.48</v>
      </c>
      <c r="AF22" s="39">
        <v>-1.5909750000000003</v>
      </c>
      <c r="AG22" s="39">
        <v>0</v>
      </c>
    </row>
    <row r="23" spans="1:33" ht="15.75" customHeight="1" x14ac:dyDescent="0.2">
      <c r="A23" s="28" t="s">
        <v>62</v>
      </c>
      <c r="B23" s="28" t="s">
        <v>857</v>
      </c>
      <c r="C23" s="15">
        <f t="shared" si="1"/>
        <v>9.99</v>
      </c>
      <c r="D23" s="29">
        <v>2</v>
      </c>
      <c r="E23" s="29">
        <v>0</v>
      </c>
      <c r="F23" s="32">
        <v>19.98</v>
      </c>
      <c r="G23" s="30">
        <v>-29.030000000000005</v>
      </c>
      <c r="H23" s="31">
        <f t="shared" si="2"/>
        <v>1.4529529529529532</v>
      </c>
      <c r="I23" s="31">
        <f t="shared" si="3"/>
        <v>-1.115429614934379</v>
      </c>
      <c r="J23" s="32">
        <f t="shared" si="4"/>
        <v>-22.286283706388893</v>
      </c>
      <c r="K23" s="32">
        <f t="shared" si="5"/>
        <v>-11.143141853194447</v>
      </c>
      <c r="L23" s="29">
        <v>7</v>
      </c>
      <c r="M23" s="33">
        <f t="shared" si="6"/>
        <v>0.2857142857142857</v>
      </c>
      <c r="N23" s="29">
        <v>192</v>
      </c>
      <c r="O23" s="34">
        <f t="shared" ref="O23:P23" si="14">D23/7</f>
        <v>0.2857142857142857</v>
      </c>
      <c r="P23" s="34">
        <f t="shared" si="14"/>
        <v>0</v>
      </c>
      <c r="Q23" s="29">
        <f t="shared" si="8"/>
        <v>672</v>
      </c>
      <c r="R23" s="29"/>
      <c r="S23" s="35">
        <v>6.4171122994652399E-2</v>
      </c>
      <c r="T23" s="28">
        <v>400</v>
      </c>
      <c r="U23" s="36" t="s">
        <v>33</v>
      </c>
      <c r="V23" s="37" t="s">
        <v>33</v>
      </c>
      <c r="W23" s="28">
        <v>1</v>
      </c>
      <c r="X23" s="38">
        <f t="shared" si="9"/>
        <v>0.5</v>
      </c>
      <c r="Y23" s="39">
        <f t="shared" si="10"/>
        <v>9.6766666666666676</v>
      </c>
      <c r="Z23" s="28">
        <v>2</v>
      </c>
      <c r="AA23" s="28" t="s">
        <v>34</v>
      </c>
      <c r="AB23" s="40">
        <f t="shared" si="11"/>
        <v>-0.69</v>
      </c>
      <c r="AC23" s="41">
        <v>3.5265835648148142E-2</v>
      </c>
      <c r="AD23" s="39">
        <f t="shared" si="12"/>
        <v>-9.7333706388888858E-2</v>
      </c>
      <c r="AE23" s="39">
        <v>-3.48</v>
      </c>
      <c r="AF23" s="39">
        <v>-1.5909750000000003</v>
      </c>
      <c r="AG23" s="39">
        <v>0</v>
      </c>
    </row>
    <row r="24" spans="1:33" ht="15.75" customHeight="1" x14ac:dyDescent="0.2">
      <c r="A24" s="28" t="s">
        <v>64</v>
      </c>
      <c r="B24" s="28" t="s">
        <v>858</v>
      </c>
      <c r="C24" s="15">
        <f t="shared" si="1"/>
        <v>9.7183333333333337</v>
      </c>
      <c r="D24" s="29">
        <v>6</v>
      </c>
      <c r="E24" s="29">
        <v>0</v>
      </c>
      <c r="F24" s="32">
        <v>58.31</v>
      </c>
      <c r="G24" s="32">
        <v>-18.21</v>
      </c>
      <c r="H24" s="31">
        <f t="shared" si="2"/>
        <v>0.31229634711027271</v>
      </c>
      <c r="I24" s="31">
        <f t="shared" si="3"/>
        <v>1.0901198436517401E-2</v>
      </c>
      <c r="J24" s="32">
        <f t="shared" si="4"/>
        <v>0.63564888083332971</v>
      </c>
      <c r="K24" s="32">
        <f t="shared" si="5"/>
        <v>0.10594148013888828</v>
      </c>
      <c r="L24" s="29">
        <v>12</v>
      </c>
      <c r="M24" s="33">
        <f t="shared" si="6"/>
        <v>0.5</v>
      </c>
      <c r="N24" s="29">
        <v>187</v>
      </c>
      <c r="O24" s="34">
        <f t="shared" ref="O24:P24" si="15">D24/7</f>
        <v>0.8571428571428571</v>
      </c>
      <c r="P24" s="34">
        <f t="shared" si="15"/>
        <v>0</v>
      </c>
      <c r="Q24" s="29">
        <f t="shared" si="8"/>
        <v>218</v>
      </c>
      <c r="R24" s="29"/>
      <c r="S24" s="35">
        <v>0.19251336898395699</v>
      </c>
      <c r="T24" s="28">
        <v>400</v>
      </c>
      <c r="U24" s="36" t="s">
        <v>33</v>
      </c>
      <c r="V24" s="37" t="s">
        <v>33</v>
      </c>
      <c r="W24" s="28">
        <v>2</v>
      </c>
      <c r="X24" s="38">
        <f t="shared" si="9"/>
        <v>0.33333333333333331</v>
      </c>
      <c r="Y24" s="39">
        <f t="shared" si="10"/>
        <v>6.07</v>
      </c>
      <c r="Z24" s="28">
        <v>1</v>
      </c>
      <c r="AA24" s="28" t="s">
        <v>34</v>
      </c>
      <c r="AB24" s="40">
        <f t="shared" si="11"/>
        <v>-0.69</v>
      </c>
      <c r="AC24" s="41">
        <v>3.5265835648148142E-2</v>
      </c>
      <c r="AD24" s="39">
        <f t="shared" si="12"/>
        <v>-0.2920011191666666</v>
      </c>
      <c r="AE24" s="39">
        <v>-3.48</v>
      </c>
      <c r="AF24" s="39">
        <v>-1.5909750000000003</v>
      </c>
      <c r="AG24" s="39">
        <v>0</v>
      </c>
    </row>
    <row r="25" spans="1:33" ht="15.75" customHeight="1" x14ac:dyDescent="0.2">
      <c r="A25" s="28" t="s">
        <v>65</v>
      </c>
      <c r="B25" s="14" t="s">
        <v>852</v>
      </c>
      <c r="C25" s="15">
        <f t="shared" si="1"/>
        <v>8.0685714285714276</v>
      </c>
      <c r="D25" s="29">
        <v>7</v>
      </c>
      <c r="E25" s="29">
        <v>0</v>
      </c>
      <c r="F25" s="32">
        <v>56.48</v>
      </c>
      <c r="G25" s="32">
        <v>-13.07</v>
      </c>
      <c r="H25" s="31">
        <f t="shared" si="2"/>
        <v>0.23140934844192637</v>
      </c>
      <c r="I25" s="31">
        <f t="shared" si="3"/>
        <v>-8.6626557584297409E-2</v>
      </c>
      <c r="J25" s="32">
        <f t="shared" si="4"/>
        <v>-4.8926679723611173</v>
      </c>
      <c r="K25" s="32">
        <f t="shared" si="5"/>
        <v>-0.69895256748015966</v>
      </c>
      <c r="L25" s="29">
        <v>12</v>
      </c>
      <c r="M25" s="33">
        <f t="shared" si="6"/>
        <v>0.58333333333333337</v>
      </c>
      <c r="N25" s="29">
        <v>178</v>
      </c>
      <c r="O25" s="34">
        <f t="shared" ref="O25:P25" si="16">D25/7</f>
        <v>1</v>
      </c>
      <c r="P25" s="34">
        <f t="shared" si="16"/>
        <v>0</v>
      </c>
      <c r="Q25" s="29">
        <f t="shared" si="8"/>
        <v>178</v>
      </c>
      <c r="R25" s="29"/>
      <c r="S25" s="35">
        <v>0.15748031496062989</v>
      </c>
      <c r="T25" s="28">
        <v>400</v>
      </c>
      <c r="U25" s="36" t="s">
        <v>33</v>
      </c>
      <c r="V25" s="37" t="s">
        <v>33</v>
      </c>
      <c r="W25" s="14">
        <v>3</v>
      </c>
      <c r="X25" s="38">
        <f t="shared" si="9"/>
        <v>0.42857142857142855</v>
      </c>
      <c r="Y25" s="39">
        <f t="shared" si="10"/>
        <v>3.2675000000000001</v>
      </c>
      <c r="Z25" s="14">
        <v>1</v>
      </c>
      <c r="AA25" s="28" t="s">
        <v>34</v>
      </c>
      <c r="AB25" s="40">
        <f t="shared" si="11"/>
        <v>-0.69</v>
      </c>
      <c r="AC25" s="41">
        <v>3.5265835648148142E-2</v>
      </c>
      <c r="AD25" s="39">
        <f t="shared" si="12"/>
        <v>-0.34066797236111102</v>
      </c>
      <c r="AE25" s="39">
        <v>-3.48</v>
      </c>
      <c r="AF25" s="39">
        <v>-1.59</v>
      </c>
      <c r="AG25" s="39">
        <v>-4</v>
      </c>
    </row>
    <row r="26" spans="1:33" ht="15.75" customHeight="1" x14ac:dyDescent="0.2">
      <c r="A26" s="14" t="s">
        <v>67</v>
      </c>
      <c r="B26" s="14" t="s">
        <v>849</v>
      </c>
      <c r="C26" s="15">
        <f t="shared" si="1"/>
        <v>7.17</v>
      </c>
      <c r="D26" s="16">
        <v>8</v>
      </c>
      <c r="E26" s="16">
        <v>0</v>
      </c>
      <c r="F26" s="17">
        <v>57.36</v>
      </c>
      <c r="G26" s="17">
        <v>-17.190000000000001</v>
      </c>
      <c r="H26" s="31">
        <f t="shared" si="2"/>
        <v>0.29968619246861927</v>
      </c>
      <c r="I26" s="31">
        <f t="shared" si="3"/>
        <v>-0.18684565595459476</v>
      </c>
      <c r="J26" s="32">
        <f t="shared" si="4"/>
        <v>-10.717466825555556</v>
      </c>
      <c r="K26" s="32">
        <f t="shared" si="5"/>
        <v>-1.3396833531944445</v>
      </c>
      <c r="L26" s="16">
        <v>8</v>
      </c>
      <c r="M26" s="33">
        <f t="shared" si="6"/>
        <v>1</v>
      </c>
      <c r="N26" s="16">
        <v>174</v>
      </c>
      <c r="O26" s="34">
        <f t="shared" ref="O26:P26" si="17">D26/7</f>
        <v>1.1428571428571428</v>
      </c>
      <c r="P26" s="34">
        <f t="shared" si="17"/>
        <v>0</v>
      </c>
      <c r="Q26" s="29">
        <f t="shared" si="8"/>
        <v>152</v>
      </c>
      <c r="R26" s="29"/>
      <c r="S26" s="21">
        <v>0.21390374331550799</v>
      </c>
      <c r="T26" s="28">
        <v>400</v>
      </c>
      <c r="U26" s="36" t="s">
        <v>33</v>
      </c>
      <c r="V26" s="37" t="s">
        <v>33</v>
      </c>
      <c r="W26" s="14">
        <v>2</v>
      </c>
      <c r="X26" s="38">
        <f t="shared" si="9"/>
        <v>0.25</v>
      </c>
      <c r="Y26" s="39">
        <f t="shared" si="10"/>
        <v>5.73</v>
      </c>
      <c r="Z26" s="14">
        <v>1</v>
      </c>
      <c r="AA26" s="28" t="s">
        <v>34</v>
      </c>
      <c r="AB26" s="40">
        <f t="shared" si="11"/>
        <v>-0.69</v>
      </c>
      <c r="AC26" s="41">
        <v>3.5265835648148142E-2</v>
      </c>
      <c r="AD26" s="39">
        <f t="shared" si="12"/>
        <v>-0.38933482555555543</v>
      </c>
      <c r="AE26" s="25">
        <v>-3.64</v>
      </c>
      <c r="AF26" s="25">
        <v>-1.5967665</v>
      </c>
      <c r="AG26" s="25">
        <v>0</v>
      </c>
    </row>
    <row r="27" spans="1:33" ht="15.75" customHeight="1" x14ac:dyDescent="0.2">
      <c r="A27" s="14" t="s">
        <v>69</v>
      </c>
      <c r="B27" s="14" t="s">
        <v>316</v>
      </c>
      <c r="C27" s="15">
        <f t="shared" si="1"/>
        <v>6.9899999999999993</v>
      </c>
      <c r="D27" s="16">
        <v>24</v>
      </c>
      <c r="E27" s="16">
        <v>0</v>
      </c>
      <c r="F27" s="17">
        <v>167.76</v>
      </c>
      <c r="G27" s="17">
        <v>-84.58</v>
      </c>
      <c r="H27" s="31">
        <f t="shared" si="2"/>
        <v>0.50417262756318548</v>
      </c>
      <c r="I27" s="31">
        <f t="shared" si="3"/>
        <v>-0.4639628068470833</v>
      </c>
      <c r="J27" s="32">
        <f t="shared" si="4"/>
        <v>-77.834400476666687</v>
      </c>
      <c r="K27" s="32">
        <f t="shared" si="5"/>
        <v>-3.243100019861112</v>
      </c>
      <c r="L27" s="16">
        <v>33</v>
      </c>
      <c r="M27" s="33">
        <f t="shared" si="6"/>
        <v>0.72727272727272729</v>
      </c>
      <c r="N27" s="16">
        <v>151</v>
      </c>
      <c r="O27" s="34">
        <f t="shared" ref="O27:P27" si="18">D27/7</f>
        <v>3.4285714285714284</v>
      </c>
      <c r="P27" s="34">
        <f t="shared" si="18"/>
        <v>0</v>
      </c>
      <c r="Q27" s="29">
        <f t="shared" si="8"/>
        <v>44</v>
      </c>
      <c r="R27" s="29"/>
      <c r="S27" s="21">
        <v>0.5191740412979351</v>
      </c>
      <c r="T27" s="28">
        <v>400</v>
      </c>
      <c r="U27" s="36" t="s">
        <v>33</v>
      </c>
      <c r="V27" s="37" t="s">
        <v>33</v>
      </c>
      <c r="W27" s="14">
        <v>12</v>
      </c>
      <c r="X27" s="38">
        <f t="shared" si="9"/>
        <v>0.5</v>
      </c>
      <c r="Y27" s="39">
        <f t="shared" si="10"/>
        <v>6.506153846153846</v>
      </c>
      <c r="Z27" s="14">
        <v>1</v>
      </c>
      <c r="AA27" s="28" t="s">
        <v>34</v>
      </c>
      <c r="AB27" s="40">
        <f t="shared" si="11"/>
        <v>-0.69</v>
      </c>
      <c r="AC27" s="41">
        <v>3.5265835648148142E-2</v>
      </c>
      <c r="AD27" s="39">
        <f t="shared" si="12"/>
        <v>-1.1680044766666664</v>
      </c>
      <c r="AE27" s="25">
        <v>-3.64</v>
      </c>
      <c r="AF27" s="25">
        <v>-1.5967665</v>
      </c>
      <c r="AG27" s="25">
        <v>-9</v>
      </c>
    </row>
    <row r="28" spans="1:33" ht="15.75" customHeight="1" x14ac:dyDescent="0.2">
      <c r="A28" s="14" t="s">
        <v>71</v>
      </c>
      <c r="B28" s="14" t="s">
        <v>82</v>
      </c>
      <c r="C28" s="15">
        <f t="shared" si="1"/>
        <v>6.99</v>
      </c>
      <c r="D28" s="16">
        <v>20</v>
      </c>
      <c r="E28" s="16">
        <v>0</v>
      </c>
      <c r="F28" s="17">
        <v>139.80000000000001</v>
      </c>
      <c r="G28" s="17">
        <v>-57.01</v>
      </c>
      <c r="H28" s="31">
        <f t="shared" si="2"/>
        <v>0.40779685264663801</v>
      </c>
      <c r="I28" s="31">
        <f t="shared" si="3"/>
        <v>-0.31393896326100768</v>
      </c>
      <c r="J28" s="32">
        <f t="shared" si="4"/>
        <v>-43.888667063888875</v>
      </c>
      <c r="K28" s="32">
        <f t="shared" si="5"/>
        <v>-2.1944333531944435</v>
      </c>
      <c r="L28" s="16">
        <v>26</v>
      </c>
      <c r="M28" s="33">
        <f t="shared" si="6"/>
        <v>0.76923076923076927</v>
      </c>
      <c r="N28" s="16">
        <v>134</v>
      </c>
      <c r="O28" s="34">
        <f t="shared" ref="O28:P28" si="19">D28/7</f>
        <v>2.8571428571428572</v>
      </c>
      <c r="P28" s="34">
        <f t="shared" si="19"/>
        <v>0</v>
      </c>
      <c r="Q28" s="29">
        <f t="shared" si="8"/>
        <v>46</v>
      </c>
      <c r="R28" s="29"/>
      <c r="S28" s="21">
        <v>0.76543209876543206</v>
      </c>
      <c r="T28" s="28">
        <v>400</v>
      </c>
      <c r="U28" s="36" t="s">
        <v>33</v>
      </c>
      <c r="V28" s="37" t="s">
        <v>33</v>
      </c>
      <c r="W28" s="14">
        <v>9</v>
      </c>
      <c r="X28" s="38">
        <f t="shared" si="9"/>
        <v>0.45</v>
      </c>
      <c r="Y28" s="39">
        <f t="shared" si="10"/>
        <v>5.1827272727272726</v>
      </c>
      <c r="Z28" s="14">
        <v>2</v>
      </c>
      <c r="AA28" s="28" t="s">
        <v>34</v>
      </c>
      <c r="AB28" s="40">
        <f t="shared" si="11"/>
        <v>-0.69</v>
      </c>
      <c r="AC28" s="41">
        <v>3.5265835648148142E-2</v>
      </c>
      <c r="AD28" s="39">
        <f t="shared" si="12"/>
        <v>-0.97333706388888852</v>
      </c>
      <c r="AE28" s="25">
        <v>-3.64</v>
      </c>
      <c r="AF28" s="25">
        <v>-1.5967665</v>
      </c>
      <c r="AG28" s="25">
        <v>0</v>
      </c>
    </row>
    <row r="29" spans="1:33" ht="15.75" customHeight="1" x14ac:dyDescent="0.2">
      <c r="A29" s="28" t="s">
        <v>72</v>
      </c>
      <c r="B29" s="28" t="s">
        <v>441</v>
      </c>
      <c r="C29" s="15">
        <f t="shared" si="1"/>
        <v>6.99</v>
      </c>
      <c r="D29" s="29">
        <v>13</v>
      </c>
      <c r="E29" s="29">
        <v>0</v>
      </c>
      <c r="F29" s="32">
        <v>90.87</v>
      </c>
      <c r="G29" s="32">
        <v>-29.5</v>
      </c>
      <c r="H29" s="31">
        <f t="shared" si="2"/>
        <v>0.32463959502586109</v>
      </c>
      <c r="I29" s="31">
        <f t="shared" si="3"/>
        <v>-0.23078170564023076</v>
      </c>
      <c r="J29" s="32">
        <f t="shared" si="4"/>
        <v>-20.971133591527771</v>
      </c>
      <c r="K29" s="32">
        <f t="shared" si="5"/>
        <v>-1.6131641224252131</v>
      </c>
      <c r="L29" s="29">
        <v>19</v>
      </c>
      <c r="M29" s="33">
        <f t="shared" si="6"/>
        <v>0.68421052631578949</v>
      </c>
      <c r="N29" s="16">
        <v>120</v>
      </c>
      <c r="O29" s="34">
        <f t="shared" ref="O29:P29" si="20">D29/7</f>
        <v>1.8571428571428572</v>
      </c>
      <c r="P29" s="34">
        <f t="shared" si="20"/>
        <v>0</v>
      </c>
      <c r="Q29" s="29">
        <f t="shared" si="8"/>
        <v>64</v>
      </c>
      <c r="R29" s="29"/>
      <c r="S29" s="21">
        <v>0.57925636007827785</v>
      </c>
      <c r="T29" s="28">
        <v>400</v>
      </c>
      <c r="U29" s="36" t="s">
        <v>33</v>
      </c>
      <c r="V29" s="37" t="s">
        <v>33</v>
      </c>
      <c r="W29" s="14">
        <v>4</v>
      </c>
      <c r="X29" s="38">
        <f t="shared" si="9"/>
        <v>0.30769230769230771</v>
      </c>
      <c r="Y29" s="39">
        <f t="shared" si="10"/>
        <v>4.916666666666667</v>
      </c>
      <c r="Z29" s="14">
        <v>2</v>
      </c>
      <c r="AA29" s="28" t="s">
        <v>34</v>
      </c>
      <c r="AB29" s="40">
        <f t="shared" si="11"/>
        <v>-0.69</v>
      </c>
      <c r="AC29" s="41">
        <v>3.5265835648148142E-2</v>
      </c>
      <c r="AD29" s="39">
        <f t="shared" si="12"/>
        <v>-0.63266909152777762</v>
      </c>
      <c r="AE29" s="39">
        <v>-3.64</v>
      </c>
      <c r="AF29" s="25">
        <v>-1.5967665</v>
      </c>
      <c r="AG29" s="39">
        <v>0</v>
      </c>
    </row>
    <row r="30" spans="1:33" ht="15.75" customHeight="1" x14ac:dyDescent="0.2">
      <c r="A30" s="14" t="s">
        <v>74</v>
      </c>
      <c r="B30" s="14" t="s">
        <v>47</v>
      </c>
      <c r="C30" s="15">
        <f t="shared" si="1"/>
        <v>6.99</v>
      </c>
      <c r="D30" s="16">
        <v>28</v>
      </c>
      <c r="E30" s="16">
        <v>0</v>
      </c>
      <c r="F30" s="17">
        <v>195.72</v>
      </c>
      <c r="G30" s="17">
        <v>-3.31</v>
      </c>
      <c r="H30" s="31">
        <f t="shared" si="2"/>
        <v>1.691191498058451E-2</v>
      </c>
      <c r="I30" s="31">
        <f t="shared" si="3"/>
        <v>7.5053959529074912E-2</v>
      </c>
      <c r="J30" s="32">
        <f t="shared" si="4"/>
        <v>14.689560959030542</v>
      </c>
      <c r="K30" s="32">
        <f t="shared" si="5"/>
        <v>0.5246271771082337</v>
      </c>
      <c r="L30" s="16">
        <v>9</v>
      </c>
      <c r="M30" s="33">
        <f t="shared" si="6"/>
        <v>3.1111111111111112</v>
      </c>
      <c r="N30" s="16">
        <v>90</v>
      </c>
      <c r="O30" s="34">
        <f t="shared" ref="O30:P30" si="21">D30/7</f>
        <v>4</v>
      </c>
      <c r="P30" s="34">
        <f t="shared" si="21"/>
        <v>0</v>
      </c>
      <c r="Q30" s="29">
        <f t="shared" si="8"/>
        <v>22</v>
      </c>
      <c r="R30" s="29"/>
      <c r="S30" s="21">
        <v>0.70061099796334014</v>
      </c>
      <c r="T30" s="28">
        <v>400</v>
      </c>
      <c r="U30" s="36" t="s">
        <v>33</v>
      </c>
      <c r="V30" s="37" t="s">
        <v>33</v>
      </c>
      <c r="W30" s="14">
        <v>1</v>
      </c>
      <c r="X30" s="38">
        <f t="shared" si="9"/>
        <v>3.5714285714285712E-2</v>
      </c>
      <c r="Y30" s="39">
        <f t="shared" si="10"/>
        <v>3.31</v>
      </c>
      <c r="Z30" s="14">
        <v>0</v>
      </c>
      <c r="AA30" s="28" t="s">
        <v>34</v>
      </c>
      <c r="AB30" s="40">
        <f t="shared" si="11"/>
        <v>-0.69</v>
      </c>
      <c r="AC30" s="41">
        <v>3.5265835648148142E-2</v>
      </c>
      <c r="AD30" s="39">
        <f t="shared" si="12"/>
        <v>-1.3626718894444441</v>
      </c>
      <c r="AE30" s="25">
        <v>-3.64</v>
      </c>
      <c r="AF30" s="25">
        <v>-1.5742773982687499</v>
      </c>
      <c r="AG30" s="25">
        <v>-1</v>
      </c>
    </row>
    <row r="31" spans="1:33" ht="15.75" customHeight="1" x14ac:dyDescent="0.2">
      <c r="A31" s="14" t="s">
        <v>75</v>
      </c>
      <c r="B31" s="48" t="s">
        <v>167</v>
      </c>
      <c r="C31" s="15">
        <f t="shared" si="1"/>
        <v>6.9900000000000011</v>
      </c>
      <c r="D31" s="16">
        <v>7</v>
      </c>
      <c r="E31" s="16">
        <v>0</v>
      </c>
      <c r="F31" s="17">
        <v>48.930000000000007</v>
      </c>
      <c r="G31" s="42">
        <v>0</v>
      </c>
      <c r="H31" s="31">
        <f t="shared" si="2"/>
        <v>0</v>
      </c>
      <c r="I31" s="31">
        <f t="shared" si="3"/>
        <v>9.7075214382947944E-2</v>
      </c>
      <c r="J31" s="32">
        <f t="shared" si="4"/>
        <v>4.7498902397576437</v>
      </c>
      <c r="K31" s="32">
        <f t="shared" si="5"/>
        <v>0.67855574853680622</v>
      </c>
      <c r="L31" s="16">
        <v>9</v>
      </c>
      <c r="M31" s="33">
        <f t="shared" si="6"/>
        <v>0.77777777777777779</v>
      </c>
      <c r="N31" s="16">
        <v>83</v>
      </c>
      <c r="O31" s="34">
        <f t="shared" ref="O31:P32" si="22">D31/7</f>
        <v>1</v>
      </c>
      <c r="P31" s="34">
        <f t="shared" si="22"/>
        <v>0</v>
      </c>
      <c r="Q31" s="29">
        <f t="shared" si="8"/>
        <v>83</v>
      </c>
      <c r="R31" s="29"/>
      <c r="S31" s="21">
        <v>1.02517162471395</v>
      </c>
      <c r="T31" s="14" t="s">
        <v>33</v>
      </c>
      <c r="U31" s="22" t="s">
        <v>33</v>
      </c>
      <c r="V31" s="1" t="s">
        <v>936</v>
      </c>
      <c r="W31" s="14">
        <v>0</v>
      </c>
      <c r="X31" s="38">
        <f t="shared" si="9"/>
        <v>0</v>
      </c>
      <c r="Y31" s="39">
        <f t="shared" si="10"/>
        <v>0</v>
      </c>
      <c r="Z31" s="14">
        <v>0</v>
      </c>
      <c r="AA31" s="14" t="s">
        <v>34</v>
      </c>
      <c r="AB31" s="40">
        <f t="shared" si="11"/>
        <v>-0.69</v>
      </c>
      <c r="AC31" s="27">
        <v>3.5265835648148142E-2</v>
      </c>
      <c r="AD31" s="39">
        <f t="shared" si="12"/>
        <v>-0.34066797236111102</v>
      </c>
      <c r="AE31" s="43">
        <v>-3.64</v>
      </c>
      <c r="AF31" s="43">
        <v>-1.5742773982687501</v>
      </c>
      <c r="AG31" s="25">
        <v>0</v>
      </c>
    </row>
    <row r="32" spans="1:33" s="51" customFormat="1" ht="15.75" customHeight="1" x14ac:dyDescent="0.2">
      <c r="A32" s="51" t="s">
        <v>934</v>
      </c>
      <c r="C32" s="15">
        <f t="shared" si="1"/>
        <v>6.99</v>
      </c>
      <c r="D32" s="52">
        <v>11</v>
      </c>
      <c r="E32" s="52">
        <v>1</v>
      </c>
      <c r="F32" s="53">
        <v>76.89</v>
      </c>
      <c r="G32" s="53">
        <v>-19.739999999999998</v>
      </c>
      <c r="H32" s="31">
        <f t="shared" si="2"/>
        <v>0.25673039406944986</v>
      </c>
      <c r="I32" s="31">
        <f t="shared" si="3"/>
        <v>-0.15965517968650197</v>
      </c>
      <c r="J32" s="32">
        <f t="shared" si="4"/>
        <v>-12.275886766095137</v>
      </c>
      <c r="K32" s="32">
        <f t="shared" si="5"/>
        <v>-1.1159897060086488</v>
      </c>
      <c r="L32" s="52">
        <v>14</v>
      </c>
      <c r="M32" s="33">
        <f t="shared" si="6"/>
        <v>0.7857142857142857</v>
      </c>
      <c r="N32" s="52">
        <v>71</v>
      </c>
      <c r="O32" s="34">
        <f t="shared" si="22"/>
        <v>1.5714285714285714</v>
      </c>
      <c r="P32" s="34">
        <f t="shared" si="22"/>
        <v>0.14285714285714285</v>
      </c>
      <c r="Q32" s="29">
        <f t="shared" si="8"/>
        <v>41</v>
      </c>
      <c r="R32" s="29" t="str">
        <f ca="1">IFERROR(VLOOKUP($B$2,IMPORTRANGE("https://docs.google.com/spreadsheets/d/1KiWZV1ko8G7lnRucBRBd29jj3Be6ltMfljMDqzOkQmI/edit#gid=1381463014","Lookup!A:F"),6,FALSE),"")</f>
        <v/>
      </c>
      <c r="S32" s="54">
        <v>1.1804878048780489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4</v>
      </c>
      <c r="X32" s="38">
        <f t="shared" si="9"/>
        <v>0.36363636363636365</v>
      </c>
      <c r="Y32" s="39">
        <f t="shared" si="10"/>
        <v>2.4674999999999998</v>
      </c>
      <c r="Z32" s="51">
        <v>4</v>
      </c>
      <c r="AA32" s="51" t="s">
        <v>34</v>
      </c>
      <c r="AB32" s="40">
        <f t="shared" si="11"/>
        <v>-0.69</v>
      </c>
      <c r="AC32" s="57">
        <v>3.5265835648148142E-2</v>
      </c>
      <c r="AD32" s="39">
        <f t="shared" si="12"/>
        <v>-0.53533538513888868</v>
      </c>
      <c r="AE32" s="58">
        <v>-3.64</v>
      </c>
      <c r="AF32" s="58">
        <v>-1.5742773982687499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Ft Power Cords for TV Computer or Monitor, 5 Pack - 18/3 Replacement Power Cables, Black")</f>
        <v>3 Ft Power Cords for TV Computer or Monitor, 5 Pack - 18/3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Info!B1:BJ5000""),2,FALSE),"""")"),"B08NLCX42D")</f>
        <v>B08NLCX42D</v>
      </c>
      <c r="B2" s="3" t="s">
        <v>859</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10.453757053731612</v>
      </c>
      <c r="D3" s="5">
        <f>SUM(D4:D99765)</f>
        <v>100</v>
      </c>
      <c r="E3" s="5"/>
      <c r="F3" s="6">
        <f t="shared" ref="F3:G3" si="0">SUM(F4:F99765)</f>
        <v>1305.27</v>
      </c>
      <c r="G3" s="6">
        <f t="shared" si="0"/>
        <v>-182.13000000000002</v>
      </c>
      <c r="H3" s="7">
        <f>G3/F3*-1</f>
        <v>0.13953434921510494</v>
      </c>
      <c r="I3" s="8">
        <f>J3/F3</f>
        <v>9.9204191409085797E-3</v>
      </c>
      <c r="J3" s="6">
        <f>SUM(J4:J99765)</f>
        <v>12.948825492053741</v>
      </c>
      <c r="K3" s="6">
        <f>J3/D3</f>
        <v>0.12948825492053742</v>
      </c>
      <c r="L3" s="5"/>
      <c r="M3" s="9"/>
      <c r="N3" s="10"/>
      <c r="O3" s="5" t="str">
        <f ca="1">IFERROR(__xludf.DUMMYFUNCTION("VLOOKUP(B2,IMPORTRANGE(""https://docs.google.com/spreadsheets/d/1N8jvpEHDVkurDv7NrPxwI3eH6hQsvtb1QltGNCalRjU/edit#gid=865736387"",""Compiled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17</v>
      </c>
      <c r="X3" s="7">
        <f>W3/D3</f>
        <v>0.17</v>
      </c>
      <c r="Y3" s="6"/>
      <c r="Z3" s="5"/>
      <c r="AA3" s="5"/>
      <c r="AB3" s="5"/>
      <c r="AC3" s="5"/>
      <c r="AD3" s="6">
        <f>SUM(AD4:AD99765)</f>
        <v>-14.545363555555552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Info!B2:BZ7000""),37,FALSE)),"""")*-1"),-3.93569349567187)</f>
        <v>-3.9356934956718699</v>
      </c>
      <c r="AG3" s="6">
        <f>SUM(AG4:AG99765)</f>
        <v>-8</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860</v>
      </c>
      <c r="C21" s="15">
        <f t="shared" ref="C21:C32" si="1">IFERROR(F21/D21," - ")</f>
        <v>17.989999999999998</v>
      </c>
      <c r="D21" s="29">
        <v>4</v>
      </c>
      <c r="E21" s="29">
        <v>0</v>
      </c>
      <c r="F21" s="32">
        <v>71.959999999999994</v>
      </c>
      <c r="G21" s="30">
        <v>-15.819999999999999</v>
      </c>
      <c r="H21" s="31">
        <f t="shared" ref="H21:H32" si="2">G21/F21*-1</f>
        <v>0.21984435797665369</v>
      </c>
      <c r="I21" s="31">
        <f t="shared" ref="I21:I32" si="3">J21/F21</f>
        <v>0.12860527317645587</v>
      </c>
      <c r="J21" s="32">
        <f t="shared" ref="J21:J32" si="4">F21*0.85+G21+AF21*D21+D21*AE21+AG21+AD21</f>
        <v>9.2544354577777632</v>
      </c>
      <c r="K21" s="32">
        <f t="shared" ref="K21:K32" si="5">J21/D21</f>
        <v>2.3136088644444408</v>
      </c>
      <c r="L21" s="29">
        <v>1</v>
      </c>
      <c r="M21" s="33">
        <f t="shared" ref="M21:M32" si="6">IFERROR(D21/L21,"-")</f>
        <v>4</v>
      </c>
      <c r="N21" s="29">
        <v>98</v>
      </c>
      <c r="O21" s="34">
        <f t="shared" ref="O21:P21" si="7">D21/7</f>
        <v>0.5714285714285714</v>
      </c>
      <c r="P21" s="34">
        <f t="shared" si="7"/>
        <v>0</v>
      </c>
      <c r="Q21" s="29">
        <f t="shared" ref="Q21:Q32" si="8">ROUNDDOWN(N21/(O21+P21),0)</f>
        <v>171</v>
      </c>
      <c r="R21" s="29"/>
      <c r="S21" s="35">
        <v>0</v>
      </c>
      <c r="T21" s="28">
        <v>200</v>
      </c>
      <c r="U21" s="36" t="s">
        <v>33</v>
      </c>
      <c r="V21" s="37" t="s">
        <v>33</v>
      </c>
      <c r="W21" s="28">
        <v>1</v>
      </c>
      <c r="X21" s="38">
        <f t="shared" ref="X21:X32" si="9">IFERROR(W21/D21,0)</f>
        <v>0.25</v>
      </c>
      <c r="Y21" s="39">
        <f t="shared" ref="Y21:Y32" si="10">IFERROR(G21/(W21+Z21)*-1,0)</f>
        <v>3.9549999999999996</v>
      </c>
      <c r="Z21" s="28">
        <v>3</v>
      </c>
      <c r="AA21" s="28" t="s">
        <v>34</v>
      </c>
      <c r="AB21" s="40">
        <f t="shared" ref="AB21:AB32" si="11">IF(OR(AA21="UsLargeStandardSize",AA21="UsSmallStandardSize"),-0.69,-0.48)</f>
        <v>-0.69</v>
      </c>
      <c r="AC21" s="41">
        <v>0.10540118518518517</v>
      </c>
      <c r="AD21" s="39">
        <f t="shared" ref="AD21:AD32" si="12">IFERROR(AB21*AC21*D21*2,0)</f>
        <v>-0.58181454222222206</v>
      </c>
      <c r="AE21" s="39">
        <v>-4.9000000000000004</v>
      </c>
      <c r="AF21" s="39">
        <v>-3.9774375000000006</v>
      </c>
      <c r="AG21" s="39">
        <v>0</v>
      </c>
    </row>
    <row r="22" spans="1:33" ht="15.75" customHeight="1" x14ac:dyDescent="0.2">
      <c r="A22" s="28" t="s">
        <v>60</v>
      </c>
      <c r="B22" s="28" t="s">
        <v>861</v>
      </c>
      <c r="C22" s="15">
        <f t="shared" si="1"/>
        <v>17.989999999999998</v>
      </c>
      <c r="D22" s="29">
        <v>3</v>
      </c>
      <c r="E22" s="29">
        <v>0</v>
      </c>
      <c r="F22" s="30">
        <v>53.97</v>
      </c>
      <c r="G22" s="30">
        <v>-39.25</v>
      </c>
      <c r="H22" s="31">
        <f t="shared" si="2"/>
        <v>0.72725588289790621</v>
      </c>
      <c r="I22" s="31">
        <f t="shared" si="3"/>
        <v>-0.37880625174479665</v>
      </c>
      <c r="J22" s="32">
        <f t="shared" si="4"/>
        <v>-20.444173406666675</v>
      </c>
      <c r="K22" s="32">
        <f t="shared" si="5"/>
        <v>-6.8147244688888913</v>
      </c>
      <c r="L22" s="29">
        <v>16</v>
      </c>
      <c r="M22" s="33">
        <f t="shared" si="6"/>
        <v>0.1875</v>
      </c>
      <c r="N22" s="29">
        <v>92</v>
      </c>
      <c r="O22" s="34">
        <f t="shared" ref="O22:P22" si="13">D22/7</f>
        <v>0.42857142857142855</v>
      </c>
      <c r="P22" s="34">
        <f t="shared" si="13"/>
        <v>0</v>
      </c>
      <c r="Q22" s="29">
        <f t="shared" si="8"/>
        <v>214</v>
      </c>
      <c r="R22" s="29"/>
      <c r="S22" s="35">
        <v>0.30107526881720398</v>
      </c>
      <c r="T22" s="28">
        <v>200</v>
      </c>
      <c r="U22" s="36" t="s">
        <v>33</v>
      </c>
      <c r="V22" s="37" t="s">
        <v>33</v>
      </c>
      <c r="W22" s="28">
        <v>2</v>
      </c>
      <c r="X22" s="38">
        <f t="shared" si="9"/>
        <v>0.66666666666666663</v>
      </c>
      <c r="Y22" s="39">
        <f t="shared" si="10"/>
        <v>3.9249999999999998</v>
      </c>
      <c r="Z22" s="28">
        <v>8</v>
      </c>
      <c r="AA22" s="28" t="s">
        <v>34</v>
      </c>
      <c r="AB22" s="40">
        <f t="shared" si="11"/>
        <v>-0.69</v>
      </c>
      <c r="AC22" s="41">
        <v>0.10540118518518517</v>
      </c>
      <c r="AD22" s="39">
        <f t="shared" si="12"/>
        <v>-0.43636090666666655</v>
      </c>
      <c r="AE22" s="39">
        <v>-4.9000000000000004</v>
      </c>
      <c r="AF22" s="39">
        <v>-3.9774375000000006</v>
      </c>
      <c r="AG22" s="39">
        <v>0</v>
      </c>
    </row>
    <row r="23" spans="1:33" ht="15.75" customHeight="1" x14ac:dyDescent="0.2">
      <c r="A23" s="28" t="s">
        <v>62</v>
      </c>
      <c r="B23" s="28" t="s">
        <v>862</v>
      </c>
      <c r="C23" s="15">
        <f t="shared" si="1"/>
        <v>14.895714285714282</v>
      </c>
      <c r="D23" s="29">
        <v>7</v>
      </c>
      <c r="E23" s="29">
        <v>0</v>
      </c>
      <c r="F23" s="32">
        <v>104.26999999999998</v>
      </c>
      <c r="G23" s="30">
        <v>-13.86</v>
      </c>
      <c r="H23" s="31">
        <f t="shared" si="2"/>
        <v>0.13292413925386018</v>
      </c>
      <c r="I23" s="31">
        <f t="shared" si="3"/>
        <v>0.11133846793047937</v>
      </c>
      <c r="J23" s="32">
        <f t="shared" si="4"/>
        <v>11.609262051111083</v>
      </c>
      <c r="K23" s="32">
        <f t="shared" si="5"/>
        <v>1.6584660073015833</v>
      </c>
      <c r="L23" s="29">
        <v>12</v>
      </c>
      <c r="M23" s="33">
        <f t="shared" si="6"/>
        <v>0.58333333333333337</v>
      </c>
      <c r="N23" s="29">
        <v>84</v>
      </c>
      <c r="O23" s="34">
        <f t="shared" ref="O23:P23" si="14">D23/7</f>
        <v>1</v>
      </c>
      <c r="P23" s="34">
        <f t="shared" si="14"/>
        <v>0</v>
      </c>
      <c r="Q23" s="29">
        <f t="shared" si="8"/>
        <v>84</v>
      </c>
      <c r="R23" s="29"/>
      <c r="S23" s="35">
        <v>0.476190476190476</v>
      </c>
      <c r="T23" s="28">
        <v>200</v>
      </c>
      <c r="U23" s="36" t="s">
        <v>33</v>
      </c>
      <c r="V23" s="37" t="s">
        <v>33</v>
      </c>
      <c r="W23" s="28">
        <v>2</v>
      </c>
      <c r="X23" s="38">
        <f t="shared" si="9"/>
        <v>0.2857142857142857</v>
      </c>
      <c r="Y23" s="39">
        <f t="shared" si="10"/>
        <v>4.62</v>
      </c>
      <c r="Z23" s="28">
        <v>1</v>
      </c>
      <c r="AA23" s="28" t="s">
        <v>34</v>
      </c>
      <c r="AB23" s="40">
        <f t="shared" si="11"/>
        <v>-0.69</v>
      </c>
      <c r="AC23" s="41">
        <v>0.10540118518518517</v>
      </c>
      <c r="AD23" s="39">
        <f t="shared" si="12"/>
        <v>-1.0181754488888886</v>
      </c>
      <c r="AE23" s="39">
        <v>-4.9000000000000004</v>
      </c>
      <c r="AF23" s="39">
        <v>-3.9774375000000006</v>
      </c>
      <c r="AG23" s="39">
        <v>0</v>
      </c>
    </row>
    <row r="24" spans="1:33" ht="15.75" customHeight="1" x14ac:dyDescent="0.2">
      <c r="A24" s="28" t="s">
        <v>64</v>
      </c>
      <c r="B24" s="28" t="s">
        <v>863</v>
      </c>
      <c r="C24" s="15">
        <f t="shared" si="1"/>
        <v>13.51</v>
      </c>
      <c r="D24" s="29">
        <v>4</v>
      </c>
      <c r="E24" s="29">
        <v>0</v>
      </c>
      <c r="F24" s="32">
        <v>54.04</v>
      </c>
      <c r="G24" s="32">
        <v>-10.55</v>
      </c>
      <c r="H24" s="31">
        <f t="shared" si="2"/>
        <v>0.1952257586972613</v>
      </c>
      <c r="I24" s="31">
        <f t="shared" si="3"/>
        <v>-1.3093348301669609E-2</v>
      </c>
      <c r="J24" s="32">
        <f t="shared" si="4"/>
        <v>-0.70756454222222565</v>
      </c>
      <c r="K24" s="32">
        <f t="shared" si="5"/>
        <v>-0.17689113555555641</v>
      </c>
      <c r="L24" s="29">
        <v>6</v>
      </c>
      <c r="M24" s="33">
        <f t="shared" si="6"/>
        <v>0.66666666666666663</v>
      </c>
      <c r="N24" s="29">
        <v>82</v>
      </c>
      <c r="O24" s="34">
        <f t="shared" ref="O24:P24" si="15">D24/7</f>
        <v>0.5714285714285714</v>
      </c>
      <c r="P24" s="34">
        <f t="shared" si="15"/>
        <v>0</v>
      </c>
      <c r="Q24" s="29">
        <f t="shared" si="8"/>
        <v>143</v>
      </c>
      <c r="R24" s="29"/>
      <c r="S24" s="35">
        <v>0.69767441860465096</v>
      </c>
      <c r="T24" s="28">
        <v>200</v>
      </c>
      <c r="U24" s="36" t="s">
        <v>33</v>
      </c>
      <c r="V24" s="37" t="s">
        <v>33</v>
      </c>
      <c r="W24" s="28">
        <v>3</v>
      </c>
      <c r="X24" s="38">
        <f t="shared" si="9"/>
        <v>0.75</v>
      </c>
      <c r="Y24" s="39">
        <f t="shared" si="10"/>
        <v>3.5166666666666671</v>
      </c>
      <c r="Z24" s="28">
        <v>0</v>
      </c>
      <c r="AA24" s="28" t="s">
        <v>34</v>
      </c>
      <c r="AB24" s="40">
        <f t="shared" si="11"/>
        <v>-0.69</v>
      </c>
      <c r="AC24" s="41">
        <v>0.10540118518518517</v>
      </c>
      <c r="AD24" s="39">
        <f t="shared" si="12"/>
        <v>-0.58181454222222206</v>
      </c>
      <c r="AE24" s="39">
        <v>-4.9000000000000004</v>
      </c>
      <c r="AF24" s="39">
        <v>-3.9774375000000006</v>
      </c>
      <c r="AG24" s="39">
        <v>0</v>
      </c>
    </row>
    <row r="25" spans="1:33" ht="15.75" customHeight="1" x14ac:dyDescent="0.2">
      <c r="A25" s="28" t="s">
        <v>65</v>
      </c>
      <c r="B25" s="14" t="s">
        <v>864</v>
      </c>
      <c r="C25" s="15">
        <f t="shared" si="1"/>
        <v>11.214444444444446</v>
      </c>
      <c r="D25" s="29">
        <v>9</v>
      </c>
      <c r="E25" s="29">
        <v>0</v>
      </c>
      <c r="F25" s="32">
        <v>100.93</v>
      </c>
      <c r="G25" s="32">
        <v>-38.1</v>
      </c>
      <c r="H25" s="31">
        <f t="shared" si="2"/>
        <v>0.37748934905379966</v>
      </c>
      <c r="I25" s="31">
        <f t="shared" si="3"/>
        <v>-0.33229547924303965</v>
      </c>
      <c r="J25" s="32">
        <f t="shared" si="4"/>
        <v>-33.538582719999994</v>
      </c>
      <c r="K25" s="32">
        <f t="shared" si="5"/>
        <v>-3.7265091911111106</v>
      </c>
      <c r="L25" s="29">
        <v>14</v>
      </c>
      <c r="M25" s="33">
        <f t="shared" si="6"/>
        <v>0.6428571428571429</v>
      </c>
      <c r="N25" s="29">
        <v>74</v>
      </c>
      <c r="O25" s="34">
        <f t="shared" ref="O25:P25" si="16">D25/7</f>
        <v>1.2857142857142858</v>
      </c>
      <c r="P25" s="34">
        <f t="shared" si="16"/>
        <v>0</v>
      </c>
      <c r="Q25" s="29">
        <f t="shared" si="8"/>
        <v>57</v>
      </c>
      <c r="R25" s="29"/>
      <c r="S25" s="35">
        <v>0.5423728813559322</v>
      </c>
      <c r="T25" s="28">
        <v>200</v>
      </c>
      <c r="U25" s="36" t="s">
        <v>33</v>
      </c>
      <c r="V25" s="37" t="s">
        <v>33</v>
      </c>
      <c r="W25" s="14">
        <v>3</v>
      </c>
      <c r="X25" s="38">
        <f t="shared" si="9"/>
        <v>0.33333333333333331</v>
      </c>
      <c r="Y25" s="39">
        <f t="shared" si="10"/>
        <v>7.62</v>
      </c>
      <c r="Z25" s="14">
        <v>2</v>
      </c>
      <c r="AA25" s="28" t="s">
        <v>34</v>
      </c>
      <c r="AB25" s="40">
        <f t="shared" si="11"/>
        <v>-0.69</v>
      </c>
      <c r="AC25" s="41">
        <v>0.10540118518518517</v>
      </c>
      <c r="AD25" s="39">
        <f t="shared" si="12"/>
        <v>-1.3090827199999997</v>
      </c>
      <c r="AE25" s="39">
        <v>-4.9000000000000004</v>
      </c>
      <c r="AF25" s="39">
        <v>-3.98</v>
      </c>
      <c r="AG25" s="39">
        <v>0</v>
      </c>
    </row>
    <row r="26" spans="1:33" ht="15.75" customHeight="1" x14ac:dyDescent="0.2">
      <c r="A26" s="14" t="s">
        <v>67</v>
      </c>
      <c r="B26" s="14" t="s">
        <v>865</v>
      </c>
      <c r="C26" s="15">
        <f t="shared" si="1"/>
        <v>10.95</v>
      </c>
      <c r="D26" s="16">
        <v>1</v>
      </c>
      <c r="E26" s="16">
        <v>0</v>
      </c>
      <c r="F26" s="17">
        <v>10.95</v>
      </c>
      <c r="G26" s="17">
        <v>-38.19</v>
      </c>
      <c r="H26" s="31">
        <f t="shared" si="2"/>
        <v>3.4876712328767123</v>
      </c>
      <c r="I26" s="31">
        <f t="shared" si="3"/>
        <v>-3.4675680260781334</v>
      </c>
      <c r="J26" s="32">
        <f t="shared" si="4"/>
        <v>-37.969869885555561</v>
      </c>
      <c r="K26" s="32">
        <f t="shared" si="5"/>
        <v>-37.969869885555561</v>
      </c>
      <c r="L26" s="16">
        <v>15</v>
      </c>
      <c r="M26" s="33">
        <f t="shared" si="6"/>
        <v>6.6666666666666666E-2</v>
      </c>
      <c r="N26" s="16">
        <v>73</v>
      </c>
      <c r="O26" s="34">
        <f t="shared" ref="O26:P26" si="17">D26/7</f>
        <v>0.14285714285714285</v>
      </c>
      <c r="P26" s="34">
        <f t="shared" si="17"/>
        <v>0</v>
      </c>
      <c r="Q26" s="29">
        <f t="shared" si="8"/>
        <v>511</v>
      </c>
      <c r="R26" s="29"/>
      <c r="S26" s="21">
        <v>0.63905325443786987</v>
      </c>
      <c r="T26" s="28">
        <v>200</v>
      </c>
      <c r="U26" s="36" t="s">
        <v>33</v>
      </c>
      <c r="V26" s="37" t="s">
        <v>33</v>
      </c>
      <c r="W26" s="14">
        <v>1</v>
      </c>
      <c r="X26" s="38">
        <f t="shared" si="9"/>
        <v>1</v>
      </c>
      <c r="Y26" s="39">
        <f t="shared" si="10"/>
        <v>7.6379999999999999</v>
      </c>
      <c r="Z26" s="14">
        <v>4</v>
      </c>
      <c r="AA26" s="28" t="s">
        <v>34</v>
      </c>
      <c r="AB26" s="40">
        <f t="shared" si="11"/>
        <v>-0.69</v>
      </c>
      <c r="AC26" s="41">
        <v>0.10540118518518517</v>
      </c>
      <c r="AD26" s="39">
        <f t="shared" si="12"/>
        <v>-0.14545363555555552</v>
      </c>
      <c r="AE26" s="25">
        <v>-4.95</v>
      </c>
      <c r="AF26" s="25">
        <v>-3.9919162500000001</v>
      </c>
      <c r="AG26" s="25">
        <v>0</v>
      </c>
    </row>
    <row r="27" spans="1:33" ht="15.75" customHeight="1" x14ac:dyDescent="0.2">
      <c r="A27" s="14" t="s">
        <v>69</v>
      </c>
      <c r="B27" s="14" t="s">
        <v>866</v>
      </c>
      <c r="C27" s="15">
        <f t="shared" si="1"/>
        <v>11.008947368421053</v>
      </c>
      <c r="D27" s="16">
        <v>19</v>
      </c>
      <c r="E27" s="16">
        <v>0</v>
      </c>
      <c r="F27" s="17">
        <v>209.17</v>
      </c>
      <c r="G27" s="17">
        <v>-21.64</v>
      </c>
      <c r="H27" s="31">
        <f t="shared" si="2"/>
        <v>0.1034565186212172</v>
      </c>
      <c r="I27" s="31">
        <f t="shared" si="3"/>
        <v>-0.10759443431445982</v>
      </c>
      <c r="J27" s="32">
        <f t="shared" si="4"/>
        <v>-22.505527825555561</v>
      </c>
      <c r="K27" s="32">
        <f t="shared" si="5"/>
        <v>-1.1845014645029242</v>
      </c>
      <c r="L27" s="16">
        <v>22</v>
      </c>
      <c r="M27" s="33">
        <f t="shared" si="6"/>
        <v>0.86363636363636365</v>
      </c>
      <c r="N27" s="16">
        <v>56</v>
      </c>
      <c r="O27" s="34">
        <f t="shared" ref="O27:P27" si="18">D27/7</f>
        <v>2.7142857142857144</v>
      </c>
      <c r="P27" s="34">
        <f t="shared" si="18"/>
        <v>0</v>
      </c>
      <c r="Q27" s="29">
        <f t="shared" si="8"/>
        <v>20</v>
      </c>
      <c r="R27" s="29"/>
      <c r="S27" s="21">
        <v>1.1111111111111109</v>
      </c>
      <c r="T27" s="28">
        <v>200</v>
      </c>
      <c r="U27" s="36" t="s">
        <v>33</v>
      </c>
      <c r="V27" s="37" t="s">
        <v>33</v>
      </c>
      <c r="W27" s="14">
        <v>3</v>
      </c>
      <c r="X27" s="38">
        <f t="shared" si="9"/>
        <v>0.15789473684210525</v>
      </c>
      <c r="Y27" s="39">
        <f t="shared" si="10"/>
        <v>2.7050000000000001</v>
      </c>
      <c r="Z27" s="14">
        <v>5</v>
      </c>
      <c r="AA27" s="28" t="s">
        <v>34</v>
      </c>
      <c r="AB27" s="40">
        <f t="shared" si="11"/>
        <v>-0.69</v>
      </c>
      <c r="AC27" s="41">
        <v>0.10540118518518517</v>
      </c>
      <c r="AD27" s="39">
        <f t="shared" si="12"/>
        <v>-2.763619075555555</v>
      </c>
      <c r="AE27" s="25">
        <v>-4.95</v>
      </c>
      <c r="AF27" s="25">
        <v>-3.9919162500000001</v>
      </c>
      <c r="AG27" s="25">
        <v>-6</v>
      </c>
    </row>
    <row r="28" spans="1:33" ht="15.75" customHeight="1" x14ac:dyDescent="0.2">
      <c r="A28" s="14" t="s">
        <v>71</v>
      </c>
      <c r="B28" s="14" t="s">
        <v>867</v>
      </c>
      <c r="C28" s="15">
        <f t="shared" si="1"/>
        <v>11.78</v>
      </c>
      <c r="D28" s="16">
        <v>29</v>
      </c>
      <c r="E28" s="16">
        <v>0</v>
      </c>
      <c r="F28" s="17">
        <v>341.62</v>
      </c>
      <c r="G28" s="17">
        <v>-4.72</v>
      </c>
      <c r="H28" s="31">
        <f t="shared" si="2"/>
        <v>1.3816521280955446E-2</v>
      </c>
      <c r="I28" s="31">
        <f t="shared" si="3"/>
        <v>6.4759889113309724E-2</v>
      </c>
      <c r="J28" s="32">
        <f t="shared" si="4"/>
        <v>22.123273318888867</v>
      </c>
      <c r="K28" s="32">
        <f t="shared" si="5"/>
        <v>0.76287149375478847</v>
      </c>
      <c r="L28" s="16">
        <v>24</v>
      </c>
      <c r="M28" s="33">
        <f t="shared" si="6"/>
        <v>1.2083333333333333</v>
      </c>
      <c r="N28" s="16">
        <v>26</v>
      </c>
      <c r="O28" s="34">
        <f t="shared" ref="O28:P28" si="19">D28/7</f>
        <v>4.1428571428571432</v>
      </c>
      <c r="P28" s="34">
        <f t="shared" si="19"/>
        <v>0</v>
      </c>
      <c r="Q28" s="29">
        <f t="shared" si="8"/>
        <v>6</v>
      </c>
      <c r="R28" s="29"/>
      <c r="S28" s="21">
        <v>2.358974358974359</v>
      </c>
      <c r="T28" s="28">
        <v>200</v>
      </c>
      <c r="U28" s="36" t="s">
        <v>33</v>
      </c>
      <c r="V28" s="37" t="s">
        <v>33</v>
      </c>
      <c r="W28" s="14">
        <v>2</v>
      </c>
      <c r="X28" s="38">
        <f t="shared" si="9"/>
        <v>6.8965517241379309E-2</v>
      </c>
      <c r="Y28" s="39">
        <f t="shared" si="10"/>
        <v>2.36</v>
      </c>
      <c r="Z28" s="14">
        <v>0</v>
      </c>
      <c r="AA28" s="28" t="s">
        <v>34</v>
      </c>
      <c r="AB28" s="40">
        <f t="shared" si="11"/>
        <v>-0.69</v>
      </c>
      <c r="AC28" s="41">
        <v>0.10540118518518517</v>
      </c>
      <c r="AD28" s="39">
        <f t="shared" si="12"/>
        <v>-4.2181554311111098</v>
      </c>
      <c r="AE28" s="25">
        <v>-4.95</v>
      </c>
      <c r="AF28" s="25">
        <v>-3.9919162500000001</v>
      </c>
      <c r="AG28" s="25">
        <v>0</v>
      </c>
    </row>
    <row r="29" spans="1:33" ht="15.75" customHeight="1" x14ac:dyDescent="0.2">
      <c r="A29" s="28" t="s">
        <v>72</v>
      </c>
      <c r="B29" s="28" t="s">
        <v>868</v>
      </c>
      <c r="C29" s="15">
        <f t="shared" si="1"/>
        <v>14.083076923076923</v>
      </c>
      <c r="D29" s="29">
        <v>13</v>
      </c>
      <c r="E29" s="29">
        <v>0</v>
      </c>
      <c r="F29" s="32">
        <v>183.08</v>
      </c>
      <c r="G29" s="32">
        <v>0</v>
      </c>
      <c r="H29" s="31">
        <f t="shared" si="2"/>
        <v>0</v>
      </c>
      <c r="I29" s="31">
        <f t="shared" si="3"/>
        <v>0.20473121852620577</v>
      </c>
      <c r="J29" s="32">
        <f t="shared" si="4"/>
        <v>37.482191487777754</v>
      </c>
      <c r="K29" s="32">
        <f t="shared" si="5"/>
        <v>2.8832454990598273</v>
      </c>
      <c r="L29" s="29">
        <v>15</v>
      </c>
      <c r="M29" s="33">
        <f t="shared" si="6"/>
        <v>0.8666666666666667</v>
      </c>
      <c r="N29" s="16">
        <v>11</v>
      </c>
      <c r="O29" s="34">
        <f t="shared" ref="O29:P29" si="20">D29/7</f>
        <v>1.8571428571428572</v>
      </c>
      <c r="P29" s="34">
        <f t="shared" si="20"/>
        <v>0</v>
      </c>
      <c r="Q29" s="29">
        <f t="shared" si="8"/>
        <v>5</v>
      </c>
      <c r="R29" s="29"/>
      <c r="S29" s="21">
        <v>1.6734693877551019</v>
      </c>
      <c r="T29" s="28">
        <v>200</v>
      </c>
      <c r="U29" s="36" t="s">
        <v>33</v>
      </c>
      <c r="V29" s="37" t="s">
        <v>33</v>
      </c>
      <c r="W29" s="14">
        <v>0</v>
      </c>
      <c r="X29" s="38">
        <f t="shared" si="9"/>
        <v>0</v>
      </c>
      <c r="Y29" s="39">
        <f t="shared" si="10"/>
        <v>0</v>
      </c>
      <c r="Z29" s="14">
        <v>0</v>
      </c>
      <c r="AA29" s="28" t="s">
        <v>34</v>
      </c>
      <c r="AB29" s="40">
        <f t="shared" si="11"/>
        <v>-0.69</v>
      </c>
      <c r="AC29" s="41">
        <v>0.10540118518518517</v>
      </c>
      <c r="AD29" s="39">
        <f t="shared" si="12"/>
        <v>-1.8908972622222218</v>
      </c>
      <c r="AE29" s="39">
        <v>-4.95</v>
      </c>
      <c r="AF29" s="25">
        <v>-3.9919162500000001</v>
      </c>
      <c r="AG29" s="39">
        <v>0</v>
      </c>
    </row>
    <row r="30" spans="1:33" ht="15.75" customHeight="1" x14ac:dyDescent="0.2">
      <c r="A30" s="14" t="s">
        <v>74</v>
      </c>
      <c r="B30" s="14" t="s">
        <v>82</v>
      </c>
      <c r="C30" s="15">
        <f t="shared" si="1"/>
        <v>15.422499999999999</v>
      </c>
      <c r="D30" s="16">
        <v>4</v>
      </c>
      <c r="E30" s="16">
        <v>0</v>
      </c>
      <c r="F30" s="17">
        <v>61.69</v>
      </c>
      <c r="G30" s="17">
        <v>0</v>
      </c>
      <c r="H30" s="31">
        <f t="shared" si="2"/>
        <v>0</v>
      </c>
      <c r="I30" s="31">
        <f t="shared" si="3"/>
        <v>0.23199726819728142</v>
      </c>
      <c r="J30" s="32">
        <f t="shared" si="4"/>
        <v>14.311911475090291</v>
      </c>
      <c r="K30" s="32">
        <f t="shared" si="5"/>
        <v>3.5779778687725727</v>
      </c>
      <c r="L30" s="16">
        <v>7</v>
      </c>
      <c r="M30" s="33">
        <f t="shared" si="6"/>
        <v>0.5714285714285714</v>
      </c>
      <c r="N30" s="16">
        <v>8</v>
      </c>
      <c r="O30" s="34">
        <f t="shared" ref="O30:P30" si="21">D30/7</f>
        <v>0.5714285714285714</v>
      </c>
      <c r="P30" s="34">
        <f t="shared" si="21"/>
        <v>0</v>
      </c>
      <c r="Q30" s="29">
        <f t="shared" si="8"/>
        <v>14</v>
      </c>
      <c r="R30" s="29"/>
      <c r="S30" s="21">
        <v>1.935483870967742</v>
      </c>
      <c r="T30" s="28">
        <v>200</v>
      </c>
      <c r="U30" s="36" t="s">
        <v>33</v>
      </c>
      <c r="V30" s="37" t="s">
        <v>33</v>
      </c>
      <c r="W30" s="14">
        <v>0</v>
      </c>
      <c r="X30" s="38">
        <f t="shared" si="9"/>
        <v>0</v>
      </c>
      <c r="Y30" s="39">
        <f t="shared" si="10"/>
        <v>0</v>
      </c>
      <c r="Z30" s="14">
        <v>0</v>
      </c>
      <c r="AA30" s="28" t="s">
        <v>34</v>
      </c>
      <c r="AB30" s="40">
        <f t="shared" si="11"/>
        <v>-0.69</v>
      </c>
      <c r="AC30" s="41">
        <v>0.10540118518518517</v>
      </c>
      <c r="AD30" s="39">
        <f t="shared" si="12"/>
        <v>-0.58181454222222206</v>
      </c>
      <c r="AE30" s="25">
        <v>-4.95</v>
      </c>
      <c r="AF30" s="25">
        <v>-3.9356934956718699</v>
      </c>
      <c r="AG30" s="25">
        <v>-2</v>
      </c>
    </row>
    <row r="31" spans="1:33" ht="15.75" customHeight="1" x14ac:dyDescent="0.2">
      <c r="A31" s="14" t="s">
        <v>75</v>
      </c>
      <c r="B31" s="48" t="s">
        <v>869</v>
      </c>
      <c r="C31" s="15">
        <f t="shared" si="1"/>
        <v>16.263333333333332</v>
      </c>
      <c r="D31" s="16">
        <v>3</v>
      </c>
      <c r="E31" s="16">
        <v>0</v>
      </c>
      <c r="F31" s="17">
        <v>48.79</v>
      </c>
      <c r="G31" s="42">
        <v>0</v>
      </c>
      <c r="H31" s="31">
        <f t="shared" si="2"/>
        <v>0</v>
      </c>
      <c r="I31" s="31">
        <f t="shared" si="3"/>
        <v>0.29469273634592552</v>
      </c>
      <c r="J31" s="32">
        <f t="shared" si="4"/>
        <v>14.378058606317706</v>
      </c>
      <c r="K31" s="32">
        <f t="shared" si="5"/>
        <v>4.7926862021059025</v>
      </c>
      <c r="L31" s="16">
        <v>6</v>
      </c>
      <c r="M31" s="33">
        <f t="shared" si="6"/>
        <v>0.5</v>
      </c>
      <c r="N31" s="16">
        <v>4</v>
      </c>
      <c r="O31" s="34">
        <f t="shared" ref="O31:P32" si="22">D31/7</f>
        <v>0.42857142857142855</v>
      </c>
      <c r="P31" s="34">
        <f t="shared" si="22"/>
        <v>0</v>
      </c>
      <c r="Q31" s="29">
        <f t="shared" si="8"/>
        <v>9</v>
      </c>
      <c r="R31" s="29"/>
      <c r="S31" s="21">
        <v>2.21176470588235</v>
      </c>
      <c r="T31" s="14" t="s">
        <v>33</v>
      </c>
      <c r="U31" s="22" t="s">
        <v>33</v>
      </c>
      <c r="V31" s="1" t="s">
        <v>936</v>
      </c>
      <c r="W31" s="14">
        <v>0</v>
      </c>
      <c r="X31" s="38">
        <f t="shared" si="9"/>
        <v>0</v>
      </c>
      <c r="Y31" s="39">
        <f t="shared" si="10"/>
        <v>0</v>
      </c>
      <c r="Z31" s="14">
        <v>0</v>
      </c>
      <c r="AA31" s="14" t="s">
        <v>34</v>
      </c>
      <c r="AB31" s="40">
        <f t="shared" si="11"/>
        <v>-0.69</v>
      </c>
      <c r="AC31" s="27">
        <v>0.10540118518518517</v>
      </c>
      <c r="AD31" s="39">
        <f t="shared" si="12"/>
        <v>-0.43636090666666655</v>
      </c>
      <c r="AE31" s="43">
        <v>-4.95</v>
      </c>
      <c r="AF31" s="43">
        <v>-3.9356934956718757</v>
      </c>
      <c r="AG31" s="25">
        <v>0</v>
      </c>
    </row>
    <row r="32" spans="1:33" s="51" customFormat="1" ht="15.75" customHeight="1" x14ac:dyDescent="0.2">
      <c r="A32" s="51" t="s">
        <v>934</v>
      </c>
      <c r="C32" s="15">
        <f t="shared" si="1"/>
        <v>16.2</v>
      </c>
      <c r="D32" s="52">
        <v>4</v>
      </c>
      <c r="E32" s="52">
        <v>0</v>
      </c>
      <c r="F32" s="53">
        <v>64.8</v>
      </c>
      <c r="G32" s="53">
        <v>0</v>
      </c>
      <c r="H32" s="31">
        <f t="shared" si="2"/>
        <v>0</v>
      </c>
      <c r="I32" s="31">
        <f t="shared" si="3"/>
        <v>0.29252178202299839</v>
      </c>
      <c r="J32" s="32">
        <f t="shared" si="4"/>
        <v>18.955411475090294</v>
      </c>
      <c r="K32" s="32">
        <f t="shared" si="5"/>
        <v>4.7388528687725735</v>
      </c>
      <c r="L32" s="52">
        <v>6</v>
      </c>
      <c r="M32" s="33">
        <f t="shared" si="6"/>
        <v>0.66666666666666663</v>
      </c>
      <c r="N32" s="52">
        <v>0</v>
      </c>
      <c r="O32" s="34">
        <f t="shared" si="22"/>
        <v>0.5714285714285714</v>
      </c>
      <c r="P32" s="34">
        <f t="shared" si="22"/>
        <v>0</v>
      </c>
      <c r="Q32" s="29">
        <f t="shared" si="8"/>
        <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0.10540118518518517</v>
      </c>
      <c r="AD32" s="39">
        <f t="shared" si="12"/>
        <v>-0.58181454222222206</v>
      </c>
      <c r="AE32" s="58">
        <v>-4.95</v>
      </c>
      <c r="AF32" s="58">
        <v>-3.9356934956718699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G1000"/>
  <sheetViews>
    <sheetView tabSelected="1" workbookViewId="0">
      <pane ySplit="3" topLeftCell="A4" activePane="bottomLeft" state="frozen"/>
      <selection activeCell="T1" sqref="T1:T2"/>
      <selection pane="bottomLef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Info!B1:BJ5000""),3,FALSE),"""")"),"6 Ft Power Cord for TV Computer or Monitor - 18/3 Replacement Power Cable, Black")</f>
        <v>6 Ft Power Cord for TV Computer or Monitor - 18/3 Replacement Power Cable,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Info!B1:BJ5000""),2,FALSE),"""")"),"B08NMC7585")</f>
        <v>B08NMC7585</v>
      </c>
      <c r="B2" s="3" t="s">
        <v>870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5.5737510919485302</v>
      </c>
      <c r="D3" s="5">
        <f>SUM(D4:D99765)</f>
        <v>114</v>
      </c>
      <c r="E3" s="5"/>
      <c r="F3" s="6">
        <f t="shared" ref="F3:G3" si="0">SUM(F4:F99765)</f>
        <v>745.44000000000017</v>
      </c>
      <c r="G3" s="6">
        <f t="shared" si="0"/>
        <v>-230.42</v>
      </c>
      <c r="H3" s="7">
        <f>G3/F3*-1</f>
        <v>0.30910603133719672</v>
      </c>
      <c r="I3" s="8">
        <f>J3/F3</f>
        <v>-0.22704879282706439</v>
      </c>
      <c r="J3" s="6">
        <f>SUM(J4:J99765)</f>
        <v>-169.25125212500691</v>
      </c>
      <c r="K3" s="6">
        <f>J3/D3</f>
        <v>-1.4846601063597098</v>
      </c>
      <c r="L3" s="5"/>
      <c r="M3" s="9"/>
      <c r="N3" s="10"/>
      <c r="O3" s="5" t="str">
        <f ca="1">IFERROR(__xludf.DUMMYFUNCTION("VLOOKUP(B2,IMPORTRANGE(""https://docs.google.com/spreadsheets/d/1N8jvpEHDVkurDv7NrPxwI3eH6hQsvtb1QltGNCalRjU/edit#gid=865736387"",""Compiled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43</v>
      </c>
      <c r="X3" s="7">
        <f>W3/D3</f>
        <v>0.37719298245614036</v>
      </c>
      <c r="Y3" s="6"/>
      <c r="Z3" s="5"/>
      <c r="AA3" s="5"/>
      <c r="AB3" s="5"/>
      <c r="AC3" s="5"/>
      <c r="AD3" s="6">
        <f>SUM(AD4:AD99765)</f>
        <v>-4.2215576366319452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Info!B2:BZ7000""),37,FALSE)),"""")*-1"),-1.09768842815625)</f>
        <v>-1.09768842815625</v>
      </c>
      <c r="AG3" s="6">
        <f>SUM(AG4:AG99765)</f>
        <v>-28</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871</v>
      </c>
      <c r="C21" s="15">
        <f t="shared" ref="C21:C32" si="1">IFERROR(F21/D21," - ")</f>
        <v>7.99</v>
      </c>
      <c r="D21" s="29">
        <v>1</v>
      </c>
      <c r="E21" s="29">
        <v>0</v>
      </c>
      <c r="F21" s="32">
        <v>7.99</v>
      </c>
      <c r="G21" s="30">
        <v>-21.060000000000002</v>
      </c>
      <c r="H21" s="31">
        <f t="shared" ref="H21:H32" si="2">G21/F21*-1</f>
        <v>2.6357947434292868</v>
      </c>
      <c r="I21" s="31">
        <f t="shared" ref="I21:I32" si="3">J21/F21</f>
        <v>-2.6042416006118758</v>
      </c>
      <c r="J21" s="32">
        <f t="shared" ref="J21:J32" si="4">F21*0.85+G21+AF21*D21+D21*AE21+AG21+AD21</f>
        <v>-20.80789038888889</v>
      </c>
      <c r="K21" s="32">
        <f t="shared" ref="K21:K32" si="5">J21/D21</f>
        <v>-20.80789038888889</v>
      </c>
      <c r="L21" s="29">
        <v>3</v>
      </c>
      <c r="M21" s="33">
        <f t="shared" ref="M21:M32" si="6">IFERROR(D21/L21,"-")</f>
        <v>0.33333333333333331</v>
      </c>
      <c r="N21" s="29">
        <v>149</v>
      </c>
      <c r="O21" s="34">
        <f t="shared" ref="O21:P21" si="7">D21/7</f>
        <v>0.14285714285714285</v>
      </c>
      <c r="P21" s="34">
        <f t="shared" si="7"/>
        <v>0</v>
      </c>
      <c r="Q21" s="29">
        <f t="shared" ref="Q21:Q32" si="8">ROUNDDOWN(N21/(O21+P21),0)</f>
        <v>1043</v>
      </c>
      <c r="R21" s="29"/>
      <c r="S21" s="35">
        <v>2.68456375838926E-2</v>
      </c>
      <c r="T21" s="28">
        <v>400</v>
      </c>
      <c r="U21" s="36" t="s">
        <v>33</v>
      </c>
      <c r="V21" s="37" t="s">
        <v>33</v>
      </c>
      <c r="W21" s="28">
        <v>1</v>
      </c>
      <c r="X21" s="38">
        <f t="shared" ref="X21:X32" si="9">IFERROR(W21/D21,0)</f>
        <v>1</v>
      </c>
      <c r="Y21" s="39">
        <f t="shared" ref="Y21:Y32" si="10">IFERROR(G21/(W21+Z21)*-1,0)</f>
        <v>10.530000000000001</v>
      </c>
      <c r="Z21" s="28">
        <v>1</v>
      </c>
      <c r="AA21" s="28" t="s">
        <v>34</v>
      </c>
      <c r="AB21" s="40">
        <f t="shared" ref="AB21:AB32" si="11">IF(OR(AA21="UsLargeStandardSize",AA21="UsSmallStandardSize"),-0.69,-0.48)</f>
        <v>-0.69</v>
      </c>
      <c r="AC21" s="41">
        <v>4.6296296296296294E-3</v>
      </c>
      <c r="AD21" s="39">
        <f t="shared" ref="AD21:AD32" si="12">IFERROR(AB21*AC21*D21*2,0)</f>
        <v>-6.3888888888888884E-3</v>
      </c>
      <c r="AE21" s="39">
        <v>-5.42</v>
      </c>
      <c r="AF21" s="39">
        <v>-1.1130015000000002</v>
      </c>
      <c r="AG21" s="39">
        <v>0</v>
      </c>
    </row>
    <row r="22" spans="1:33" ht="15.75" customHeight="1" x14ac:dyDescent="0.2">
      <c r="A22" s="28" t="s">
        <v>60</v>
      </c>
      <c r="B22" s="28" t="s">
        <v>872</v>
      </c>
      <c r="C22" s="15">
        <f t="shared" si="1"/>
        <v>8.99</v>
      </c>
      <c r="D22" s="29">
        <v>4</v>
      </c>
      <c r="E22" s="29">
        <v>0</v>
      </c>
      <c r="F22" s="30">
        <v>35.96</v>
      </c>
      <c r="G22" s="30">
        <v>-25.000000000000004</v>
      </c>
      <c r="H22" s="31">
        <f t="shared" si="2"/>
        <v>0.69521690767519473</v>
      </c>
      <c r="I22" s="31">
        <f t="shared" si="3"/>
        <v>-0.36026739469395019</v>
      </c>
      <c r="J22" s="32">
        <f t="shared" si="4"/>
        <v>-12.95521551319445</v>
      </c>
      <c r="K22" s="32">
        <f t="shared" si="5"/>
        <v>-3.2388038782986124</v>
      </c>
      <c r="L22" s="29">
        <v>16</v>
      </c>
      <c r="M22" s="33">
        <f t="shared" si="6"/>
        <v>0.25</v>
      </c>
      <c r="N22" s="29">
        <v>146</v>
      </c>
      <c r="O22" s="34">
        <f t="shared" ref="O22:P22" si="13">D22/7</f>
        <v>0.5714285714285714</v>
      </c>
      <c r="P22" s="34">
        <f t="shared" si="13"/>
        <v>0</v>
      </c>
      <c r="Q22" s="29">
        <f t="shared" si="8"/>
        <v>255</v>
      </c>
      <c r="R22" s="29"/>
      <c r="S22" s="35">
        <v>0.136054421768707</v>
      </c>
      <c r="T22" s="28">
        <v>400</v>
      </c>
      <c r="U22" s="36" t="s">
        <v>33</v>
      </c>
      <c r="V22" s="37" t="s">
        <v>33</v>
      </c>
      <c r="W22" s="28">
        <v>3</v>
      </c>
      <c r="X22" s="38">
        <f t="shared" si="9"/>
        <v>0.75</v>
      </c>
      <c r="Y22" s="39">
        <f t="shared" si="10"/>
        <v>6.2500000000000009</v>
      </c>
      <c r="Z22" s="28">
        <v>1</v>
      </c>
      <c r="AA22" s="28" t="s">
        <v>34</v>
      </c>
      <c r="AB22" s="40">
        <f t="shared" si="11"/>
        <v>-0.69</v>
      </c>
      <c r="AC22" s="41">
        <v>2.703070891203704E-2</v>
      </c>
      <c r="AD22" s="39">
        <f t="shared" si="12"/>
        <v>-0.14920951319444445</v>
      </c>
      <c r="AE22" s="39">
        <v>-3.48</v>
      </c>
      <c r="AF22" s="39">
        <v>-1.1130015000000002</v>
      </c>
      <c r="AG22" s="39">
        <v>0</v>
      </c>
    </row>
    <row r="23" spans="1:33" ht="15.75" customHeight="1" x14ac:dyDescent="0.2">
      <c r="A23" s="28" t="s">
        <v>62</v>
      </c>
      <c r="B23" s="28" t="s">
        <v>873</v>
      </c>
      <c r="C23" s="15">
        <f t="shared" si="1"/>
        <v>8.7899999999999991</v>
      </c>
      <c r="D23" s="29">
        <v>2</v>
      </c>
      <c r="E23" s="29">
        <v>0</v>
      </c>
      <c r="F23" s="32">
        <v>17.579999999999998</v>
      </c>
      <c r="G23" s="30">
        <v>-5.96</v>
      </c>
      <c r="H23" s="31">
        <f t="shared" si="2"/>
        <v>0.33902161547212745</v>
      </c>
      <c r="I23" s="31">
        <f t="shared" si="3"/>
        <v>-1.5791112434426942E-2</v>
      </c>
      <c r="J23" s="32">
        <f t="shared" si="4"/>
        <v>-0.27760775659722559</v>
      </c>
      <c r="K23" s="32">
        <f t="shared" si="5"/>
        <v>-0.13880387829861279</v>
      </c>
      <c r="L23" s="29">
        <v>7</v>
      </c>
      <c r="M23" s="33">
        <f t="shared" si="6"/>
        <v>0.2857142857142857</v>
      </c>
      <c r="N23" s="29">
        <v>139</v>
      </c>
      <c r="O23" s="34">
        <f t="shared" ref="O23:P23" si="14">D23/7</f>
        <v>0.2857142857142857</v>
      </c>
      <c r="P23" s="34">
        <f t="shared" si="14"/>
        <v>0</v>
      </c>
      <c r="Q23" s="29">
        <f t="shared" si="8"/>
        <v>486</v>
      </c>
      <c r="R23" s="29"/>
      <c r="S23" s="35">
        <v>0.17142857142857101</v>
      </c>
      <c r="T23" s="28">
        <v>400</v>
      </c>
      <c r="U23" s="36" t="s">
        <v>33</v>
      </c>
      <c r="V23" s="37" t="s">
        <v>33</v>
      </c>
      <c r="W23" s="28">
        <v>0</v>
      </c>
      <c r="X23" s="38">
        <f t="shared" si="9"/>
        <v>0</v>
      </c>
      <c r="Y23" s="39">
        <f t="shared" si="10"/>
        <v>0</v>
      </c>
      <c r="Z23" s="28">
        <v>0</v>
      </c>
      <c r="AA23" s="28" t="s">
        <v>34</v>
      </c>
      <c r="AB23" s="40">
        <f t="shared" si="11"/>
        <v>-0.69</v>
      </c>
      <c r="AC23" s="41">
        <v>2.703070891203704E-2</v>
      </c>
      <c r="AD23" s="39">
        <f t="shared" si="12"/>
        <v>-7.4604756597222224E-2</v>
      </c>
      <c r="AE23" s="39">
        <v>-3.48</v>
      </c>
      <c r="AF23" s="39">
        <v>-1.1130015000000002</v>
      </c>
      <c r="AG23" s="39">
        <v>0</v>
      </c>
    </row>
    <row r="24" spans="1:33" ht="15.75" customHeight="1" x14ac:dyDescent="0.2">
      <c r="A24" s="28" t="s">
        <v>64</v>
      </c>
      <c r="B24" s="28" t="s">
        <v>874</v>
      </c>
      <c r="C24" s="15">
        <f t="shared" si="1"/>
        <v>7.1357142857142861</v>
      </c>
      <c r="D24" s="29">
        <v>7</v>
      </c>
      <c r="E24" s="29">
        <v>0</v>
      </c>
      <c r="F24" s="32">
        <v>49.95</v>
      </c>
      <c r="G24" s="32">
        <v>-5.4</v>
      </c>
      <c r="H24" s="31">
        <f t="shared" si="2"/>
        <v>0.10810810810810811</v>
      </c>
      <c r="I24" s="31">
        <f t="shared" si="3"/>
        <v>-7.099642604409909E-3</v>
      </c>
      <c r="J24" s="32">
        <f t="shared" si="4"/>
        <v>-0.35462714809027496</v>
      </c>
      <c r="K24" s="32">
        <f t="shared" si="5"/>
        <v>-5.0661021155753563E-2</v>
      </c>
      <c r="L24" s="29">
        <v>5</v>
      </c>
      <c r="M24" s="33">
        <f t="shared" si="6"/>
        <v>1.4</v>
      </c>
      <c r="N24" s="29">
        <v>137</v>
      </c>
      <c r="O24" s="34">
        <f t="shared" ref="O24:P24" si="15">D24/7</f>
        <v>1</v>
      </c>
      <c r="P24" s="34">
        <f t="shared" si="15"/>
        <v>0</v>
      </c>
      <c r="Q24" s="29">
        <f t="shared" si="8"/>
        <v>137</v>
      </c>
      <c r="R24" s="29"/>
      <c r="S24" s="35">
        <v>0.25899280575539502</v>
      </c>
      <c r="T24" s="28">
        <v>400</v>
      </c>
      <c r="U24" s="36" t="s">
        <v>33</v>
      </c>
      <c r="V24" s="37" t="s">
        <v>33</v>
      </c>
      <c r="W24" s="28">
        <v>0</v>
      </c>
      <c r="X24" s="38">
        <f t="shared" si="9"/>
        <v>0</v>
      </c>
      <c r="Y24" s="39">
        <f t="shared" si="10"/>
        <v>0</v>
      </c>
      <c r="Z24" s="28">
        <v>0</v>
      </c>
      <c r="AA24" s="28" t="s">
        <v>34</v>
      </c>
      <c r="AB24" s="40">
        <f t="shared" si="11"/>
        <v>-0.69</v>
      </c>
      <c r="AC24" s="41">
        <v>2.703070891203704E-2</v>
      </c>
      <c r="AD24" s="39">
        <f t="shared" si="12"/>
        <v>-0.26111664809027779</v>
      </c>
      <c r="AE24" s="39">
        <v>-3.48</v>
      </c>
      <c r="AF24" s="39">
        <v>-1.1130015000000002</v>
      </c>
      <c r="AG24" s="39">
        <v>-5</v>
      </c>
    </row>
    <row r="25" spans="1:33" ht="15.75" customHeight="1" x14ac:dyDescent="0.2">
      <c r="A25" s="28" t="s">
        <v>65</v>
      </c>
      <c r="B25" s="14" t="s">
        <v>849</v>
      </c>
      <c r="C25" s="15">
        <f t="shared" si="1"/>
        <v>6.1785714285714288</v>
      </c>
      <c r="D25" s="29">
        <v>7</v>
      </c>
      <c r="E25" s="29">
        <v>0</v>
      </c>
      <c r="F25" s="32">
        <v>43.25</v>
      </c>
      <c r="G25" s="32">
        <v>-4.07</v>
      </c>
      <c r="H25" s="31">
        <f t="shared" si="2"/>
        <v>9.4104046242774575E-2</v>
      </c>
      <c r="I25" s="31">
        <f t="shared" si="3"/>
        <v>-3.9274373366249282E-2</v>
      </c>
      <c r="J25" s="32">
        <f t="shared" si="4"/>
        <v>-1.6986166480902813</v>
      </c>
      <c r="K25" s="32">
        <f t="shared" si="5"/>
        <v>-0.24265952115575448</v>
      </c>
      <c r="L25" s="29">
        <v>7</v>
      </c>
      <c r="M25" s="33">
        <f t="shared" si="6"/>
        <v>1</v>
      </c>
      <c r="N25" s="29">
        <v>130</v>
      </c>
      <c r="O25" s="34">
        <f t="shared" ref="O25:P25" si="16">D25/7</f>
        <v>1</v>
      </c>
      <c r="P25" s="34">
        <f t="shared" si="16"/>
        <v>0</v>
      </c>
      <c r="Q25" s="29">
        <f t="shared" si="8"/>
        <v>130</v>
      </c>
      <c r="R25" s="29"/>
      <c r="S25" s="35">
        <v>0.3</v>
      </c>
      <c r="T25" s="28">
        <v>400</v>
      </c>
      <c r="U25" s="36" t="s">
        <v>33</v>
      </c>
      <c r="V25" s="37" t="s">
        <v>33</v>
      </c>
      <c r="W25" s="14">
        <v>0</v>
      </c>
      <c r="X25" s="38">
        <f t="shared" si="9"/>
        <v>0</v>
      </c>
      <c r="Y25" s="39">
        <f t="shared" si="10"/>
        <v>2.0350000000000001</v>
      </c>
      <c r="Z25" s="14">
        <v>2</v>
      </c>
      <c r="AA25" s="28" t="s">
        <v>34</v>
      </c>
      <c r="AB25" s="40">
        <f t="shared" si="11"/>
        <v>-0.69</v>
      </c>
      <c r="AC25" s="41">
        <v>2.703070891203704E-2</v>
      </c>
      <c r="AD25" s="39">
        <f t="shared" si="12"/>
        <v>-0.26111664809027779</v>
      </c>
      <c r="AE25" s="39">
        <v>-3.48</v>
      </c>
      <c r="AF25" s="39">
        <v>-1.1100000000000001</v>
      </c>
      <c r="AG25" s="39">
        <v>-2</v>
      </c>
    </row>
    <row r="26" spans="1:33" ht="15.75" customHeight="1" x14ac:dyDescent="0.2">
      <c r="A26" s="14" t="s">
        <v>67</v>
      </c>
      <c r="B26" s="14" t="s">
        <v>864</v>
      </c>
      <c r="C26" s="15">
        <f t="shared" si="1"/>
        <v>5.4616666666666669</v>
      </c>
      <c r="D26" s="16">
        <v>12</v>
      </c>
      <c r="E26" s="16">
        <v>0</v>
      </c>
      <c r="F26" s="17">
        <v>65.540000000000006</v>
      </c>
      <c r="G26" s="17">
        <v>-26.39</v>
      </c>
      <c r="H26" s="31">
        <f t="shared" si="2"/>
        <v>0.40265486725663713</v>
      </c>
      <c r="I26" s="31">
        <f t="shared" si="3"/>
        <v>-0.43046821085723724</v>
      </c>
      <c r="J26" s="32">
        <f t="shared" si="4"/>
        <v>-28.21288653958333</v>
      </c>
      <c r="K26" s="32">
        <f t="shared" si="5"/>
        <v>-2.3510738782986107</v>
      </c>
      <c r="L26" s="16">
        <v>7</v>
      </c>
      <c r="M26" s="33">
        <f t="shared" si="6"/>
        <v>1.7142857142857142</v>
      </c>
      <c r="N26" s="16">
        <v>120</v>
      </c>
      <c r="O26" s="34">
        <f t="shared" ref="O26:P26" si="17">D26/7</f>
        <v>1.7142857142857142</v>
      </c>
      <c r="P26" s="34">
        <f t="shared" si="17"/>
        <v>0</v>
      </c>
      <c r="Q26" s="29">
        <f t="shared" si="8"/>
        <v>70</v>
      </c>
      <c r="R26" s="29"/>
      <c r="S26" s="21">
        <v>0.38235294117647062</v>
      </c>
      <c r="T26" s="28">
        <v>400</v>
      </c>
      <c r="U26" s="36" t="s">
        <v>33</v>
      </c>
      <c r="V26" s="37" t="s">
        <v>33</v>
      </c>
      <c r="W26" s="14">
        <v>5</v>
      </c>
      <c r="X26" s="38">
        <f t="shared" si="9"/>
        <v>0.41666666666666669</v>
      </c>
      <c r="Y26" s="39">
        <f t="shared" si="10"/>
        <v>5.2780000000000005</v>
      </c>
      <c r="Z26" s="14">
        <v>0</v>
      </c>
      <c r="AA26" s="28" t="s">
        <v>34</v>
      </c>
      <c r="AB26" s="40">
        <f t="shared" si="11"/>
        <v>-0.69</v>
      </c>
      <c r="AC26" s="41">
        <v>2.703070891203704E-2</v>
      </c>
      <c r="AD26" s="39">
        <f t="shared" si="12"/>
        <v>-0.44762853958333337</v>
      </c>
      <c r="AE26" s="25">
        <v>-3.64</v>
      </c>
      <c r="AF26" s="25">
        <v>-1.1170214999999999</v>
      </c>
      <c r="AG26" s="25">
        <v>0</v>
      </c>
    </row>
    <row r="27" spans="1:33" ht="15.75" customHeight="1" x14ac:dyDescent="0.2">
      <c r="A27" s="14" t="s">
        <v>69</v>
      </c>
      <c r="B27" s="14" t="s">
        <v>441</v>
      </c>
      <c r="C27" s="15">
        <f t="shared" si="1"/>
        <v>6.0081481481481482</v>
      </c>
      <c r="D27" s="16">
        <v>27</v>
      </c>
      <c r="E27" s="16">
        <v>0</v>
      </c>
      <c r="F27" s="17">
        <v>162.22</v>
      </c>
      <c r="G27" s="17">
        <v>-43.83</v>
      </c>
      <c r="H27" s="31">
        <f t="shared" si="2"/>
        <v>0.27018863272099619</v>
      </c>
      <c r="I27" s="31">
        <f t="shared" si="3"/>
        <v>-0.32295490515388048</v>
      </c>
      <c r="J27" s="32">
        <f t="shared" si="4"/>
        <v>-52.389744714062495</v>
      </c>
      <c r="K27" s="32">
        <f t="shared" si="5"/>
        <v>-1.940360915335648</v>
      </c>
      <c r="L27" s="16">
        <v>24</v>
      </c>
      <c r="M27" s="33">
        <f t="shared" si="6"/>
        <v>1.125</v>
      </c>
      <c r="N27" s="16">
        <v>91</v>
      </c>
      <c r="O27" s="34">
        <f t="shared" ref="O27:P27" si="18">D27/7</f>
        <v>3.8571428571428572</v>
      </c>
      <c r="P27" s="34">
        <f t="shared" si="18"/>
        <v>0</v>
      </c>
      <c r="Q27" s="29">
        <f t="shared" si="8"/>
        <v>23</v>
      </c>
      <c r="R27" s="29"/>
      <c r="S27" s="21">
        <v>0.89451476793248941</v>
      </c>
      <c r="T27" s="28">
        <v>400</v>
      </c>
      <c r="U27" s="36" t="s">
        <v>33</v>
      </c>
      <c r="V27" s="37" t="s">
        <v>33</v>
      </c>
      <c r="W27" s="14">
        <v>16</v>
      </c>
      <c r="X27" s="38">
        <f t="shared" si="9"/>
        <v>0.59259259259259256</v>
      </c>
      <c r="Y27" s="39">
        <f t="shared" si="10"/>
        <v>2.578235294117647</v>
      </c>
      <c r="Z27" s="14">
        <v>1</v>
      </c>
      <c r="AA27" s="28" t="s">
        <v>34</v>
      </c>
      <c r="AB27" s="40">
        <f t="shared" si="11"/>
        <v>-0.69</v>
      </c>
      <c r="AC27" s="41">
        <v>2.703070891203704E-2</v>
      </c>
      <c r="AD27" s="39">
        <f t="shared" si="12"/>
        <v>-1.0071642140625001</v>
      </c>
      <c r="AE27" s="25">
        <v>-3.64</v>
      </c>
      <c r="AF27" s="25">
        <v>-1.1170214999999999</v>
      </c>
      <c r="AG27" s="25">
        <v>-17</v>
      </c>
    </row>
    <row r="28" spans="1:33" ht="15.75" customHeight="1" x14ac:dyDescent="0.2">
      <c r="A28" s="14" t="s">
        <v>71</v>
      </c>
      <c r="B28" s="14" t="s">
        <v>167</v>
      </c>
      <c r="C28" s="15">
        <f t="shared" si="1"/>
        <v>6.032</v>
      </c>
      <c r="D28" s="16">
        <v>5</v>
      </c>
      <c r="E28" s="16">
        <v>0</v>
      </c>
      <c r="F28" s="17">
        <v>30.16</v>
      </c>
      <c r="G28" s="17">
        <v>-10.36</v>
      </c>
      <c r="H28" s="31">
        <f t="shared" si="2"/>
        <v>0.34350132625994695</v>
      </c>
      <c r="I28" s="31">
        <f t="shared" si="3"/>
        <v>-0.28831629282138771</v>
      </c>
      <c r="J28" s="32">
        <f t="shared" si="4"/>
        <v>-8.6956193914930537</v>
      </c>
      <c r="K28" s="32">
        <f t="shared" si="5"/>
        <v>-1.7391238782986107</v>
      </c>
      <c r="L28" s="16">
        <v>15</v>
      </c>
      <c r="M28" s="33">
        <f t="shared" si="6"/>
        <v>0.33333333333333331</v>
      </c>
      <c r="N28" s="16">
        <v>88</v>
      </c>
      <c r="O28" s="34">
        <f t="shared" ref="O28:P28" si="19">D28/7</f>
        <v>0.7142857142857143</v>
      </c>
      <c r="P28" s="34">
        <f t="shared" si="19"/>
        <v>0</v>
      </c>
      <c r="Q28" s="29">
        <f t="shared" si="8"/>
        <v>123</v>
      </c>
      <c r="R28" s="29"/>
      <c r="S28" s="21">
        <v>1.0782608695652169</v>
      </c>
      <c r="T28" s="28">
        <v>400</v>
      </c>
      <c r="U28" s="36" t="s">
        <v>33</v>
      </c>
      <c r="V28" s="37" t="s">
        <v>33</v>
      </c>
      <c r="W28" s="14">
        <v>1</v>
      </c>
      <c r="X28" s="38">
        <f t="shared" si="9"/>
        <v>0.2</v>
      </c>
      <c r="Y28" s="39">
        <f t="shared" si="10"/>
        <v>3.4533333333333331</v>
      </c>
      <c r="Z28" s="14">
        <v>2</v>
      </c>
      <c r="AA28" s="28" t="s">
        <v>34</v>
      </c>
      <c r="AB28" s="40">
        <f t="shared" si="11"/>
        <v>-0.69</v>
      </c>
      <c r="AC28" s="41">
        <v>2.703070891203704E-2</v>
      </c>
      <c r="AD28" s="39">
        <f t="shared" si="12"/>
        <v>-0.18651189149305555</v>
      </c>
      <c r="AE28" s="25">
        <v>-3.64</v>
      </c>
      <c r="AF28" s="25">
        <v>-1.1170214999999999</v>
      </c>
      <c r="AG28" s="25">
        <v>0</v>
      </c>
    </row>
    <row r="29" spans="1:33" ht="15.75" customHeight="1" x14ac:dyDescent="0.2">
      <c r="A29" s="28" t="s">
        <v>72</v>
      </c>
      <c r="B29" s="28" t="s">
        <v>875</v>
      </c>
      <c r="C29" s="15">
        <f t="shared" si="1"/>
        <v>5.994761904761905</v>
      </c>
      <c r="D29" s="29">
        <v>21</v>
      </c>
      <c r="E29" s="29">
        <v>0</v>
      </c>
      <c r="F29" s="32">
        <v>125.89</v>
      </c>
      <c r="G29" s="32">
        <v>-13.19</v>
      </c>
      <c r="H29" s="31">
        <f t="shared" si="2"/>
        <v>0.10477400905552466</v>
      </c>
      <c r="I29" s="31">
        <f t="shared" si="3"/>
        <v>-5.4526185116139735E-2</v>
      </c>
      <c r="J29" s="32">
        <f t="shared" si="4"/>
        <v>-6.864301444270831</v>
      </c>
      <c r="K29" s="32">
        <f t="shared" si="5"/>
        <v>-0.32687149734623006</v>
      </c>
      <c r="L29" s="29">
        <v>16</v>
      </c>
      <c r="M29" s="33">
        <f t="shared" si="6"/>
        <v>1.3125</v>
      </c>
      <c r="N29" s="16">
        <v>68</v>
      </c>
      <c r="O29" s="34">
        <f t="shared" ref="O29:P29" si="20">D29/7</f>
        <v>3</v>
      </c>
      <c r="P29" s="34">
        <f t="shared" si="20"/>
        <v>0</v>
      </c>
      <c r="Q29" s="29">
        <f t="shared" si="8"/>
        <v>22</v>
      </c>
      <c r="R29" s="29"/>
      <c r="S29" s="21">
        <v>1.0129870129870131</v>
      </c>
      <c r="T29" s="28">
        <v>400</v>
      </c>
      <c r="U29" s="36" t="s">
        <v>33</v>
      </c>
      <c r="V29" s="37" t="s">
        <v>33</v>
      </c>
      <c r="W29" s="14">
        <v>4</v>
      </c>
      <c r="X29" s="38">
        <f t="shared" si="9"/>
        <v>0.19047619047619047</v>
      </c>
      <c r="Y29" s="39">
        <f t="shared" si="10"/>
        <v>1.4655555555555555</v>
      </c>
      <c r="Z29" s="14">
        <v>5</v>
      </c>
      <c r="AA29" s="28" t="s">
        <v>34</v>
      </c>
      <c r="AB29" s="40">
        <f t="shared" si="11"/>
        <v>-0.69</v>
      </c>
      <c r="AC29" s="41">
        <v>2.703070891203704E-2</v>
      </c>
      <c r="AD29" s="39">
        <f t="shared" si="12"/>
        <v>-0.78334994427083338</v>
      </c>
      <c r="AE29" s="39">
        <v>-3.64</v>
      </c>
      <c r="AF29" s="25">
        <v>-1.1170214999999999</v>
      </c>
      <c r="AG29" s="39">
        <v>0</v>
      </c>
    </row>
    <row r="30" spans="1:33" ht="15.75" customHeight="1" x14ac:dyDescent="0.2">
      <c r="A30" s="14" t="s">
        <v>74</v>
      </c>
      <c r="B30" s="14" t="s">
        <v>876</v>
      </c>
      <c r="C30" s="15">
        <f t="shared" si="1"/>
        <v>7.4220000000000006</v>
      </c>
      <c r="D30" s="16">
        <v>15</v>
      </c>
      <c r="E30" s="16">
        <v>0</v>
      </c>
      <c r="F30" s="17">
        <v>111.33000000000001</v>
      </c>
      <c r="G30" s="17">
        <v>-44.58</v>
      </c>
      <c r="H30" s="31">
        <f t="shared" si="2"/>
        <v>0.40043115063325241</v>
      </c>
      <c r="I30" s="31">
        <f t="shared" si="3"/>
        <v>-0.22971671693903623</v>
      </c>
      <c r="J30" s="32">
        <f t="shared" si="4"/>
        <v>-25.574362096822906</v>
      </c>
      <c r="K30" s="32">
        <f t="shared" si="5"/>
        <v>-1.7049574731215271</v>
      </c>
      <c r="L30" s="16">
        <v>29</v>
      </c>
      <c r="M30" s="33">
        <f t="shared" si="6"/>
        <v>0.51724137931034486</v>
      </c>
      <c r="N30" s="16">
        <v>52</v>
      </c>
      <c r="O30" s="34">
        <f t="shared" ref="O30:P30" si="21">D30/7</f>
        <v>2.1428571428571428</v>
      </c>
      <c r="P30" s="34">
        <f t="shared" si="21"/>
        <v>0</v>
      </c>
      <c r="Q30" s="29">
        <f t="shared" si="8"/>
        <v>24</v>
      </c>
      <c r="R30" s="29"/>
      <c r="S30" s="21">
        <v>1.0409356725146199</v>
      </c>
      <c r="T30" s="28">
        <v>400</v>
      </c>
      <c r="U30" s="36" t="s">
        <v>33</v>
      </c>
      <c r="V30" s="37" t="s">
        <v>33</v>
      </c>
      <c r="W30" s="14">
        <v>6</v>
      </c>
      <c r="X30" s="38">
        <f t="shared" si="9"/>
        <v>0.4</v>
      </c>
      <c r="Y30" s="39">
        <f t="shared" si="10"/>
        <v>5.5724999999999998</v>
      </c>
      <c r="Z30" s="14">
        <v>2</v>
      </c>
      <c r="AA30" s="28" t="s">
        <v>34</v>
      </c>
      <c r="AB30" s="40">
        <f t="shared" si="11"/>
        <v>-0.69</v>
      </c>
      <c r="AC30" s="41">
        <v>2.703070891203704E-2</v>
      </c>
      <c r="AD30" s="39">
        <f t="shared" si="12"/>
        <v>-0.55953567447916663</v>
      </c>
      <c r="AE30" s="25">
        <v>-3.64</v>
      </c>
      <c r="AF30" s="25">
        <v>-1.09768842815625</v>
      </c>
      <c r="AG30" s="25">
        <v>-4</v>
      </c>
    </row>
    <row r="31" spans="1:33" ht="15.75" customHeight="1" x14ac:dyDescent="0.2">
      <c r="A31" s="14" t="s">
        <v>75</v>
      </c>
      <c r="B31" s="48" t="s">
        <v>167</v>
      </c>
      <c r="C31" s="15">
        <f t="shared" si="1"/>
        <v>7.9939999999999998</v>
      </c>
      <c r="D31" s="16">
        <v>5</v>
      </c>
      <c r="E31" s="16">
        <v>0</v>
      </c>
      <c r="F31" s="17">
        <v>39.97</v>
      </c>
      <c r="G31" s="42">
        <v>-6.8599999999999994</v>
      </c>
      <c r="H31" s="31">
        <f t="shared" si="2"/>
        <v>0.17162872154115585</v>
      </c>
      <c r="I31" s="31">
        <f t="shared" si="3"/>
        <v>8.1049436270345068E-2</v>
      </c>
      <c r="J31" s="32">
        <f t="shared" si="4"/>
        <v>3.2395459677256921</v>
      </c>
      <c r="K31" s="32">
        <f t="shared" si="5"/>
        <v>0.64790919354513843</v>
      </c>
      <c r="L31" s="16">
        <v>11</v>
      </c>
      <c r="M31" s="33">
        <f t="shared" si="6"/>
        <v>0.45454545454545453</v>
      </c>
      <c r="N31" s="16">
        <v>48</v>
      </c>
      <c r="O31" s="34">
        <f t="shared" ref="O31:P32" si="22">D31/7</f>
        <v>0.7142857142857143</v>
      </c>
      <c r="P31" s="34">
        <f t="shared" si="22"/>
        <v>0</v>
      </c>
      <c r="Q31" s="29">
        <f t="shared" si="8"/>
        <v>67</v>
      </c>
      <c r="R31" s="29"/>
      <c r="S31" s="21">
        <v>1.3815789473684199</v>
      </c>
      <c r="T31" s="14" t="s">
        <v>33</v>
      </c>
      <c r="U31" s="22" t="s">
        <v>33</v>
      </c>
      <c r="V31" s="1" t="s">
        <v>936</v>
      </c>
      <c r="W31" s="14">
        <v>2</v>
      </c>
      <c r="X31" s="38">
        <f t="shared" si="9"/>
        <v>0.4</v>
      </c>
      <c r="Y31" s="39">
        <f t="shared" si="10"/>
        <v>2.2866666666666666</v>
      </c>
      <c r="Z31" s="14">
        <v>1</v>
      </c>
      <c r="AA31" s="14" t="s">
        <v>34</v>
      </c>
      <c r="AB31" s="40">
        <f t="shared" si="11"/>
        <v>-0.69</v>
      </c>
      <c r="AC31" s="27">
        <v>2.703070891203704E-2</v>
      </c>
      <c r="AD31" s="39">
        <f t="shared" si="12"/>
        <v>-0.18651189149305555</v>
      </c>
      <c r="AE31" s="43">
        <v>-3.64</v>
      </c>
      <c r="AF31" s="43">
        <v>-1.0976884281562502</v>
      </c>
      <c r="AG31" s="25">
        <v>0</v>
      </c>
    </row>
    <row r="32" spans="1:33" s="51" customFormat="1" ht="15.75" customHeight="1" x14ac:dyDescent="0.2">
      <c r="A32" s="51" t="s">
        <v>934</v>
      </c>
      <c r="C32" s="15">
        <f t="shared" si="1"/>
        <v>6.95</v>
      </c>
      <c r="D32" s="52">
        <v>8</v>
      </c>
      <c r="E32" s="52">
        <v>0</v>
      </c>
      <c r="F32" s="53">
        <v>55.6</v>
      </c>
      <c r="G32" s="53">
        <v>-23.72</v>
      </c>
      <c r="H32" s="31">
        <f t="shared" si="2"/>
        <v>0.42661870503597121</v>
      </c>
      <c r="I32" s="31">
        <f t="shared" si="3"/>
        <v>-0.26366774193595127</v>
      </c>
      <c r="J32" s="32">
        <f t="shared" si="4"/>
        <v>-14.65992645163889</v>
      </c>
      <c r="K32" s="32">
        <f t="shared" si="5"/>
        <v>-1.8324908064548613</v>
      </c>
      <c r="L32" s="52">
        <v>10</v>
      </c>
      <c r="M32" s="33">
        <f t="shared" si="6"/>
        <v>0.8</v>
      </c>
      <c r="N32" s="52">
        <v>40</v>
      </c>
      <c r="O32" s="34">
        <f t="shared" si="22"/>
        <v>1.1428571428571428</v>
      </c>
      <c r="P32" s="34">
        <f t="shared" si="22"/>
        <v>0</v>
      </c>
      <c r="Q32" s="29">
        <f t="shared" si="8"/>
        <v>35</v>
      </c>
      <c r="R32" s="29" t="str">
        <f ca="1">IFERROR(VLOOKUP($B$2,IMPORTRANGE("https://docs.google.com/spreadsheets/d/1KiWZV1ko8G7lnRucBRBd29jj3Be6ltMfljMDqzOkQmI/edit#gid=1381463014","Lookup!A:F"),6,FALSE),"")</f>
        <v/>
      </c>
      <c r="S32" s="54">
        <v>1.6928838951310861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5</v>
      </c>
      <c r="X32" s="38">
        <f t="shared" si="9"/>
        <v>0.625</v>
      </c>
      <c r="Y32" s="39">
        <f t="shared" si="10"/>
        <v>4.7439999999999998</v>
      </c>
      <c r="Z32" s="51">
        <v>0</v>
      </c>
      <c r="AA32" s="51" t="s">
        <v>34</v>
      </c>
      <c r="AB32" s="40">
        <f t="shared" si="11"/>
        <v>-0.69</v>
      </c>
      <c r="AC32" s="57">
        <v>2.703070891203704E-2</v>
      </c>
      <c r="AD32" s="39">
        <f t="shared" si="12"/>
        <v>-0.2984190263888889</v>
      </c>
      <c r="AE32" s="58">
        <v>-3.64</v>
      </c>
      <c r="AF32" s="58">
        <v>-1.09768842815625</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Info!B1:BJ5000""),3,FALSE),"""")"),"6 Ft Power Cords for TV Computer or Monitor, 2 Pack - 18/3 Replacement Power Cables, Black")</f>
        <v>6 Ft Power Cords for TV Computer or Monitor, 2 Pack - 18/3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Info!B1:BJ5000""),2,FALSE),"""")"),"B08NLSR6PK")</f>
        <v>B08NLSR6PK</v>
      </c>
      <c r="B2" s="3" t="s">
        <v>877</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8.4063257133088243</v>
      </c>
      <c r="D3" s="5">
        <f>SUM(D4:D99765)</f>
        <v>108</v>
      </c>
      <c r="E3" s="5"/>
      <c r="F3" s="6">
        <f t="shared" ref="F3:G3" si="0">SUM(F4:F99765)</f>
        <v>927.24000000000012</v>
      </c>
      <c r="G3" s="6">
        <f t="shared" si="0"/>
        <v>-310.38</v>
      </c>
      <c r="H3" s="7">
        <f>G3/F3*-1</f>
        <v>0.33473534360036233</v>
      </c>
      <c r="I3" s="8">
        <f>J3/F3</f>
        <v>-0.34272753007261847</v>
      </c>
      <c r="J3" s="6">
        <f>SUM(J4:J99765)</f>
        <v>-317.7906749845348</v>
      </c>
      <c r="K3" s="6">
        <f>J3/D3</f>
        <v>-2.9425062498568035</v>
      </c>
      <c r="L3" s="5"/>
      <c r="M3" s="9"/>
      <c r="N3" s="10"/>
      <c r="O3" s="5" t="str">
        <f ca="1">IFERROR(__xludf.DUMMYFUNCTION("VLOOKUP(B2,IMPORTRANGE(""https://docs.google.com/spreadsheets/d/1N8jvpEHDVkurDv7NrPxwI3eH6hQsvtb1QltGNCalRjU/edit#gid=865736387"",""Compiled Sheet!a1:g5000""),2,FALSE)")," - March
 - April
 - May
 - June
 - July
 - Aug
 - Sept
 - Oct
 - Nov
 - Dec
 - Jan
 - Feb")</f>
        <v xml:space="preserve"> - March
 - April
 - May
 - June
 - July
 - Aug
 - Sept
 - Oct
 - Nov
 - Dec
 - Jan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40</v>
      </c>
      <c r="X3" s="7">
        <f>W3/D3</f>
        <v>0.37037037037037035</v>
      </c>
      <c r="Y3" s="6"/>
      <c r="Z3" s="5"/>
      <c r="AA3" s="5"/>
      <c r="AB3" s="5"/>
      <c r="AC3" s="5"/>
      <c r="AD3" s="6">
        <f>SUM(AD4:AD99765)</f>
        <v>-11.800363427222223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Info!B2:BZ7000""),37,FALSE)),"""")*-1"),-2.1953768563125)</f>
        <v>-2.1953768563125</v>
      </c>
      <c r="AG3" s="6">
        <f>SUM(AG4:AG99765)</f>
        <v>-8</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878</v>
      </c>
      <c r="C21" s="15">
        <f t="shared" ref="C21:C32" si="1">IFERROR(F21/D21," - ")</f>
        <v>11.99</v>
      </c>
      <c r="D21" s="29">
        <v>4</v>
      </c>
      <c r="E21" s="29">
        <v>0</v>
      </c>
      <c r="F21" s="32">
        <v>47.96</v>
      </c>
      <c r="G21" s="30">
        <v>-10.8</v>
      </c>
      <c r="H21" s="31">
        <f t="shared" ref="H21:H32" si="2">G21/F21*-1</f>
        <v>0.22518765638031693</v>
      </c>
      <c r="I21" s="31">
        <f t="shared" ref="I21:I32" si="3">J21/F21</f>
        <v>-1.3272050783060037E-2</v>
      </c>
      <c r="J21" s="32">
        <f t="shared" ref="J21:J32" si="4">F21*0.85+G21+AF21*D21+D21*AE21+AG21+AD21</f>
        <v>-0.6365275555555594</v>
      </c>
      <c r="K21" s="32">
        <f t="shared" ref="K21:K32" si="5">J21/D21</f>
        <v>-0.15913188888888985</v>
      </c>
      <c r="L21" s="29">
        <v>4</v>
      </c>
      <c r="M21" s="33">
        <f t="shared" ref="M21:M32" si="6">IFERROR(D21/L21,"-")</f>
        <v>1</v>
      </c>
      <c r="N21" s="29">
        <v>147</v>
      </c>
      <c r="O21" s="34">
        <f t="shared" ref="O21:P21" si="7">D21/7</f>
        <v>0.5714285714285714</v>
      </c>
      <c r="P21" s="34">
        <f t="shared" si="7"/>
        <v>0</v>
      </c>
      <c r="Q21" s="29">
        <f t="shared" ref="Q21:Q32" si="8">ROUNDDOWN(N21/(O21+P21),0)</f>
        <v>257</v>
      </c>
      <c r="R21" s="29"/>
      <c r="S21" s="35">
        <v>5.4054054054054002E-2</v>
      </c>
      <c r="T21" s="28">
        <v>600</v>
      </c>
      <c r="U21" s="36" t="s">
        <v>33</v>
      </c>
      <c r="V21" s="37" t="s">
        <v>33</v>
      </c>
      <c r="W21" s="28">
        <v>0</v>
      </c>
      <c r="X21" s="38">
        <f t="shared" ref="X21:X32" si="9">IFERROR(W21/D21,0)</f>
        <v>0</v>
      </c>
      <c r="Y21" s="39">
        <f t="shared" ref="Y21:Y32" si="10">IFERROR(G21/(W21+Z21)*-1,0)</f>
        <v>0</v>
      </c>
      <c r="Z21" s="28">
        <v>0</v>
      </c>
      <c r="AA21" s="28" t="s">
        <v>34</v>
      </c>
      <c r="AB21" s="40">
        <f t="shared" ref="AB21:AB32" si="11">IF(OR(AA21="UsLargeStandardSize",AA21="UsSmallStandardSize"),-0.69,-0.48)</f>
        <v>-0.69</v>
      </c>
      <c r="AC21" s="41">
        <v>4.6296296296296294E-3</v>
      </c>
      <c r="AD21" s="39">
        <f t="shared" ref="AD21:AD32" si="12">IFERROR(AB21*AC21*D21*2,0)</f>
        <v>-2.5555555555555554E-2</v>
      </c>
      <c r="AE21" s="39">
        <v>-5.42</v>
      </c>
      <c r="AF21" s="39">
        <v>-2.2242430000000004</v>
      </c>
      <c r="AG21" s="39">
        <v>0</v>
      </c>
    </row>
    <row r="22" spans="1:33" ht="15.75" customHeight="1" x14ac:dyDescent="0.2">
      <c r="A22" s="28" t="s">
        <v>60</v>
      </c>
      <c r="B22" s="28" t="s">
        <v>879</v>
      </c>
      <c r="C22" s="15">
        <f t="shared" si="1"/>
        <v>10.99</v>
      </c>
      <c r="D22" s="29">
        <v>3</v>
      </c>
      <c r="E22" s="29">
        <v>0</v>
      </c>
      <c r="F22" s="30">
        <v>32.97</v>
      </c>
      <c r="G22" s="30">
        <v>-13.440000000000001</v>
      </c>
      <c r="H22" s="31">
        <f t="shared" si="2"/>
        <v>0.4076433121019109</v>
      </c>
      <c r="I22" s="31">
        <f t="shared" si="3"/>
        <v>-0.21619311250758277</v>
      </c>
      <c r="J22" s="32">
        <f t="shared" si="4"/>
        <v>-7.1278869193750038</v>
      </c>
      <c r="K22" s="32">
        <f t="shared" si="5"/>
        <v>-2.3759623064583346</v>
      </c>
      <c r="L22" s="29">
        <v>12</v>
      </c>
      <c r="M22" s="33">
        <f t="shared" si="6"/>
        <v>0.25</v>
      </c>
      <c r="N22" s="29">
        <v>170</v>
      </c>
      <c r="O22" s="34">
        <f t="shared" ref="O22:P22" si="13">D22/7</f>
        <v>0.42857142857142855</v>
      </c>
      <c r="P22" s="34">
        <f t="shared" si="13"/>
        <v>0</v>
      </c>
      <c r="Q22" s="29">
        <f t="shared" si="8"/>
        <v>396</v>
      </c>
      <c r="R22" s="29"/>
      <c r="S22" s="35">
        <v>6.9767441860465101E-2</v>
      </c>
      <c r="T22" s="28">
        <v>600</v>
      </c>
      <c r="U22" s="36" t="s">
        <v>33</v>
      </c>
      <c r="V22" s="37" t="s">
        <v>33</v>
      </c>
      <c r="W22" s="28">
        <v>1</v>
      </c>
      <c r="X22" s="38">
        <f t="shared" si="9"/>
        <v>0.33333333333333331</v>
      </c>
      <c r="Y22" s="39">
        <f t="shared" si="10"/>
        <v>6.7200000000000006</v>
      </c>
      <c r="Z22" s="28">
        <v>1</v>
      </c>
      <c r="AA22" s="28" t="s">
        <v>34</v>
      </c>
      <c r="AB22" s="40">
        <f t="shared" si="11"/>
        <v>-0.69</v>
      </c>
      <c r="AC22" s="41">
        <v>8.204297569444445E-2</v>
      </c>
      <c r="AD22" s="39">
        <f t="shared" si="12"/>
        <v>-0.33965791937500001</v>
      </c>
      <c r="AE22" s="39">
        <v>-4.9000000000000004</v>
      </c>
      <c r="AF22" s="39">
        <v>-2.2242430000000004</v>
      </c>
      <c r="AG22" s="39">
        <v>0</v>
      </c>
    </row>
    <row r="23" spans="1:33" ht="15.75" customHeight="1" x14ac:dyDescent="0.2">
      <c r="A23" s="28" t="s">
        <v>62</v>
      </c>
      <c r="B23" s="28" t="s">
        <v>880</v>
      </c>
      <c r="C23" s="15">
        <f t="shared" si="1"/>
        <v>10.2225</v>
      </c>
      <c r="D23" s="29">
        <v>4</v>
      </c>
      <c r="E23" s="29">
        <v>0</v>
      </c>
      <c r="F23" s="32">
        <v>40.89</v>
      </c>
      <c r="G23" s="30">
        <v>-7.9500000000000011</v>
      </c>
      <c r="H23" s="31">
        <f t="shared" si="2"/>
        <v>0.19442406456346298</v>
      </c>
      <c r="I23" s="31">
        <f t="shared" si="3"/>
        <v>-5.2417442549115595E-2</v>
      </c>
      <c r="J23" s="32">
        <f t="shared" si="4"/>
        <v>-2.1433492258333366</v>
      </c>
      <c r="K23" s="32">
        <f t="shared" si="5"/>
        <v>-0.53583730645833416</v>
      </c>
      <c r="L23" s="29">
        <v>7</v>
      </c>
      <c r="M23" s="33">
        <f t="shared" si="6"/>
        <v>0.5714285714285714</v>
      </c>
      <c r="N23" s="29">
        <v>212</v>
      </c>
      <c r="O23" s="34">
        <f t="shared" ref="O23:P23" si="14">D23/7</f>
        <v>0.5714285714285714</v>
      </c>
      <c r="P23" s="34">
        <f t="shared" si="14"/>
        <v>0</v>
      </c>
      <c r="Q23" s="29">
        <f t="shared" si="8"/>
        <v>371</v>
      </c>
      <c r="R23" s="29"/>
      <c r="S23" s="35">
        <v>0.16080402010050199</v>
      </c>
      <c r="T23" s="28">
        <v>600</v>
      </c>
      <c r="U23" s="36" t="s">
        <v>33</v>
      </c>
      <c r="V23" s="37" t="s">
        <v>33</v>
      </c>
      <c r="W23" s="28">
        <v>1</v>
      </c>
      <c r="X23" s="38">
        <f t="shared" si="9"/>
        <v>0.25</v>
      </c>
      <c r="Y23" s="39">
        <f t="shared" si="10"/>
        <v>3.9750000000000005</v>
      </c>
      <c r="Z23" s="28">
        <v>1</v>
      </c>
      <c r="AA23" s="28" t="s">
        <v>34</v>
      </c>
      <c r="AB23" s="40">
        <f t="shared" si="11"/>
        <v>-0.69</v>
      </c>
      <c r="AC23" s="41">
        <v>8.204297569444445E-2</v>
      </c>
      <c r="AD23" s="39">
        <f t="shared" si="12"/>
        <v>-0.45287722583333334</v>
      </c>
      <c r="AE23" s="39">
        <v>-4.9000000000000004</v>
      </c>
      <c r="AF23" s="39">
        <v>-2.2242430000000004</v>
      </c>
      <c r="AG23" s="39">
        <v>0</v>
      </c>
    </row>
    <row r="24" spans="1:33" ht="15.75" customHeight="1" x14ac:dyDescent="0.2">
      <c r="A24" s="28" t="s">
        <v>64</v>
      </c>
      <c r="B24" s="28" t="s">
        <v>881</v>
      </c>
      <c r="C24" s="15">
        <f t="shared" si="1"/>
        <v>8.9799999999999986</v>
      </c>
      <c r="D24" s="29">
        <v>4</v>
      </c>
      <c r="E24" s="29">
        <v>0</v>
      </c>
      <c r="F24" s="32">
        <v>35.919999999999995</v>
      </c>
      <c r="G24" s="32">
        <v>-9.5500000000000007</v>
      </c>
      <c r="H24" s="31">
        <f t="shared" si="2"/>
        <v>0.26586859688195996</v>
      </c>
      <c r="I24" s="31">
        <f t="shared" si="3"/>
        <v>-0.22182208312453633</v>
      </c>
      <c r="J24" s="32">
        <f t="shared" si="4"/>
        <v>-7.9678492258333442</v>
      </c>
      <c r="K24" s="32">
        <f t="shared" si="5"/>
        <v>-1.9919623064583361</v>
      </c>
      <c r="L24" s="29">
        <v>8</v>
      </c>
      <c r="M24" s="33">
        <f t="shared" si="6"/>
        <v>0.5</v>
      </c>
      <c r="N24" s="29">
        <v>210</v>
      </c>
      <c r="O24" s="34">
        <f t="shared" ref="O24:P24" si="15">D24/7</f>
        <v>0.5714285714285714</v>
      </c>
      <c r="P24" s="34">
        <f t="shared" si="15"/>
        <v>0</v>
      </c>
      <c r="Q24" s="29">
        <f t="shared" si="8"/>
        <v>367</v>
      </c>
      <c r="R24" s="29"/>
      <c r="S24" s="35">
        <v>0.246445497630331</v>
      </c>
      <c r="T24" s="28">
        <v>600</v>
      </c>
      <c r="U24" s="36" t="s">
        <v>33</v>
      </c>
      <c r="V24" s="37" t="s">
        <v>33</v>
      </c>
      <c r="W24" s="28">
        <v>2</v>
      </c>
      <c r="X24" s="38">
        <f t="shared" si="9"/>
        <v>0.5</v>
      </c>
      <c r="Y24" s="39">
        <f t="shared" si="10"/>
        <v>4.7750000000000004</v>
      </c>
      <c r="Z24" s="28">
        <v>0</v>
      </c>
      <c r="AA24" s="28" t="s">
        <v>34</v>
      </c>
      <c r="AB24" s="40">
        <f t="shared" si="11"/>
        <v>-0.69</v>
      </c>
      <c r="AC24" s="41">
        <v>8.204297569444445E-2</v>
      </c>
      <c r="AD24" s="39">
        <f t="shared" si="12"/>
        <v>-0.45287722583333334</v>
      </c>
      <c r="AE24" s="39">
        <v>-4.9000000000000004</v>
      </c>
      <c r="AF24" s="39">
        <v>-2.2242430000000004</v>
      </c>
      <c r="AG24" s="39">
        <v>0</v>
      </c>
    </row>
    <row r="25" spans="1:33" ht="15.75" customHeight="1" x14ac:dyDescent="0.2">
      <c r="A25" s="28" t="s">
        <v>65</v>
      </c>
      <c r="B25" s="14" t="s">
        <v>882</v>
      </c>
      <c r="C25" s="15">
        <f t="shared" si="1"/>
        <v>8.9499999999999993</v>
      </c>
      <c r="D25" s="29">
        <v>8</v>
      </c>
      <c r="E25" s="29">
        <v>0</v>
      </c>
      <c r="F25" s="32">
        <v>71.599999999999994</v>
      </c>
      <c r="G25" s="32">
        <v>-29.59</v>
      </c>
      <c r="H25" s="31">
        <f t="shared" si="2"/>
        <v>0.41326815642458103</v>
      </c>
      <c r="I25" s="31">
        <f t="shared" si="3"/>
        <v>-0.42731500630819386</v>
      </c>
      <c r="J25" s="32">
        <f t="shared" si="4"/>
        <v>-30.595754451666679</v>
      </c>
      <c r="K25" s="32">
        <f t="shared" si="5"/>
        <v>-3.8244693064583348</v>
      </c>
      <c r="L25" s="29">
        <v>18</v>
      </c>
      <c r="M25" s="33">
        <f t="shared" si="6"/>
        <v>0.44444444444444442</v>
      </c>
      <c r="N25" s="29">
        <v>202</v>
      </c>
      <c r="O25" s="34">
        <f t="shared" ref="O25:P25" si="16">D25/7</f>
        <v>1.1428571428571428</v>
      </c>
      <c r="P25" s="34">
        <f t="shared" si="16"/>
        <v>0</v>
      </c>
      <c r="Q25" s="29">
        <f t="shared" si="8"/>
        <v>176</v>
      </c>
      <c r="R25" s="29"/>
      <c r="S25" s="35">
        <v>0.23863636363636359</v>
      </c>
      <c r="T25" s="28">
        <v>600</v>
      </c>
      <c r="U25" s="36" t="s">
        <v>33</v>
      </c>
      <c r="V25" s="37" t="s">
        <v>33</v>
      </c>
      <c r="W25" s="14">
        <v>4</v>
      </c>
      <c r="X25" s="38">
        <f t="shared" si="9"/>
        <v>0.5</v>
      </c>
      <c r="Y25" s="39">
        <f t="shared" si="10"/>
        <v>4.9316666666666666</v>
      </c>
      <c r="Z25" s="14">
        <v>2</v>
      </c>
      <c r="AA25" s="28" t="s">
        <v>34</v>
      </c>
      <c r="AB25" s="40">
        <f t="shared" si="11"/>
        <v>-0.69</v>
      </c>
      <c r="AC25" s="41">
        <v>8.204297569444445E-2</v>
      </c>
      <c r="AD25" s="39">
        <f t="shared" si="12"/>
        <v>-0.90575445166666668</v>
      </c>
      <c r="AE25" s="39">
        <v>-4.9000000000000004</v>
      </c>
      <c r="AF25" s="39">
        <v>-2.2200000000000002</v>
      </c>
      <c r="AG25" s="39">
        <v>-4</v>
      </c>
    </row>
    <row r="26" spans="1:33" ht="15.75" customHeight="1" x14ac:dyDescent="0.2">
      <c r="A26" s="14" t="s">
        <v>67</v>
      </c>
      <c r="B26" s="14" t="s">
        <v>883</v>
      </c>
      <c r="C26" s="15">
        <f t="shared" si="1"/>
        <v>8.65</v>
      </c>
      <c r="D26" s="16">
        <v>10</v>
      </c>
      <c r="E26" s="16">
        <v>0</v>
      </c>
      <c r="F26" s="17">
        <v>86.5</v>
      </c>
      <c r="G26" s="17">
        <v>-34.590000000000003</v>
      </c>
      <c r="H26" s="31">
        <f t="shared" si="2"/>
        <v>0.39988439306358387</v>
      </c>
      <c r="I26" s="31">
        <f t="shared" si="3"/>
        <v>-0.39328489092003871</v>
      </c>
      <c r="J26" s="32">
        <f t="shared" si="4"/>
        <v>-34.019143064583346</v>
      </c>
      <c r="K26" s="32">
        <f t="shared" si="5"/>
        <v>-3.4019143064583348</v>
      </c>
      <c r="L26" s="16">
        <v>16</v>
      </c>
      <c r="M26" s="33">
        <f t="shared" si="6"/>
        <v>0.625</v>
      </c>
      <c r="N26" s="16">
        <v>195</v>
      </c>
      <c r="O26" s="34">
        <f t="shared" ref="O26:P26" si="17">D26/7</f>
        <v>1.4285714285714286</v>
      </c>
      <c r="P26" s="34">
        <f t="shared" si="17"/>
        <v>0</v>
      </c>
      <c r="Q26" s="29">
        <f t="shared" si="8"/>
        <v>136</v>
      </c>
      <c r="R26" s="29"/>
      <c r="S26" s="21">
        <v>0.27665706051873201</v>
      </c>
      <c r="T26" s="28">
        <v>600</v>
      </c>
      <c r="U26" s="36" t="s">
        <v>33</v>
      </c>
      <c r="V26" s="37" t="s">
        <v>33</v>
      </c>
      <c r="W26" s="14">
        <v>4</v>
      </c>
      <c r="X26" s="38">
        <f t="shared" si="9"/>
        <v>0.4</v>
      </c>
      <c r="Y26" s="39">
        <f t="shared" si="10"/>
        <v>8.6475000000000009</v>
      </c>
      <c r="Z26" s="14">
        <v>0</v>
      </c>
      <c r="AA26" s="28" t="s">
        <v>34</v>
      </c>
      <c r="AB26" s="40">
        <f t="shared" si="11"/>
        <v>-0.69</v>
      </c>
      <c r="AC26" s="41">
        <v>8.204297569444445E-2</v>
      </c>
      <c r="AD26" s="39">
        <f t="shared" si="12"/>
        <v>-1.1321930645833334</v>
      </c>
      <c r="AE26" s="25">
        <v>-4.95</v>
      </c>
      <c r="AF26" s="25">
        <v>-2.2321949999999999</v>
      </c>
      <c r="AG26" s="25">
        <v>0</v>
      </c>
    </row>
    <row r="27" spans="1:33" ht="15.75" customHeight="1" x14ac:dyDescent="0.2">
      <c r="A27" s="14" t="s">
        <v>69</v>
      </c>
      <c r="B27" s="14" t="s">
        <v>316</v>
      </c>
      <c r="C27" s="15">
        <f t="shared" si="1"/>
        <v>8.1230000000000011</v>
      </c>
      <c r="D27" s="16">
        <v>10</v>
      </c>
      <c r="E27" s="16">
        <v>0</v>
      </c>
      <c r="F27" s="17">
        <v>81.23</v>
      </c>
      <c r="G27" s="17">
        <v>-31.62</v>
      </c>
      <c r="H27" s="31">
        <f t="shared" si="2"/>
        <v>0.38926504985842669</v>
      </c>
      <c r="I27" s="31">
        <f t="shared" si="3"/>
        <v>-0.47431543844125734</v>
      </c>
      <c r="J27" s="32">
        <f t="shared" si="4"/>
        <v>-38.528643064583335</v>
      </c>
      <c r="K27" s="32">
        <f t="shared" si="5"/>
        <v>-3.8528643064583337</v>
      </c>
      <c r="L27" s="16">
        <v>18</v>
      </c>
      <c r="M27" s="33">
        <f t="shared" si="6"/>
        <v>0.55555555555555558</v>
      </c>
      <c r="N27" s="16">
        <v>183</v>
      </c>
      <c r="O27" s="34">
        <f t="shared" ref="O27:P27" si="18">D27/7</f>
        <v>1.4285714285714286</v>
      </c>
      <c r="P27" s="34">
        <f t="shared" si="18"/>
        <v>0</v>
      </c>
      <c r="Q27" s="29">
        <f t="shared" si="8"/>
        <v>128</v>
      </c>
      <c r="R27" s="29"/>
      <c r="S27" s="21">
        <v>0.40519480519480522</v>
      </c>
      <c r="T27" s="28">
        <v>600</v>
      </c>
      <c r="U27" s="36" t="s">
        <v>33</v>
      </c>
      <c r="V27" s="37" t="s">
        <v>33</v>
      </c>
      <c r="W27" s="14">
        <v>4</v>
      </c>
      <c r="X27" s="38">
        <f t="shared" si="9"/>
        <v>0.4</v>
      </c>
      <c r="Y27" s="39">
        <f t="shared" si="10"/>
        <v>3.5133333333333336</v>
      </c>
      <c r="Z27" s="14">
        <v>5</v>
      </c>
      <c r="AA27" s="28" t="s">
        <v>34</v>
      </c>
      <c r="AB27" s="40">
        <f t="shared" si="11"/>
        <v>-0.69</v>
      </c>
      <c r="AC27" s="41">
        <v>8.204297569444445E-2</v>
      </c>
      <c r="AD27" s="39">
        <f t="shared" si="12"/>
        <v>-1.1321930645833334</v>
      </c>
      <c r="AE27" s="25">
        <v>-4.95</v>
      </c>
      <c r="AF27" s="25">
        <v>-2.2321949999999999</v>
      </c>
      <c r="AG27" s="25">
        <v>-3</v>
      </c>
    </row>
    <row r="28" spans="1:33" ht="15.75" customHeight="1" x14ac:dyDescent="0.2">
      <c r="A28" s="14" t="s">
        <v>71</v>
      </c>
      <c r="B28" s="14" t="s">
        <v>864</v>
      </c>
      <c r="C28" s="15">
        <f t="shared" si="1"/>
        <v>8.0330769230769228</v>
      </c>
      <c r="D28" s="16">
        <v>26</v>
      </c>
      <c r="E28" s="16">
        <v>0</v>
      </c>
      <c r="F28" s="17">
        <v>208.86</v>
      </c>
      <c r="G28" s="17">
        <v>-103.78</v>
      </c>
      <c r="H28" s="31">
        <f t="shared" si="2"/>
        <v>0.4968878674710332</v>
      </c>
      <c r="I28" s="31">
        <f t="shared" si="3"/>
        <v>-0.55505971448777491</v>
      </c>
      <c r="J28" s="32">
        <f t="shared" si="4"/>
        <v>-115.92977196791668</v>
      </c>
      <c r="K28" s="32">
        <f t="shared" si="5"/>
        <v>-4.458837383381411</v>
      </c>
      <c r="L28" s="16">
        <v>31</v>
      </c>
      <c r="M28" s="33">
        <f t="shared" si="6"/>
        <v>0.83870967741935487</v>
      </c>
      <c r="N28" s="16">
        <v>156</v>
      </c>
      <c r="O28" s="34">
        <f t="shared" ref="O28:P28" si="19">D28/7</f>
        <v>3.7142857142857144</v>
      </c>
      <c r="P28" s="34">
        <f t="shared" si="19"/>
        <v>0</v>
      </c>
      <c r="Q28" s="29">
        <f t="shared" si="8"/>
        <v>42</v>
      </c>
      <c r="R28" s="29"/>
      <c r="S28" s="21">
        <v>0.63660477453580899</v>
      </c>
      <c r="T28" s="28">
        <v>600</v>
      </c>
      <c r="U28" s="36" t="s">
        <v>33</v>
      </c>
      <c r="V28" s="37" t="s">
        <v>33</v>
      </c>
      <c r="W28" s="14">
        <v>14</v>
      </c>
      <c r="X28" s="38">
        <f t="shared" si="9"/>
        <v>0.53846153846153844</v>
      </c>
      <c r="Y28" s="39">
        <f t="shared" si="10"/>
        <v>5.7655555555555553</v>
      </c>
      <c r="Z28" s="14">
        <v>4</v>
      </c>
      <c r="AA28" s="28" t="s">
        <v>34</v>
      </c>
      <c r="AB28" s="40">
        <f t="shared" si="11"/>
        <v>-0.69</v>
      </c>
      <c r="AC28" s="41">
        <v>8.204297569444445E-2</v>
      </c>
      <c r="AD28" s="39">
        <f t="shared" si="12"/>
        <v>-2.9437019679166667</v>
      </c>
      <c r="AE28" s="25">
        <v>-4.95</v>
      </c>
      <c r="AF28" s="25">
        <v>-2.2321949999999999</v>
      </c>
      <c r="AG28" s="25">
        <v>0</v>
      </c>
    </row>
    <row r="29" spans="1:33" ht="15.75" customHeight="1" x14ac:dyDescent="0.2">
      <c r="A29" s="28" t="s">
        <v>72</v>
      </c>
      <c r="B29" s="28" t="s">
        <v>884</v>
      </c>
      <c r="C29" s="15">
        <f t="shared" si="1"/>
        <v>7.9836363636363634</v>
      </c>
      <c r="D29" s="29">
        <v>22</v>
      </c>
      <c r="E29" s="29">
        <v>0</v>
      </c>
      <c r="F29" s="32">
        <v>175.64</v>
      </c>
      <c r="G29" s="32">
        <v>-58.17</v>
      </c>
      <c r="H29" s="31">
        <f t="shared" si="2"/>
        <v>0.33118879526303807</v>
      </c>
      <c r="I29" s="31">
        <f t="shared" si="3"/>
        <v>-0.3949847115809802</v>
      </c>
      <c r="J29" s="32">
        <f t="shared" si="4"/>
        <v>-69.375114742083355</v>
      </c>
      <c r="K29" s="32">
        <f t="shared" si="5"/>
        <v>-3.1534143064583344</v>
      </c>
      <c r="L29" s="29">
        <v>35</v>
      </c>
      <c r="M29" s="33">
        <f t="shared" si="6"/>
        <v>0.62857142857142856</v>
      </c>
      <c r="N29" s="16">
        <v>138</v>
      </c>
      <c r="O29" s="34">
        <f t="shared" ref="O29:P29" si="20">D29/7</f>
        <v>3.1428571428571428</v>
      </c>
      <c r="P29" s="34">
        <f t="shared" si="20"/>
        <v>0</v>
      </c>
      <c r="Q29" s="29">
        <f t="shared" si="8"/>
        <v>43</v>
      </c>
      <c r="R29" s="29"/>
      <c r="S29" s="21">
        <v>0.68907563025210083</v>
      </c>
      <c r="T29" s="28">
        <v>600</v>
      </c>
      <c r="U29" s="36" t="s">
        <v>33</v>
      </c>
      <c r="V29" s="37" t="s">
        <v>33</v>
      </c>
      <c r="W29" s="14">
        <v>8</v>
      </c>
      <c r="X29" s="38">
        <f t="shared" si="9"/>
        <v>0.36363636363636365</v>
      </c>
      <c r="Y29" s="39">
        <f t="shared" si="10"/>
        <v>5.8170000000000002</v>
      </c>
      <c r="Z29" s="14">
        <v>2</v>
      </c>
      <c r="AA29" s="28" t="s">
        <v>34</v>
      </c>
      <c r="AB29" s="40">
        <f t="shared" si="11"/>
        <v>-0.69</v>
      </c>
      <c r="AC29" s="41">
        <v>8.204297569444445E-2</v>
      </c>
      <c r="AD29" s="39">
        <f t="shared" si="12"/>
        <v>-2.4908247420833334</v>
      </c>
      <c r="AE29" s="39">
        <v>-4.95</v>
      </c>
      <c r="AF29" s="25">
        <v>-2.2321949999999999</v>
      </c>
      <c r="AG29" s="39">
        <v>0</v>
      </c>
    </row>
    <row r="30" spans="1:33" ht="15.75" customHeight="1" x14ac:dyDescent="0.2">
      <c r="A30" s="14" t="s">
        <v>74</v>
      </c>
      <c r="B30" s="14" t="s">
        <v>885</v>
      </c>
      <c r="C30" s="15">
        <f t="shared" si="1"/>
        <v>8.16</v>
      </c>
      <c r="D30" s="16">
        <v>3</v>
      </c>
      <c r="E30" s="16">
        <v>0</v>
      </c>
      <c r="F30" s="17">
        <v>24.48</v>
      </c>
      <c r="G30" s="17">
        <v>-2.4900000000000002</v>
      </c>
      <c r="H30" s="31">
        <f t="shared" si="2"/>
        <v>0.10171568627450982</v>
      </c>
      <c r="I30" s="31">
        <f t="shared" si="3"/>
        <v>-0.18209920295394216</v>
      </c>
      <c r="J30" s="32">
        <f t="shared" si="4"/>
        <v>-4.4577884883125041</v>
      </c>
      <c r="K30" s="32">
        <f t="shared" si="5"/>
        <v>-1.485929496104168</v>
      </c>
      <c r="L30" s="16">
        <v>9</v>
      </c>
      <c r="M30" s="33">
        <f t="shared" si="6"/>
        <v>0.33333333333333331</v>
      </c>
      <c r="N30" s="16">
        <v>132</v>
      </c>
      <c r="O30" s="34">
        <f t="shared" ref="O30:P30" si="21">D30/7</f>
        <v>0.42857142857142855</v>
      </c>
      <c r="P30" s="34">
        <f t="shared" si="21"/>
        <v>0</v>
      </c>
      <c r="Q30" s="29">
        <f t="shared" si="8"/>
        <v>308</v>
      </c>
      <c r="R30" s="29"/>
      <c r="S30" s="21">
        <v>0.76859504132231404</v>
      </c>
      <c r="T30" s="28">
        <v>600</v>
      </c>
      <c r="U30" s="36" t="s">
        <v>33</v>
      </c>
      <c r="V30" s="37" t="s">
        <v>33</v>
      </c>
      <c r="W30" s="14">
        <v>2</v>
      </c>
      <c r="X30" s="38">
        <f t="shared" si="9"/>
        <v>0.66666666666666663</v>
      </c>
      <c r="Y30" s="39">
        <f t="shared" si="10"/>
        <v>1.2450000000000001</v>
      </c>
      <c r="Z30" s="14">
        <v>0</v>
      </c>
      <c r="AA30" s="28" t="s">
        <v>34</v>
      </c>
      <c r="AB30" s="40">
        <f t="shared" si="11"/>
        <v>-0.69</v>
      </c>
      <c r="AC30" s="41">
        <v>8.204297569444445E-2</v>
      </c>
      <c r="AD30" s="39">
        <f t="shared" si="12"/>
        <v>-0.33965791937500001</v>
      </c>
      <c r="AE30" s="25">
        <v>-4.95</v>
      </c>
      <c r="AF30" s="25">
        <v>-2.1953768563125</v>
      </c>
      <c r="AG30" s="25">
        <v>-1</v>
      </c>
    </row>
    <row r="31" spans="1:33" ht="15.75" customHeight="1" x14ac:dyDescent="0.2">
      <c r="A31" s="14" t="s">
        <v>75</v>
      </c>
      <c r="B31" s="48" t="s">
        <v>886</v>
      </c>
      <c r="C31" s="15">
        <f t="shared" si="1"/>
        <v>8.9499999999999993</v>
      </c>
      <c r="D31" s="16">
        <v>6</v>
      </c>
      <c r="E31" s="16">
        <v>0</v>
      </c>
      <c r="F31" s="17">
        <v>53.699999999999996</v>
      </c>
      <c r="G31" s="42">
        <v>0</v>
      </c>
      <c r="H31" s="31">
        <f t="shared" si="2"/>
        <v>0</v>
      </c>
      <c r="I31" s="31">
        <f t="shared" si="3"/>
        <v>3.8983668964152493E-2</v>
      </c>
      <c r="J31" s="32">
        <f t="shared" si="4"/>
        <v>2.0934230233749886</v>
      </c>
      <c r="K31" s="32">
        <f t="shared" si="5"/>
        <v>0.34890383722916479</v>
      </c>
      <c r="L31" s="16">
        <v>7</v>
      </c>
      <c r="M31" s="33">
        <f t="shared" si="6"/>
        <v>0.8571428571428571</v>
      </c>
      <c r="N31" s="16">
        <v>129</v>
      </c>
      <c r="O31" s="34">
        <f t="shared" ref="O31:P32" si="22">D31/7</f>
        <v>0.8571428571428571</v>
      </c>
      <c r="P31" s="34">
        <f t="shared" si="22"/>
        <v>0</v>
      </c>
      <c r="Q31" s="29">
        <f t="shared" si="8"/>
        <v>150</v>
      </c>
      <c r="R31" s="29"/>
      <c r="S31" s="21">
        <v>0.75303643724696301</v>
      </c>
      <c r="T31" s="14" t="s">
        <v>33</v>
      </c>
      <c r="U31" s="22" t="s">
        <v>33</v>
      </c>
      <c r="V31" s="1" t="s">
        <v>936</v>
      </c>
      <c r="W31" s="14">
        <v>0</v>
      </c>
      <c r="X31" s="38">
        <f t="shared" si="9"/>
        <v>0</v>
      </c>
      <c r="Y31" s="39">
        <f t="shared" si="10"/>
        <v>0</v>
      </c>
      <c r="Z31" s="14">
        <v>0</v>
      </c>
      <c r="AA31" s="14" t="s">
        <v>34</v>
      </c>
      <c r="AB31" s="40">
        <f t="shared" si="11"/>
        <v>-0.69</v>
      </c>
      <c r="AC31" s="27">
        <v>8.204297569444445E-2</v>
      </c>
      <c r="AD31" s="39">
        <f t="shared" si="12"/>
        <v>-0.67931583875000001</v>
      </c>
      <c r="AE31" s="43">
        <v>-4.95</v>
      </c>
      <c r="AF31" s="43">
        <v>-2.1953768563125005</v>
      </c>
      <c r="AG31" s="25">
        <v>0</v>
      </c>
    </row>
    <row r="32" spans="1:33" s="51" customFormat="1" ht="15.75" customHeight="1" x14ac:dyDescent="0.2">
      <c r="A32" s="51" t="s">
        <v>934</v>
      </c>
      <c r="C32" s="15">
        <f t="shared" si="1"/>
        <v>8.4362499999999994</v>
      </c>
      <c r="D32" s="52">
        <v>8</v>
      </c>
      <c r="E32" s="52">
        <v>0</v>
      </c>
      <c r="F32" s="53">
        <v>67.489999999999995</v>
      </c>
      <c r="G32" s="53">
        <v>-8.4</v>
      </c>
      <c r="H32" s="31">
        <f t="shared" si="2"/>
        <v>0.12446288339013188</v>
      </c>
      <c r="I32" s="31">
        <f t="shared" si="3"/>
        <v>-0.13486841461204138</v>
      </c>
      <c r="J32" s="32">
        <f t="shared" si="4"/>
        <v>-9.1022693021666718</v>
      </c>
      <c r="K32" s="32">
        <f t="shared" si="5"/>
        <v>-1.137783662770834</v>
      </c>
      <c r="L32" s="52">
        <v>13</v>
      </c>
      <c r="M32" s="33">
        <f t="shared" si="6"/>
        <v>0.61538461538461542</v>
      </c>
      <c r="N32" s="52">
        <v>119</v>
      </c>
      <c r="O32" s="34">
        <f t="shared" si="22"/>
        <v>1.1428571428571428</v>
      </c>
      <c r="P32" s="34">
        <f t="shared" si="22"/>
        <v>0</v>
      </c>
      <c r="Q32" s="29">
        <f t="shared" si="8"/>
        <v>104</v>
      </c>
      <c r="R32" s="29" t="str">
        <f ca="1">IFERROR(VLOOKUP($B$2,IMPORTRANGE("https://docs.google.com/spreadsheets/d/1KiWZV1ko8G7lnRucBRBd29jj3Be6ltMfljMDqzOkQmI/edit#gid=1381463014","Lookup!A:F"),6,FALSE),"")</f>
        <v/>
      </c>
      <c r="S32" s="54">
        <v>0.83499005964214712</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8.204297569444445E-2</v>
      </c>
      <c r="AD32" s="39">
        <f t="shared" si="12"/>
        <v>-0.90575445166666668</v>
      </c>
      <c r="AE32" s="58">
        <v>-4.95</v>
      </c>
      <c r="AF32" s="58">
        <v>-2.1953768563125</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Info!B1:BJ5000""),3,FALSE),"""")"),"6 Ft Power Cords for TV Computer or Monitor, 5 Pack - 18/3 Replacement Power Cables, Black")</f>
        <v>6 Ft Power Cords for TV Computer or Monitor, 5 Pack - 18/3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Info!B1:BJ5000""),2,FALSE),"""")"),"B08NLH1JMF")</f>
        <v>B08NLH1JMF</v>
      </c>
      <c r="B2" s="3" t="s">
        <v>887</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13.139343695036763</v>
      </c>
      <c r="D3" s="5">
        <f>SUM(D4:D99765)</f>
        <v>80</v>
      </c>
      <c r="E3" s="5"/>
      <c r="F3" s="6">
        <f t="shared" ref="F3:G3" si="0">SUM(F4:F99765)</f>
        <v>1256.22</v>
      </c>
      <c r="G3" s="6">
        <f t="shared" si="0"/>
        <v>-45.650000000000006</v>
      </c>
      <c r="H3" s="7">
        <f>G3/F3*-1</f>
        <v>3.633917625893554E-2</v>
      </c>
      <c r="I3" s="8">
        <f>J3/F3</f>
        <v>8.7066893478757929E-2</v>
      </c>
      <c r="J3" s="6">
        <f>SUM(J4:J99765)</f>
        <v>109.37517292588529</v>
      </c>
      <c r="K3" s="6">
        <f>J3/D3</f>
        <v>1.3671896615735661</v>
      </c>
      <c r="L3" s="5"/>
      <c r="M3" s="9"/>
      <c r="N3" s="10"/>
      <c r="O3" s="5" t="str">
        <f ca="1">IFERROR(__xludf.DUMMYFUNCTION("VLOOKUP(B2,IMPORTRANGE(""https://docs.google.com/spreadsheets/d/1N8jvpEHDVkurDv7NrPxwI3eH6hQsvtb1QltGNCalRjU/edit#gid=865736387"",""Compiled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4</v>
      </c>
      <c r="X3" s="7">
        <f>W3/D3</f>
        <v>0.05</v>
      </c>
      <c r="Y3" s="6"/>
      <c r="Z3" s="5"/>
      <c r="AA3" s="5"/>
      <c r="AB3" s="5"/>
      <c r="AC3" s="5"/>
      <c r="AD3" s="6">
        <f>SUM(AD4:AD99765)</f>
        <v>-17.921734933333333</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Info!B2:BZ7000""),37,FALSE)),"""")*-1"),-5.48844214078125)</f>
        <v>-5.4884421407812498</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888</v>
      </c>
      <c r="C21" s="15">
        <f t="shared" ref="C21:C32" si="1">IFERROR(F21/D21," - ")</f>
        <v>19.989999999999998</v>
      </c>
      <c r="D21" s="29">
        <v>6</v>
      </c>
      <c r="E21" s="29">
        <v>0</v>
      </c>
      <c r="F21" s="32">
        <v>119.93999999999998</v>
      </c>
      <c r="G21" s="30">
        <v>-28.25</v>
      </c>
      <c r="H21" s="31">
        <f t="shared" ref="H21:H32" si="2">G21/F21*-1</f>
        <v>0.23553443388360851</v>
      </c>
      <c r="I21" s="31">
        <f t="shared" ref="I21:I32" si="3">J21/F21</f>
        <v>5.3793770885442599E-2</v>
      </c>
      <c r="J21" s="32">
        <f t="shared" ref="J21:J32" si="4">F21*0.85+G21+AF21*D21+D21*AE21+AG21+AD21</f>
        <v>6.4520248799999846</v>
      </c>
      <c r="K21" s="32">
        <f t="shared" ref="K21:K32" si="5">J21/D21</f>
        <v>1.0753374799999975</v>
      </c>
      <c r="L21" s="29">
        <v>0</v>
      </c>
      <c r="M21" s="33" t="str">
        <f t="shared" ref="M21:M32" si="6">IFERROR(D21/L21,"-")</f>
        <v>-</v>
      </c>
      <c r="N21" s="29">
        <v>106</v>
      </c>
      <c r="O21" s="34">
        <f t="shared" ref="O21:P21" si="7">D21/7</f>
        <v>0.8571428571428571</v>
      </c>
      <c r="P21" s="34">
        <f t="shared" si="7"/>
        <v>0</v>
      </c>
      <c r="Q21" s="29">
        <f t="shared" ref="Q21:Q32" si="8">ROUNDDOWN(N21/(O21+P21),0)</f>
        <v>123</v>
      </c>
      <c r="R21" s="29"/>
      <c r="S21" s="35">
        <v>3.6697247706422E-2</v>
      </c>
      <c r="T21" s="28">
        <v>400</v>
      </c>
      <c r="U21" s="36" t="s">
        <v>33</v>
      </c>
      <c r="V21" s="37" t="s">
        <v>33</v>
      </c>
      <c r="W21" s="28">
        <v>3</v>
      </c>
      <c r="X21" s="38">
        <f t="shared" ref="X21:X32" si="9">IFERROR(W21/D21,0)</f>
        <v>0.5</v>
      </c>
      <c r="Y21" s="39">
        <f t="shared" ref="Y21:Y32" si="10">IFERROR(G21/(W21+Z21)*-1,0)</f>
        <v>4.0357142857142856</v>
      </c>
      <c r="Z21" s="28">
        <v>4</v>
      </c>
      <c r="AA21" s="28" t="s">
        <v>34</v>
      </c>
      <c r="AB21" s="40">
        <f t="shared" ref="AB21:AB32" si="11">IF(OR(AA21="UsLargeStandardSize",AA21="UsSmallStandardSize"),-0.69,-0.48)</f>
        <v>-0.69</v>
      </c>
      <c r="AC21" s="41">
        <v>0.16233455555555557</v>
      </c>
      <c r="AD21" s="39">
        <f t="shared" ref="AD21:AD32" si="12">IFERROR(AB21*AC21*D21*2,0)</f>
        <v>-1.34413012</v>
      </c>
      <c r="AE21" s="39">
        <v>-5.42</v>
      </c>
      <c r="AF21" s="39">
        <v>-5.5638075000000011</v>
      </c>
      <c r="AG21" s="39">
        <v>0</v>
      </c>
    </row>
    <row r="22" spans="1:33" ht="15.75" customHeight="1" x14ac:dyDescent="0.2">
      <c r="A22" s="28" t="s">
        <v>60</v>
      </c>
      <c r="B22" s="28" t="s">
        <v>82</v>
      </c>
      <c r="C22" s="15">
        <f t="shared" si="1"/>
        <v>19.576249999999998</v>
      </c>
      <c r="D22" s="29">
        <v>8</v>
      </c>
      <c r="E22" s="29">
        <v>0</v>
      </c>
      <c r="F22" s="30">
        <v>156.60999999999999</v>
      </c>
      <c r="G22" s="30">
        <v>-13.09</v>
      </c>
      <c r="H22" s="31">
        <f t="shared" si="2"/>
        <v>8.3583423791584191E-2</v>
      </c>
      <c r="I22" s="31">
        <f t="shared" si="3"/>
        <v>0.19389481199582811</v>
      </c>
      <c r="J22" s="32">
        <f t="shared" si="4"/>
        <v>30.365866506666638</v>
      </c>
      <c r="K22" s="32">
        <f t="shared" si="5"/>
        <v>3.7957333133333298</v>
      </c>
      <c r="L22" s="29">
        <v>13</v>
      </c>
      <c r="M22" s="33">
        <f t="shared" si="6"/>
        <v>0.61538461538461542</v>
      </c>
      <c r="N22" s="29">
        <v>86</v>
      </c>
      <c r="O22" s="34">
        <f t="shared" ref="O22:P22" si="13">D22/7</f>
        <v>1.1428571428571428</v>
      </c>
      <c r="P22" s="34">
        <f t="shared" si="13"/>
        <v>0</v>
      </c>
      <c r="Q22" s="29">
        <f t="shared" si="8"/>
        <v>75</v>
      </c>
      <c r="R22" s="29"/>
      <c r="S22" s="35">
        <v>0.44444444444444398</v>
      </c>
      <c r="T22" s="28">
        <v>400</v>
      </c>
      <c r="U22" s="36" t="s">
        <v>33</v>
      </c>
      <c r="V22" s="37" t="s">
        <v>33</v>
      </c>
      <c r="W22" s="28">
        <v>1</v>
      </c>
      <c r="X22" s="38">
        <f t="shared" si="9"/>
        <v>0.125</v>
      </c>
      <c r="Y22" s="39">
        <f t="shared" si="10"/>
        <v>13.09</v>
      </c>
      <c r="Z22" s="28">
        <v>0</v>
      </c>
      <c r="AA22" s="28" t="s">
        <v>34</v>
      </c>
      <c r="AB22" s="40">
        <f t="shared" si="11"/>
        <v>-0.69</v>
      </c>
      <c r="AC22" s="41">
        <v>0.16233455555555557</v>
      </c>
      <c r="AD22" s="39">
        <f t="shared" si="12"/>
        <v>-1.7921734933333333</v>
      </c>
      <c r="AE22" s="39">
        <v>-5.42</v>
      </c>
      <c r="AF22" s="39">
        <v>-5.5638075000000011</v>
      </c>
      <c r="AG22" s="39">
        <v>0</v>
      </c>
    </row>
    <row r="23" spans="1:33" ht="15.75" customHeight="1" x14ac:dyDescent="0.2">
      <c r="A23" s="28" t="s">
        <v>62</v>
      </c>
      <c r="B23" s="28" t="s">
        <v>889</v>
      </c>
      <c r="C23" s="15">
        <f t="shared" si="1"/>
        <v>17.2</v>
      </c>
      <c r="D23" s="29">
        <v>1</v>
      </c>
      <c r="E23" s="29">
        <v>0</v>
      </c>
      <c r="F23" s="32">
        <v>17.2</v>
      </c>
      <c r="G23" s="30">
        <v>0</v>
      </c>
      <c r="H23" s="31">
        <f t="shared" si="2"/>
        <v>0</v>
      </c>
      <c r="I23" s="31">
        <f t="shared" si="3"/>
        <v>0.19838202403100766</v>
      </c>
      <c r="J23" s="32">
        <f t="shared" si="4"/>
        <v>3.4121708133333315</v>
      </c>
      <c r="K23" s="32">
        <f t="shared" si="5"/>
        <v>3.4121708133333315</v>
      </c>
      <c r="L23" s="29">
        <v>7</v>
      </c>
      <c r="M23" s="33">
        <f t="shared" si="6"/>
        <v>0.14285714285714285</v>
      </c>
      <c r="N23" s="29">
        <v>65</v>
      </c>
      <c r="O23" s="34">
        <f t="shared" ref="O23:P23" si="14">D23/7</f>
        <v>0.14285714285714285</v>
      </c>
      <c r="P23" s="34">
        <f t="shared" si="14"/>
        <v>0</v>
      </c>
      <c r="Q23" s="29">
        <f t="shared" si="8"/>
        <v>455</v>
      </c>
      <c r="R23" s="29"/>
      <c r="S23" s="35">
        <v>0.92307692307692302</v>
      </c>
      <c r="T23" s="28">
        <v>400</v>
      </c>
      <c r="U23" s="36" t="s">
        <v>33</v>
      </c>
      <c r="V23" s="37" t="s">
        <v>33</v>
      </c>
      <c r="W23" s="28">
        <v>0</v>
      </c>
      <c r="X23" s="38">
        <f t="shared" si="9"/>
        <v>0</v>
      </c>
      <c r="Y23" s="39">
        <f t="shared" si="10"/>
        <v>0</v>
      </c>
      <c r="Z23" s="28">
        <v>0</v>
      </c>
      <c r="AA23" s="28" t="s">
        <v>34</v>
      </c>
      <c r="AB23" s="40">
        <f t="shared" si="11"/>
        <v>-0.69</v>
      </c>
      <c r="AC23" s="41">
        <v>0.16233455555555557</v>
      </c>
      <c r="AD23" s="39">
        <f t="shared" si="12"/>
        <v>-0.22402168666666666</v>
      </c>
      <c r="AE23" s="39">
        <v>-5.42</v>
      </c>
      <c r="AF23" s="39">
        <v>-5.5638075000000011</v>
      </c>
      <c r="AG23" s="39">
        <v>0</v>
      </c>
    </row>
    <row r="24" spans="1:33" ht="15.75" customHeight="1" x14ac:dyDescent="0.2">
      <c r="A24" s="28" t="s">
        <v>64</v>
      </c>
      <c r="B24" s="28" t="s">
        <v>890</v>
      </c>
      <c r="C24" s="15">
        <f t="shared" si="1"/>
        <v>17.54</v>
      </c>
      <c r="D24" s="29">
        <v>4</v>
      </c>
      <c r="E24" s="29">
        <v>0</v>
      </c>
      <c r="F24" s="32">
        <v>70.16</v>
      </c>
      <c r="G24" s="32">
        <v>-4.3099999999999996</v>
      </c>
      <c r="H24" s="31">
        <f t="shared" si="2"/>
        <v>6.1431014823261118E-2</v>
      </c>
      <c r="I24" s="31">
        <f t="shared" si="3"/>
        <v>0.14958214443177484</v>
      </c>
      <c r="J24" s="32">
        <f t="shared" si="4"/>
        <v>10.494683253333323</v>
      </c>
      <c r="K24" s="32">
        <f t="shared" si="5"/>
        <v>2.6236708133333306</v>
      </c>
      <c r="L24" s="29">
        <v>6</v>
      </c>
      <c r="M24" s="33">
        <f t="shared" si="6"/>
        <v>0.66666666666666663</v>
      </c>
      <c r="N24" s="29">
        <v>62</v>
      </c>
      <c r="O24" s="34">
        <f t="shared" ref="O24:P24" si="15">D24/7</f>
        <v>0.5714285714285714</v>
      </c>
      <c r="P24" s="34">
        <f t="shared" si="15"/>
        <v>0</v>
      </c>
      <c r="Q24" s="29">
        <f t="shared" si="8"/>
        <v>108</v>
      </c>
      <c r="R24" s="29"/>
      <c r="S24" s="35">
        <v>1</v>
      </c>
      <c r="T24" s="28">
        <v>400</v>
      </c>
      <c r="U24" s="36" t="s">
        <v>33</v>
      </c>
      <c r="V24" s="37" t="s">
        <v>33</v>
      </c>
      <c r="W24" s="28">
        <v>0</v>
      </c>
      <c r="X24" s="38">
        <f t="shared" si="9"/>
        <v>0</v>
      </c>
      <c r="Y24" s="39">
        <f t="shared" si="10"/>
        <v>0</v>
      </c>
      <c r="Z24" s="28">
        <v>0</v>
      </c>
      <c r="AA24" s="28" t="s">
        <v>34</v>
      </c>
      <c r="AB24" s="40">
        <f t="shared" si="11"/>
        <v>-0.69</v>
      </c>
      <c r="AC24" s="41">
        <v>0.16233455555555557</v>
      </c>
      <c r="AD24" s="39">
        <f t="shared" si="12"/>
        <v>-0.89608674666666666</v>
      </c>
      <c r="AE24" s="39">
        <v>-5.42</v>
      </c>
      <c r="AF24" s="39">
        <v>-5.5638075000000011</v>
      </c>
      <c r="AG24" s="39">
        <v>0</v>
      </c>
    </row>
    <row r="25" spans="1:33" ht="15.75" customHeight="1" x14ac:dyDescent="0.2">
      <c r="A25" s="28" t="s">
        <v>65</v>
      </c>
      <c r="B25" s="14" t="s">
        <v>891</v>
      </c>
      <c r="C25" s="15">
        <f t="shared" si="1"/>
        <v>16.989999999999998</v>
      </c>
      <c r="D25" s="29">
        <v>3</v>
      </c>
      <c r="E25" s="29">
        <v>0</v>
      </c>
      <c r="F25" s="32">
        <v>50.97</v>
      </c>
      <c r="G25" s="32">
        <v>0</v>
      </c>
      <c r="H25" s="31">
        <f t="shared" si="2"/>
        <v>0</v>
      </c>
      <c r="I25" s="31">
        <f t="shared" si="3"/>
        <v>0.19055199019030808</v>
      </c>
      <c r="J25" s="32">
        <f t="shared" si="4"/>
        <v>9.7124349400000032</v>
      </c>
      <c r="K25" s="32">
        <f t="shared" si="5"/>
        <v>3.2374783133333342</v>
      </c>
      <c r="L25" s="29">
        <v>4</v>
      </c>
      <c r="M25" s="33">
        <f t="shared" si="6"/>
        <v>0.75</v>
      </c>
      <c r="N25" s="29">
        <v>58</v>
      </c>
      <c r="O25" s="34">
        <f t="shared" ref="O25:P25" si="16">D25/7</f>
        <v>0.42857142857142855</v>
      </c>
      <c r="P25" s="34">
        <f t="shared" si="16"/>
        <v>0</v>
      </c>
      <c r="Q25" s="29">
        <f t="shared" si="8"/>
        <v>135</v>
      </c>
      <c r="R25" s="29"/>
      <c r="S25" s="35">
        <v>0.4943820224719101</v>
      </c>
      <c r="T25" s="28">
        <v>400</v>
      </c>
      <c r="U25" s="36" t="s">
        <v>33</v>
      </c>
      <c r="V25" s="37" t="s">
        <v>33</v>
      </c>
      <c r="W25" s="14">
        <v>0</v>
      </c>
      <c r="X25" s="38">
        <f t="shared" si="9"/>
        <v>0</v>
      </c>
      <c r="Y25" s="39">
        <f t="shared" si="10"/>
        <v>0</v>
      </c>
      <c r="Z25" s="14">
        <v>0</v>
      </c>
      <c r="AA25" s="28" t="s">
        <v>34</v>
      </c>
      <c r="AB25" s="40">
        <f t="shared" si="11"/>
        <v>-0.69</v>
      </c>
      <c r="AC25" s="41">
        <v>0.16233455555555557</v>
      </c>
      <c r="AD25" s="39">
        <f t="shared" si="12"/>
        <v>-0.67206505999999999</v>
      </c>
      <c r="AE25" s="39">
        <v>-5.42</v>
      </c>
      <c r="AF25" s="39">
        <v>-5.56</v>
      </c>
      <c r="AG25" s="39">
        <v>0</v>
      </c>
    </row>
    <row r="26" spans="1:33" ht="15.75" customHeight="1" x14ac:dyDescent="0.2">
      <c r="A26" s="14" t="s">
        <v>67</v>
      </c>
      <c r="B26" s="14" t="s">
        <v>892</v>
      </c>
      <c r="C26" s="15">
        <f t="shared" si="1"/>
        <v>13.772500000000001</v>
      </c>
      <c r="D26" s="16">
        <v>12</v>
      </c>
      <c r="E26" s="16">
        <v>0</v>
      </c>
      <c r="F26" s="17">
        <v>165.27</v>
      </c>
      <c r="G26" s="17">
        <v>0</v>
      </c>
      <c r="H26" s="31">
        <f t="shared" si="2"/>
        <v>0</v>
      </c>
      <c r="I26" s="31">
        <f t="shared" si="3"/>
        <v>1.5883522478368776E-2</v>
      </c>
      <c r="J26" s="32">
        <f t="shared" si="4"/>
        <v>2.6250697600000077</v>
      </c>
      <c r="K26" s="32">
        <f t="shared" si="5"/>
        <v>0.21875581333333396</v>
      </c>
      <c r="L26" s="16">
        <v>13</v>
      </c>
      <c r="M26" s="33">
        <f t="shared" si="6"/>
        <v>0.92307692307692313</v>
      </c>
      <c r="N26" s="16">
        <v>47</v>
      </c>
      <c r="O26" s="34">
        <f t="shared" ref="O26:P26" si="17">D26/7</f>
        <v>1.7142857142857142</v>
      </c>
      <c r="P26" s="34">
        <f t="shared" si="17"/>
        <v>0</v>
      </c>
      <c r="Q26" s="29">
        <f t="shared" si="8"/>
        <v>27</v>
      </c>
      <c r="R26" s="29"/>
      <c r="S26" s="21">
        <v>0.6</v>
      </c>
      <c r="T26" s="28">
        <v>400</v>
      </c>
      <c r="U26" s="36" t="s">
        <v>33</v>
      </c>
      <c r="V26" s="37" t="s">
        <v>33</v>
      </c>
      <c r="W26" s="14">
        <v>0</v>
      </c>
      <c r="X26" s="38">
        <f t="shared" si="9"/>
        <v>0</v>
      </c>
      <c r="Y26" s="39">
        <f t="shared" si="10"/>
        <v>0</v>
      </c>
      <c r="Z26" s="14">
        <v>0</v>
      </c>
      <c r="AA26" s="28" t="s">
        <v>34</v>
      </c>
      <c r="AB26" s="40">
        <f t="shared" si="11"/>
        <v>-0.69</v>
      </c>
      <c r="AC26" s="41">
        <v>0.16233455555555557</v>
      </c>
      <c r="AD26" s="39">
        <f t="shared" si="12"/>
        <v>-2.68826024</v>
      </c>
      <c r="AE26" s="25">
        <v>-5.68</v>
      </c>
      <c r="AF26" s="25">
        <v>-5.5838475000000001</v>
      </c>
      <c r="AG26" s="25">
        <v>0</v>
      </c>
    </row>
    <row r="27" spans="1:33" ht="15.75" customHeight="1" x14ac:dyDescent="0.2">
      <c r="A27" s="14" t="s">
        <v>69</v>
      </c>
      <c r="B27" s="14" t="s">
        <v>893</v>
      </c>
      <c r="C27" s="15">
        <f t="shared" si="1"/>
        <v>13.198749999999999</v>
      </c>
      <c r="D27" s="16">
        <v>24</v>
      </c>
      <c r="E27" s="16">
        <v>0</v>
      </c>
      <c r="F27" s="17">
        <v>316.77</v>
      </c>
      <c r="G27" s="17">
        <v>0</v>
      </c>
      <c r="H27" s="31">
        <f t="shared" si="2"/>
        <v>0</v>
      </c>
      <c r="I27" s="31">
        <f t="shared" si="3"/>
        <v>-2.0375542128358234E-2</v>
      </c>
      <c r="J27" s="32">
        <f t="shared" si="4"/>
        <v>-6.4543604800000374</v>
      </c>
      <c r="K27" s="32">
        <f t="shared" si="5"/>
        <v>-0.26893168666666822</v>
      </c>
      <c r="L27" s="16">
        <v>20</v>
      </c>
      <c r="M27" s="33">
        <f t="shared" si="6"/>
        <v>1.2</v>
      </c>
      <c r="N27" s="16">
        <v>22</v>
      </c>
      <c r="O27" s="34">
        <f t="shared" ref="O27:P27" si="18">D27/7</f>
        <v>3.4285714285714284</v>
      </c>
      <c r="P27" s="34">
        <f t="shared" si="18"/>
        <v>0</v>
      </c>
      <c r="Q27" s="29">
        <f t="shared" si="8"/>
        <v>6</v>
      </c>
      <c r="R27" s="29"/>
      <c r="S27" s="21">
        <v>2.51685393258427</v>
      </c>
      <c r="T27" s="28">
        <v>400</v>
      </c>
      <c r="U27" s="36" t="s">
        <v>33</v>
      </c>
      <c r="V27" s="37" t="s">
        <v>33</v>
      </c>
      <c r="W27" s="14">
        <v>0</v>
      </c>
      <c r="X27" s="38">
        <f t="shared" si="9"/>
        <v>0</v>
      </c>
      <c r="Y27" s="39">
        <f t="shared" si="10"/>
        <v>0</v>
      </c>
      <c r="Z27" s="14">
        <v>0</v>
      </c>
      <c r="AA27" s="28" t="s">
        <v>34</v>
      </c>
      <c r="AB27" s="40">
        <f t="shared" si="11"/>
        <v>-0.69</v>
      </c>
      <c r="AC27" s="41">
        <v>0.16233455555555557</v>
      </c>
      <c r="AD27" s="39">
        <f t="shared" si="12"/>
        <v>-5.3765204799999999</v>
      </c>
      <c r="AE27" s="25">
        <v>-5.68</v>
      </c>
      <c r="AF27" s="25">
        <v>-5.5838475000000001</v>
      </c>
      <c r="AG27" s="25">
        <v>0</v>
      </c>
    </row>
    <row r="28" spans="1:33" ht="15.75" customHeight="1" x14ac:dyDescent="0.2">
      <c r="A28" s="14" t="s">
        <v>71</v>
      </c>
      <c r="B28" s="14" t="s">
        <v>894</v>
      </c>
      <c r="C28" s="15">
        <f t="shared" si="1"/>
        <v>15.488461538461538</v>
      </c>
      <c r="D28" s="16">
        <v>13</v>
      </c>
      <c r="E28" s="16">
        <v>0</v>
      </c>
      <c r="F28" s="17">
        <v>201.35</v>
      </c>
      <c r="G28" s="17">
        <v>0</v>
      </c>
      <c r="H28" s="31">
        <f t="shared" si="2"/>
        <v>0</v>
      </c>
      <c r="I28" s="31">
        <f t="shared" si="3"/>
        <v>0.10829501153877978</v>
      </c>
      <c r="J28" s="32">
        <f t="shared" si="4"/>
        <v>21.805200573333309</v>
      </c>
      <c r="K28" s="32">
        <f t="shared" si="5"/>
        <v>1.6773231210256392</v>
      </c>
      <c r="L28" s="16">
        <v>23</v>
      </c>
      <c r="M28" s="33">
        <f t="shared" si="6"/>
        <v>0.56521739130434778</v>
      </c>
      <c r="N28" s="16">
        <v>8</v>
      </c>
      <c r="O28" s="34">
        <f t="shared" ref="O28:P28" si="19">D28/7</f>
        <v>1.8571428571428572</v>
      </c>
      <c r="P28" s="34">
        <f t="shared" si="19"/>
        <v>0</v>
      </c>
      <c r="Q28" s="29">
        <f t="shared" si="8"/>
        <v>4</v>
      </c>
      <c r="R28" s="29"/>
      <c r="S28" s="21">
        <v>3.25</v>
      </c>
      <c r="T28" s="28">
        <v>400</v>
      </c>
      <c r="U28" s="36" t="s">
        <v>33</v>
      </c>
      <c r="V28" s="37" t="s">
        <v>33</v>
      </c>
      <c r="W28" s="14">
        <v>0</v>
      </c>
      <c r="X28" s="38">
        <f t="shared" si="9"/>
        <v>0</v>
      </c>
      <c r="Y28" s="39">
        <f t="shared" si="10"/>
        <v>0</v>
      </c>
      <c r="Z28" s="14">
        <v>0</v>
      </c>
      <c r="AA28" s="28" t="s">
        <v>34</v>
      </c>
      <c r="AB28" s="40">
        <f t="shared" si="11"/>
        <v>-0.69</v>
      </c>
      <c r="AC28" s="41">
        <v>0.16233455555555557</v>
      </c>
      <c r="AD28" s="39">
        <f t="shared" si="12"/>
        <v>-2.9122819266666666</v>
      </c>
      <c r="AE28" s="25">
        <v>-5.68</v>
      </c>
      <c r="AF28" s="25">
        <v>-5.5838475000000001</v>
      </c>
      <c r="AG28" s="25">
        <v>0</v>
      </c>
    </row>
    <row r="29" spans="1:33" ht="15.75" customHeight="1" x14ac:dyDescent="0.2">
      <c r="A29" s="28" t="s">
        <v>72</v>
      </c>
      <c r="B29" s="28" t="s">
        <v>131</v>
      </c>
      <c r="C29" s="15">
        <f t="shared" si="1"/>
        <v>17.497499999999999</v>
      </c>
      <c r="D29" s="29">
        <v>8</v>
      </c>
      <c r="E29" s="29">
        <v>0</v>
      </c>
      <c r="F29" s="32">
        <v>139.97999999999999</v>
      </c>
      <c r="G29" s="32">
        <v>0</v>
      </c>
      <c r="H29" s="31">
        <f t="shared" si="2"/>
        <v>0</v>
      </c>
      <c r="I29" s="31">
        <f t="shared" si="3"/>
        <v>0.1934565402676573</v>
      </c>
      <c r="J29" s="32">
        <f t="shared" si="4"/>
        <v>27.080046506666665</v>
      </c>
      <c r="K29" s="32">
        <f t="shared" si="5"/>
        <v>3.3850058133333332</v>
      </c>
      <c r="L29" s="29">
        <v>13</v>
      </c>
      <c r="M29" s="33">
        <f t="shared" si="6"/>
        <v>0.61538461538461542</v>
      </c>
      <c r="N29" s="16">
        <v>0</v>
      </c>
      <c r="O29" s="34">
        <f t="shared" ref="O29:P29" si="20">D29/7</f>
        <v>1.1428571428571428</v>
      </c>
      <c r="P29" s="34">
        <f t="shared" si="20"/>
        <v>0</v>
      </c>
      <c r="Q29" s="29">
        <f t="shared" si="8"/>
        <v>0</v>
      </c>
      <c r="R29" s="29"/>
      <c r="S29" s="21">
        <v>1.591397849462366</v>
      </c>
      <c r="T29" s="28">
        <v>400</v>
      </c>
      <c r="U29" s="36" t="s">
        <v>33</v>
      </c>
      <c r="V29" s="37" t="s">
        <v>33</v>
      </c>
      <c r="W29" s="14">
        <v>0</v>
      </c>
      <c r="X29" s="38">
        <f t="shared" si="9"/>
        <v>0</v>
      </c>
      <c r="Y29" s="39">
        <f t="shared" si="10"/>
        <v>0</v>
      </c>
      <c r="Z29" s="14">
        <v>0</v>
      </c>
      <c r="AA29" s="28" t="s">
        <v>34</v>
      </c>
      <c r="AB29" s="40">
        <f t="shared" si="11"/>
        <v>-0.69</v>
      </c>
      <c r="AC29" s="41">
        <v>0.16233455555555557</v>
      </c>
      <c r="AD29" s="39">
        <f t="shared" si="12"/>
        <v>-1.7921734933333333</v>
      </c>
      <c r="AE29" s="39">
        <v>-5.68</v>
      </c>
      <c r="AF29" s="25">
        <v>-5.5838475000000001</v>
      </c>
      <c r="AG29" s="39">
        <v>0</v>
      </c>
    </row>
    <row r="30" spans="1:33" ht="15.75" customHeight="1" x14ac:dyDescent="0.2">
      <c r="A30" s="14" t="s">
        <v>74</v>
      </c>
      <c r="B30" s="28" t="s">
        <v>131</v>
      </c>
      <c r="C30" s="15" t="str">
        <f t="shared" si="1"/>
        <v xml:space="preserve"> - </v>
      </c>
      <c r="D30" s="16">
        <v>0</v>
      </c>
      <c r="E30" s="16">
        <v>0</v>
      </c>
      <c r="F30" s="17">
        <v>0</v>
      </c>
      <c r="G30" s="17">
        <v>0</v>
      </c>
      <c r="H30" s="31" t="e">
        <f t="shared" si="2"/>
        <v>#DIV/0!</v>
      </c>
      <c r="I30" s="31" t="e">
        <f t="shared" si="3"/>
        <v>#DIV/0!</v>
      </c>
      <c r="J30" s="32">
        <f t="shared" si="4"/>
        <v>0</v>
      </c>
      <c r="K30" s="32" t="e">
        <f t="shared" si="5"/>
        <v>#DIV/0!</v>
      </c>
      <c r="L30" s="16">
        <v>0</v>
      </c>
      <c r="M30" s="33" t="str">
        <f t="shared" si="6"/>
        <v>-</v>
      </c>
      <c r="N30" s="16">
        <v>1</v>
      </c>
      <c r="O30" s="34">
        <f t="shared" ref="O30:P30" si="21">D30/7</f>
        <v>0</v>
      </c>
      <c r="P30" s="34">
        <f t="shared" si="21"/>
        <v>0</v>
      </c>
      <c r="Q30" s="29" t="e">
        <f t="shared" si="8"/>
        <v>#DIV/0!</v>
      </c>
      <c r="R30" s="29"/>
      <c r="S30" s="21">
        <v>1.8809523809523809</v>
      </c>
      <c r="T30" s="28">
        <v>400</v>
      </c>
      <c r="U30" s="36" t="s">
        <v>33</v>
      </c>
      <c r="V30" s="37" t="s">
        <v>33</v>
      </c>
      <c r="W30" s="14">
        <v>0</v>
      </c>
      <c r="X30" s="38">
        <f t="shared" si="9"/>
        <v>0</v>
      </c>
      <c r="Y30" s="39">
        <f t="shared" si="10"/>
        <v>0</v>
      </c>
      <c r="Z30" s="14">
        <v>0</v>
      </c>
      <c r="AA30" s="28" t="s">
        <v>34</v>
      </c>
      <c r="AB30" s="40">
        <f t="shared" si="11"/>
        <v>-0.69</v>
      </c>
      <c r="AC30" s="41">
        <v>0.16233455555555557</v>
      </c>
      <c r="AD30" s="39">
        <f t="shared" si="12"/>
        <v>0</v>
      </c>
      <c r="AE30" s="25">
        <v>-5.68</v>
      </c>
      <c r="AF30" s="25">
        <v>-5.4884421407812498</v>
      </c>
      <c r="AG30" s="25">
        <v>0</v>
      </c>
    </row>
    <row r="31" spans="1:33" ht="15.75" customHeight="1" x14ac:dyDescent="0.2">
      <c r="A31" s="14" t="s">
        <v>75</v>
      </c>
      <c r="B31" s="28" t="s">
        <v>131</v>
      </c>
      <c r="C31" s="15">
        <f t="shared" si="1"/>
        <v>17.97</v>
      </c>
      <c r="D31" s="16">
        <v>1</v>
      </c>
      <c r="E31" s="16">
        <v>0</v>
      </c>
      <c r="F31" s="17">
        <v>17.97</v>
      </c>
      <c r="G31" s="42">
        <v>0</v>
      </c>
      <c r="H31" s="31">
        <f t="shared" si="2"/>
        <v>0</v>
      </c>
      <c r="I31" s="31">
        <f t="shared" si="3"/>
        <v>0.21602872412643745</v>
      </c>
      <c r="J31" s="32">
        <f t="shared" si="4"/>
        <v>3.8820361725520809</v>
      </c>
      <c r="K31" s="32">
        <f t="shared" si="5"/>
        <v>3.8820361725520809</v>
      </c>
      <c r="L31" s="16">
        <v>3</v>
      </c>
      <c r="M31" s="33">
        <f t="shared" si="6"/>
        <v>0.33333333333333331</v>
      </c>
      <c r="N31" s="16">
        <v>0</v>
      </c>
      <c r="O31" s="34">
        <f t="shared" ref="O31:P32" si="22">D31/7</f>
        <v>0.14285714285714285</v>
      </c>
      <c r="P31" s="34">
        <f t="shared" si="22"/>
        <v>0</v>
      </c>
      <c r="Q31" s="29">
        <f t="shared" si="8"/>
        <v>0</v>
      </c>
      <c r="R31" s="29"/>
      <c r="S31" s="21" t="e">
        <v>#N/A</v>
      </c>
      <c r="T31" s="14" t="s">
        <v>33</v>
      </c>
      <c r="U31" s="22" t="s">
        <v>33</v>
      </c>
      <c r="V31" s="1" t="s">
        <v>936</v>
      </c>
      <c r="W31" s="14">
        <v>0</v>
      </c>
      <c r="X31" s="38">
        <f t="shared" si="9"/>
        <v>0</v>
      </c>
      <c r="Y31" s="39">
        <f t="shared" si="10"/>
        <v>0</v>
      </c>
      <c r="Z31" s="14">
        <v>0</v>
      </c>
      <c r="AA31" s="14" t="s">
        <v>34</v>
      </c>
      <c r="AB31" s="40">
        <f t="shared" si="11"/>
        <v>-0.69</v>
      </c>
      <c r="AC31" s="27">
        <v>0.16233455555555557</v>
      </c>
      <c r="AD31" s="39">
        <f t="shared" si="12"/>
        <v>-0.22402168666666666</v>
      </c>
      <c r="AE31" s="43">
        <v>-5.68</v>
      </c>
      <c r="AF31" s="43">
        <v>-5.4884421407812507</v>
      </c>
      <c r="AG31" s="25">
        <v>0</v>
      </c>
    </row>
    <row r="32" spans="1:33" s="51" customFormat="1" ht="15.75" customHeight="1" x14ac:dyDescent="0.2">
      <c r="A32" s="51" t="s">
        <v>934</v>
      </c>
      <c r="C32" s="15" t="str">
        <f t="shared" si="1"/>
        <v xml:space="preserve"> - </v>
      </c>
      <c r="D32" s="52">
        <v>0</v>
      </c>
      <c r="E32" s="52">
        <v>0</v>
      </c>
      <c r="F32" s="53">
        <v>0</v>
      </c>
      <c r="G32" s="53">
        <v>0</v>
      </c>
      <c r="H32" s="31" t="e">
        <f t="shared" si="2"/>
        <v>#DIV/0!</v>
      </c>
      <c r="I32" s="31" t="e">
        <f t="shared" si="3"/>
        <v>#DIV/0!</v>
      </c>
      <c r="J32" s="32">
        <f t="shared" si="4"/>
        <v>0</v>
      </c>
      <c r="K32" s="32" t="e">
        <f t="shared" si="5"/>
        <v>#DIV/0!</v>
      </c>
      <c r="L32" s="52">
        <v>0</v>
      </c>
      <c r="M32" s="33" t="str">
        <f t="shared" si="6"/>
        <v>-</v>
      </c>
      <c r="N32" s="52">
        <v>0</v>
      </c>
      <c r="O32" s="34">
        <f t="shared" si="22"/>
        <v>0</v>
      </c>
      <c r="P32" s="34">
        <f t="shared" si="22"/>
        <v>0</v>
      </c>
      <c r="Q32" s="29" t="e">
        <f t="shared" si="8"/>
        <v>#DIV/0!</v>
      </c>
      <c r="R32" s="29" t="str">
        <f ca="1">IFERROR(VLOOKUP($B$2,IMPORTRANGE("https://docs.google.com/spreadsheets/d/1KiWZV1ko8G7lnRucBRBd29jj3Be6ltMfljMDqzOkQmI/edit#gid=1381463014","Lookup!A:F"),6,FALSE),"")</f>
        <v/>
      </c>
      <c r="S32" s="54">
        <v>0</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0.16233455555555557</v>
      </c>
      <c r="AD32" s="39">
        <f t="shared" si="12"/>
        <v>0</v>
      </c>
      <c r="AE32" s="58">
        <v>-5.68</v>
      </c>
      <c r="AF32" s="58">
        <v>-5.4884421407812498</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Info!B1:BJ5000""),3,FALSE),"""")"),"10 Ft Power Cord for TV Computer or Monitor - 18/3 Replacement Power Cable, Black")</f>
        <v>10 Ft Power Cord for TV Computer or Monitor - 18/3 Replacement Power Cable,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Info!B1:BJ5000""),2,FALSE),"""")"),"B08NM944VF")</f>
        <v>B08NM944VF</v>
      </c>
      <c r="B2" s="3" t="s">
        <v>895</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8.42090417622647</v>
      </c>
      <c r="D3" s="5">
        <f>SUM(D4:D99765)</f>
        <v>44</v>
      </c>
      <c r="E3" s="5"/>
      <c r="F3" s="6">
        <f t="shared" ref="F3:G3" si="0">SUM(F4:F99765)</f>
        <v>384.96999999999997</v>
      </c>
      <c r="G3" s="6">
        <f t="shared" si="0"/>
        <v>-258.79000000000002</v>
      </c>
      <c r="H3" s="7">
        <f>G3/F3*-1</f>
        <v>0.67223420006753787</v>
      </c>
      <c r="I3" s="8">
        <f>J3/F3</f>
        <v>-0.67281187137635401</v>
      </c>
      <c r="J3" s="6">
        <f>SUM(J4:J99765)</f>
        <v>-259.01238612375499</v>
      </c>
      <c r="K3" s="6">
        <f>J3/D3</f>
        <v>-5.8866451391762498</v>
      </c>
      <c r="L3" s="5"/>
      <c r="M3" s="9"/>
      <c r="N3" s="10"/>
      <c r="O3" s="5" t="str">
        <f ca="1">IFERROR(__xludf.DUMMYFUNCTION("VLOOKUP(B2,IMPORTRANGE(""https://docs.google.com/spreadsheets/d/1N8jvpEHDVkurDv7NrPxwI3eH6hQsvtb1QltGNCalRjU/edit#gid=865736387"",""Compiled Sheet!a1:g5000""),2,FALSE)")," - March
 - April
 - May
 - June
 - July
 - Aug
 - Sept
 - Oct
 - Nov
 - Dec
 - Jan
 - Feb")</f>
        <v xml:space="preserve"> - March
 - April
 - May
 - June
 - July
 - Aug
 - Sept
 - Oct
 - Nov
 - Dec
 - Jan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22</v>
      </c>
      <c r="X3" s="7">
        <f>W3/D3</f>
        <v>0.5</v>
      </c>
      <c r="Y3" s="6"/>
      <c r="Z3" s="5"/>
      <c r="AA3" s="5"/>
      <c r="AB3" s="5"/>
      <c r="AC3" s="5"/>
      <c r="AD3" s="6">
        <f>SUM(AD4:AD99765)</f>
        <v>-11.384626824999998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Info!B2:BZ7000""),37,FALSE)),"""")*-1"),-1.4777685497925)</f>
        <v>-1.4777685497924999</v>
      </c>
      <c r="AG3" s="6">
        <f>SUM(AG4:AG99765)</f>
        <v>-4</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896</v>
      </c>
      <c r="C21" s="15">
        <f t="shared" ref="C21:C32" si="1">IFERROR(F21/D21," - ")</f>
        <v>8.99</v>
      </c>
      <c r="D21" s="29">
        <v>1</v>
      </c>
      <c r="E21" s="29">
        <v>0</v>
      </c>
      <c r="F21" s="32">
        <v>8.99</v>
      </c>
      <c r="G21" s="30">
        <v>0</v>
      </c>
      <c r="H21" s="31">
        <f t="shared" ref="H21:H32" si="2">G21/F21*-1</f>
        <v>0</v>
      </c>
      <c r="I21" s="31">
        <f t="shared" ref="I21:I32" si="3">J21/F21</f>
        <v>4.8294853309232388E-2</v>
      </c>
      <c r="J21" s="32">
        <f t="shared" ref="J21:J32" si="4">F21*0.85+G21+AF21*D21+D21*AE21+AG21+AD21</f>
        <v>0.43417073124999916</v>
      </c>
      <c r="K21" s="32">
        <f t="shared" ref="K21:K32" si="5">J21/D21</f>
        <v>0.43417073124999916</v>
      </c>
      <c r="L21" s="29">
        <v>0</v>
      </c>
      <c r="M21" s="33" t="str">
        <f t="shared" ref="M21:M32" si="6">IFERROR(D21/L21,"-")</f>
        <v>-</v>
      </c>
      <c r="N21" s="29">
        <v>69</v>
      </c>
      <c r="O21" s="34">
        <f t="shared" ref="O21:P21" si="7">D21/7</f>
        <v>0.14285714285714285</v>
      </c>
      <c r="P21" s="34">
        <f t="shared" si="7"/>
        <v>0</v>
      </c>
      <c r="Q21" s="29">
        <f t="shared" ref="Q21:Q32" si="8">ROUNDDOWN(N21/(O21+P21),0)</f>
        <v>483</v>
      </c>
      <c r="R21" s="29"/>
      <c r="S21" s="35">
        <v>0</v>
      </c>
      <c r="T21" s="28">
        <v>200</v>
      </c>
      <c r="U21" s="36" t="s">
        <v>33</v>
      </c>
      <c r="V21" s="37" t="s">
        <v>33</v>
      </c>
      <c r="W21" s="28">
        <v>0</v>
      </c>
      <c r="X21" s="38">
        <f t="shared" ref="X21:X32" si="9">IFERROR(W21/D21,0)</f>
        <v>0</v>
      </c>
      <c r="Y21" s="39">
        <f t="shared" ref="Y21:Y32" si="10">IFERROR(G21/(W21+Z21)*-1,0)</f>
        <v>0</v>
      </c>
      <c r="Z21" s="28">
        <v>0</v>
      </c>
      <c r="AA21" s="28" t="s">
        <v>34</v>
      </c>
      <c r="AB21" s="40">
        <f t="shared" ref="AB21:AB32" si="11">IF(OR(AA21="UsLargeStandardSize",AA21="UsSmallStandardSize"),-0.69,-0.48)</f>
        <v>-0.69</v>
      </c>
      <c r="AC21" s="41">
        <v>0.18749385416666667</v>
      </c>
      <c r="AD21" s="39">
        <f t="shared" ref="AD21:AD32" si="12">IFERROR(AB21*AC21*D21*2,0)</f>
        <v>-0.25874151874999995</v>
      </c>
      <c r="AE21" s="39">
        <v>-5.42</v>
      </c>
      <c r="AF21" s="39">
        <v>-1.5285877500000002</v>
      </c>
      <c r="AG21" s="39">
        <v>0</v>
      </c>
    </row>
    <row r="22" spans="1:33" ht="15.75" customHeight="1" x14ac:dyDescent="0.2">
      <c r="A22" s="28" t="s">
        <v>60</v>
      </c>
      <c r="B22" s="28" t="s">
        <v>897</v>
      </c>
      <c r="C22" s="15">
        <f t="shared" si="1"/>
        <v>8.5628571428571441</v>
      </c>
      <c r="D22" s="29">
        <v>7</v>
      </c>
      <c r="E22" s="29">
        <v>0</v>
      </c>
      <c r="F22" s="30">
        <v>59.940000000000005</v>
      </c>
      <c r="G22" s="30">
        <v>-20.6</v>
      </c>
      <c r="H22" s="31">
        <f t="shared" si="2"/>
        <v>0.34367701034367698</v>
      </c>
      <c r="I22" s="31">
        <f t="shared" si="3"/>
        <v>-0.33537378847597588</v>
      </c>
      <c r="J22" s="32">
        <f t="shared" si="4"/>
        <v>-20.102304881249996</v>
      </c>
      <c r="K22" s="32">
        <f t="shared" si="5"/>
        <v>-2.8717578401785708</v>
      </c>
      <c r="L22" s="29">
        <v>16</v>
      </c>
      <c r="M22" s="33">
        <f t="shared" si="6"/>
        <v>0.4375</v>
      </c>
      <c r="N22" s="29">
        <v>63</v>
      </c>
      <c r="O22" s="34">
        <f t="shared" ref="O22:P22" si="13">D22/7</f>
        <v>1</v>
      </c>
      <c r="P22" s="34">
        <f t="shared" si="13"/>
        <v>0</v>
      </c>
      <c r="Q22" s="29">
        <f t="shared" si="8"/>
        <v>63</v>
      </c>
      <c r="R22" s="29"/>
      <c r="S22" s="35">
        <v>0.30303030303030298</v>
      </c>
      <c r="T22" s="28">
        <v>200</v>
      </c>
      <c r="U22" s="36" t="s">
        <v>33</v>
      </c>
      <c r="V22" s="37" t="s">
        <v>33</v>
      </c>
      <c r="W22" s="28">
        <v>4</v>
      </c>
      <c r="X22" s="38">
        <f t="shared" si="9"/>
        <v>0.5714285714285714</v>
      </c>
      <c r="Y22" s="39">
        <f t="shared" si="10"/>
        <v>2.9428571428571431</v>
      </c>
      <c r="Z22" s="28">
        <v>3</v>
      </c>
      <c r="AA22" s="28" t="s">
        <v>34</v>
      </c>
      <c r="AB22" s="40">
        <f t="shared" si="11"/>
        <v>-0.69</v>
      </c>
      <c r="AC22" s="41">
        <v>0.18749385416666667</v>
      </c>
      <c r="AD22" s="39">
        <f t="shared" si="12"/>
        <v>-1.8111906312499997</v>
      </c>
      <c r="AE22" s="39">
        <v>-5.42</v>
      </c>
      <c r="AF22" s="39">
        <v>-1.5285877500000002</v>
      </c>
      <c r="AG22" s="39">
        <v>0</v>
      </c>
    </row>
    <row r="23" spans="1:33" ht="15.75" customHeight="1" x14ac:dyDescent="0.2">
      <c r="A23" s="28" t="s">
        <v>62</v>
      </c>
      <c r="B23" s="28" t="s">
        <v>167</v>
      </c>
      <c r="C23" s="15" t="str">
        <f t="shared" si="1"/>
        <v xml:space="preserve"> - </v>
      </c>
      <c r="D23" s="29">
        <v>0</v>
      </c>
      <c r="E23" s="29">
        <v>0</v>
      </c>
      <c r="F23" s="32">
        <v>0</v>
      </c>
      <c r="G23" s="30">
        <v>0</v>
      </c>
      <c r="H23" s="31" t="e">
        <f t="shared" si="2"/>
        <v>#DIV/0!</v>
      </c>
      <c r="I23" s="31" t="e">
        <f t="shared" si="3"/>
        <v>#DIV/0!</v>
      </c>
      <c r="J23" s="32">
        <f t="shared" si="4"/>
        <v>0</v>
      </c>
      <c r="K23" s="32" t="e">
        <f t="shared" si="5"/>
        <v>#DIV/0!</v>
      </c>
      <c r="L23" s="29">
        <v>0</v>
      </c>
      <c r="M23" s="33" t="str">
        <f t="shared" si="6"/>
        <v>-</v>
      </c>
      <c r="N23" s="29">
        <v>85</v>
      </c>
      <c r="O23" s="34">
        <f t="shared" ref="O23:P23" si="14">D23/7</f>
        <v>0</v>
      </c>
      <c r="P23" s="34">
        <f t="shared" si="14"/>
        <v>0</v>
      </c>
      <c r="Q23" s="29" t="e">
        <f t="shared" si="8"/>
        <v>#DIV/0!</v>
      </c>
      <c r="R23" s="29"/>
      <c r="S23" s="35">
        <v>0.31818181818181801</v>
      </c>
      <c r="T23" s="28">
        <v>200</v>
      </c>
      <c r="U23" s="36" t="s">
        <v>33</v>
      </c>
      <c r="V23" s="37" t="s">
        <v>33</v>
      </c>
      <c r="W23" s="28">
        <v>0</v>
      </c>
      <c r="X23" s="38">
        <f t="shared" si="9"/>
        <v>0</v>
      </c>
      <c r="Y23" s="39">
        <f t="shared" si="10"/>
        <v>0</v>
      </c>
      <c r="Z23" s="28">
        <v>0</v>
      </c>
      <c r="AA23" s="28" t="s">
        <v>34</v>
      </c>
      <c r="AB23" s="40">
        <f t="shared" si="11"/>
        <v>-0.69</v>
      </c>
      <c r="AC23" s="41">
        <v>0.18749385416666667</v>
      </c>
      <c r="AD23" s="39">
        <f t="shared" si="12"/>
        <v>0</v>
      </c>
      <c r="AE23" s="39">
        <v>-5.42</v>
      </c>
      <c r="AF23" s="39">
        <v>-1.5285877500000002</v>
      </c>
      <c r="AG23" s="39">
        <v>0</v>
      </c>
    </row>
    <row r="24" spans="1:33" ht="15.75" customHeight="1" x14ac:dyDescent="0.2">
      <c r="A24" s="28" t="s">
        <v>64</v>
      </c>
      <c r="B24" s="28" t="s">
        <v>898</v>
      </c>
      <c r="C24" s="15">
        <f t="shared" si="1"/>
        <v>9.99</v>
      </c>
      <c r="D24" s="29">
        <v>5</v>
      </c>
      <c r="E24" s="29">
        <v>0</v>
      </c>
      <c r="F24" s="32">
        <v>49.95</v>
      </c>
      <c r="G24" s="32">
        <v>-53.83</v>
      </c>
      <c r="H24" s="31">
        <f t="shared" si="2"/>
        <v>1.0776776776776775</v>
      </c>
      <c r="I24" s="31">
        <f t="shared" si="3"/>
        <v>-0.94913205893393382</v>
      </c>
      <c r="J24" s="32">
        <f t="shared" si="4"/>
        <v>-47.409146343749995</v>
      </c>
      <c r="K24" s="32">
        <f t="shared" si="5"/>
        <v>-9.4818292687499994</v>
      </c>
      <c r="L24" s="29">
        <v>15</v>
      </c>
      <c r="M24" s="33">
        <f t="shared" si="6"/>
        <v>0.33333333333333331</v>
      </c>
      <c r="N24" s="29">
        <v>82</v>
      </c>
      <c r="O24" s="34">
        <f t="shared" ref="O24:P24" si="15">D24/7</f>
        <v>0.7142857142857143</v>
      </c>
      <c r="P24" s="34">
        <f t="shared" si="15"/>
        <v>0</v>
      </c>
      <c r="Q24" s="29">
        <f t="shared" si="8"/>
        <v>114</v>
      </c>
      <c r="R24" s="29"/>
      <c r="S24" s="35">
        <v>0.40909090909090901</v>
      </c>
      <c r="T24" s="28">
        <v>200</v>
      </c>
      <c r="U24" s="36" t="s">
        <v>33</v>
      </c>
      <c r="V24" s="37" t="s">
        <v>33</v>
      </c>
      <c r="W24" s="28">
        <v>5</v>
      </c>
      <c r="X24" s="38">
        <f t="shared" si="9"/>
        <v>1</v>
      </c>
      <c r="Y24" s="39">
        <f t="shared" si="10"/>
        <v>5.9811111111111108</v>
      </c>
      <c r="Z24" s="28">
        <v>4</v>
      </c>
      <c r="AA24" s="28" t="s">
        <v>34</v>
      </c>
      <c r="AB24" s="40">
        <f t="shared" si="11"/>
        <v>-0.69</v>
      </c>
      <c r="AC24" s="41">
        <v>0.18749385416666667</v>
      </c>
      <c r="AD24" s="39">
        <f t="shared" si="12"/>
        <v>-1.2937075937499998</v>
      </c>
      <c r="AE24" s="39">
        <v>-5.42</v>
      </c>
      <c r="AF24" s="39">
        <v>-1.5285877500000002</v>
      </c>
      <c r="AG24" s="39">
        <v>0</v>
      </c>
    </row>
    <row r="25" spans="1:33" ht="15.75" customHeight="1" x14ac:dyDescent="0.2">
      <c r="A25" s="28" t="s">
        <v>65</v>
      </c>
      <c r="B25" s="14"/>
      <c r="C25" s="15">
        <f t="shared" si="1"/>
        <v>9.66</v>
      </c>
      <c r="D25" s="29">
        <v>6</v>
      </c>
      <c r="E25" s="29">
        <v>0</v>
      </c>
      <c r="F25" s="32">
        <v>57.96</v>
      </c>
      <c r="G25" s="32">
        <v>-47.18</v>
      </c>
      <c r="H25" s="31">
        <f t="shared" si="2"/>
        <v>0.81400966183574874</v>
      </c>
      <c r="I25" s="31">
        <f t="shared" si="3"/>
        <v>-0.71025619586783983</v>
      </c>
      <c r="J25" s="32">
        <f t="shared" si="4"/>
        <v>-41.166449112499997</v>
      </c>
      <c r="K25" s="32">
        <f t="shared" si="5"/>
        <v>-6.8610748520833331</v>
      </c>
      <c r="L25" s="29">
        <v>14</v>
      </c>
      <c r="M25" s="33">
        <f t="shared" si="6"/>
        <v>0.42857142857142855</v>
      </c>
      <c r="N25" s="29">
        <v>74</v>
      </c>
      <c r="O25" s="34">
        <f t="shared" ref="O25:P25" si="16">D25/7</f>
        <v>0.8571428571428571</v>
      </c>
      <c r="P25" s="34">
        <f t="shared" si="16"/>
        <v>0</v>
      </c>
      <c r="Q25" s="29">
        <f t="shared" si="8"/>
        <v>86</v>
      </c>
      <c r="R25" s="29"/>
      <c r="S25" s="35">
        <v>0.58252427184466016</v>
      </c>
      <c r="T25" s="28">
        <v>200</v>
      </c>
      <c r="U25" s="36" t="s">
        <v>33</v>
      </c>
      <c r="V25" s="37" t="s">
        <v>33</v>
      </c>
      <c r="W25" s="14">
        <v>4</v>
      </c>
      <c r="X25" s="38">
        <f t="shared" si="9"/>
        <v>0.66666666666666663</v>
      </c>
      <c r="Y25" s="39">
        <f t="shared" si="10"/>
        <v>5.8975</v>
      </c>
      <c r="Z25" s="14">
        <v>4</v>
      </c>
      <c r="AA25" s="28" t="s">
        <v>34</v>
      </c>
      <c r="AB25" s="40">
        <f t="shared" si="11"/>
        <v>-0.69</v>
      </c>
      <c r="AC25" s="41">
        <v>0.18749385416666667</v>
      </c>
      <c r="AD25" s="39">
        <f t="shared" si="12"/>
        <v>-1.5524491124999997</v>
      </c>
      <c r="AE25" s="39">
        <v>-5.42</v>
      </c>
      <c r="AF25" s="39">
        <v>-1.53</v>
      </c>
      <c r="AG25" s="39">
        <v>0</v>
      </c>
    </row>
    <row r="26" spans="1:33" ht="15.75" customHeight="1" x14ac:dyDescent="0.2">
      <c r="A26" s="14" t="s">
        <v>67</v>
      </c>
      <c r="B26" s="14" t="s">
        <v>899</v>
      </c>
      <c r="C26" s="15">
        <f t="shared" si="1"/>
        <v>8.9499999999999993</v>
      </c>
      <c r="D26" s="16">
        <v>5</v>
      </c>
      <c r="E26" s="16">
        <v>0</v>
      </c>
      <c r="F26" s="17">
        <v>44.75</v>
      </c>
      <c r="G26" s="17">
        <v>-42.790000000000013</v>
      </c>
      <c r="H26" s="31">
        <f t="shared" si="2"/>
        <v>0.95620111731843604</v>
      </c>
      <c r="I26" s="31">
        <f t="shared" si="3"/>
        <v>-0.9412501976256985</v>
      </c>
      <c r="J26" s="32">
        <f t="shared" si="4"/>
        <v>-42.120946343750006</v>
      </c>
      <c r="K26" s="32">
        <f t="shared" si="5"/>
        <v>-8.424189268750002</v>
      </c>
      <c r="L26" s="16">
        <v>22</v>
      </c>
      <c r="M26" s="33">
        <f t="shared" si="6"/>
        <v>0.22727272727272727</v>
      </c>
      <c r="N26" s="16">
        <v>120</v>
      </c>
      <c r="O26" s="34">
        <f t="shared" ref="O26:P26" si="17">D26/7</f>
        <v>0.7142857142857143</v>
      </c>
      <c r="P26" s="34">
        <f t="shared" si="17"/>
        <v>0</v>
      </c>
      <c r="Q26" s="29">
        <f t="shared" si="8"/>
        <v>168</v>
      </c>
      <c r="R26" s="29"/>
      <c r="S26" s="21">
        <v>0.36</v>
      </c>
      <c r="T26" s="28">
        <v>200</v>
      </c>
      <c r="U26" s="36" t="s">
        <v>33</v>
      </c>
      <c r="V26" s="37" t="s">
        <v>33</v>
      </c>
      <c r="W26" s="14">
        <v>4</v>
      </c>
      <c r="X26" s="38">
        <f t="shared" si="9"/>
        <v>0.8</v>
      </c>
      <c r="Y26" s="39">
        <f t="shared" si="10"/>
        <v>6.1128571428571448</v>
      </c>
      <c r="Z26" s="14">
        <v>3</v>
      </c>
      <c r="AA26" s="28" t="s">
        <v>34</v>
      </c>
      <c r="AB26" s="40">
        <f t="shared" si="11"/>
        <v>-0.69</v>
      </c>
      <c r="AC26" s="41">
        <v>0.18749385416666667</v>
      </c>
      <c r="AD26" s="39">
        <f t="shared" si="12"/>
        <v>-1.2937075937499998</v>
      </c>
      <c r="AE26" s="25">
        <v>-5.68</v>
      </c>
      <c r="AF26" s="25">
        <v>-1.5349477499999999</v>
      </c>
      <c r="AG26" s="25">
        <v>0</v>
      </c>
    </row>
    <row r="27" spans="1:33" ht="15.75" customHeight="1" x14ac:dyDescent="0.2">
      <c r="A27" s="14" t="s">
        <v>69</v>
      </c>
      <c r="B27" s="14" t="s">
        <v>900</v>
      </c>
      <c r="C27" s="15">
        <f t="shared" si="1"/>
        <v>8.9779999999999998</v>
      </c>
      <c r="D27" s="16">
        <v>5</v>
      </c>
      <c r="E27" s="16">
        <v>0</v>
      </c>
      <c r="F27" s="17">
        <v>44.89</v>
      </c>
      <c r="G27" s="17">
        <v>-46.04</v>
      </c>
      <c r="H27" s="31">
        <f t="shared" si="2"/>
        <v>1.025618177767877</v>
      </c>
      <c r="I27" s="31">
        <f t="shared" si="3"/>
        <v>-1.0526163141846734</v>
      </c>
      <c r="J27" s="32">
        <f t="shared" si="4"/>
        <v>-47.251946343749992</v>
      </c>
      <c r="K27" s="32">
        <f t="shared" si="5"/>
        <v>-9.4503892687499977</v>
      </c>
      <c r="L27" s="16">
        <v>13</v>
      </c>
      <c r="M27" s="33">
        <f t="shared" si="6"/>
        <v>0.38461538461538464</v>
      </c>
      <c r="N27" s="16">
        <v>116</v>
      </c>
      <c r="O27" s="34">
        <f t="shared" ref="O27:P27" si="18">D27/7</f>
        <v>0.7142857142857143</v>
      </c>
      <c r="P27" s="34">
        <f t="shared" si="18"/>
        <v>0</v>
      </c>
      <c r="Q27" s="29">
        <f t="shared" si="8"/>
        <v>162</v>
      </c>
      <c r="R27" s="29"/>
      <c r="S27" s="21">
        <v>0.49289099526066349</v>
      </c>
      <c r="T27" s="28">
        <v>200</v>
      </c>
      <c r="U27" s="36" t="s">
        <v>33</v>
      </c>
      <c r="V27" s="37" t="s">
        <v>33</v>
      </c>
      <c r="W27" s="14">
        <v>2</v>
      </c>
      <c r="X27" s="38">
        <f t="shared" si="9"/>
        <v>0.4</v>
      </c>
      <c r="Y27" s="39">
        <f t="shared" si="10"/>
        <v>3.2885714285714287</v>
      </c>
      <c r="Z27" s="14">
        <v>12</v>
      </c>
      <c r="AA27" s="28" t="s">
        <v>34</v>
      </c>
      <c r="AB27" s="40">
        <f t="shared" si="11"/>
        <v>-0.69</v>
      </c>
      <c r="AC27" s="41">
        <v>0.18749385416666667</v>
      </c>
      <c r="AD27" s="39">
        <f t="shared" si="12"/>
        <v>-1.2937075937499998</v>
      </c>
      <c r="AE27" s="25">
        <v>-5.68</v>
      </c>
      <c r="AF27" s="25">
        <v>-1.5349477499999999</v>
      </c>
      <c r="AG27" s="25">
        <v>-2</v>
      </c>
    </row>
    <row r="28" spans="1:33" ht="15.75" customHeight="1" x14ac:dyDescent="0.2">
      <c r="A28" s="14" t="s">
        <v>71</v>
      </c>
      <c r="B28" s="14" t="s">
        <v>82</v>
      </c>
      <c r="C28" s="15">
        <f t="shared" si="1"/>
        <v>7.4657142857142853</v>
      </c>
      <c r="D28" s="16">
        <v>7</v>
      </c>
      <c r="E28" s="16">
        <v>0</v>
      </c>
      <c r="F28" s="17">
        <v>52.26</v>
      </c>
      <c r="G28" s="17">
        <v>-22.94</v>
      </c>
      <c r="H28" s="31">
        <f t="shared" si="2"/>
        <v>0.43895905089934945</v>
      </c>
      <c r="I28" s="31">
        <f t="shared" si="3"/>
        <v>-0.59002726523631843</v>
      </c>
      <c r="J28" s="32">
        <f t="shared" si="4"/>
        <v>-30.83482488125</v>
      </c>
      <c r="K28" s="32">
        <f t="shared" si="5"/>
        <v>-4.4049749830357143</v>
      </c>
      <c r="L28" s="16">
        <v>17</v>
      </c>
      <c r="M28" s="33">
        <f t="shared" si="6"/>
        <v>0.41176470588235292</v>
      </c>
      <c r="N28" s="16">
        <v>108</v>
      </c>
      <c r="O28" s="34">
        <f t="shared" ref="O28:P28" si="19">D28/7</f>
        <v>1</v>
      </c>
      <c r="P28" s="34">
        <f t="shared" si="19"/>
        <v>0</v>
      </c>
      <c r="Q28" s="29">
        <f t="shared" si="8"/>
        <v>108</v>
      </c>
      <c r="R28" s="29"/>
      <c r="S28" s="21">
        <v>0.63054187192118227</v>
      </c>
      <c r="T28" s="28">
        <v>200</v>
      </c>
      <c r="U28" s="36" t="s">
        <v>33</v>
      </c>
      <c r="V28" s="37" t="s">
        <v>33</v>
      </c>
      <c r="W28" s="14">
        <v>1</v>
      </c>
      <c r="X28" s="38">
        <f t="shared" si="9"/>
        <v>0.14285714285714285</v>
      </c>
      <c r="Y28" s="39">
        <f t="shared" si="10"/>
        <v>7.6466666666666674</v>
      </c>
      <c r="Z28" s="14">
        <v>2</v>
      </c>
      <c r="AA28" s="28" t="s">
        <v>34</v>
      </c>
      <c r="AB28" s="40">
        <f t="shared" si="11"/>
        <v>-0.69</v>
      </c>
      <c r="AC28" s="41">
        <v>0.18749385416666667</v>
      </c>
      <c r="AD28" s="39">
        <f t="shared" si="12"/>
        <v>-1.8111906312499997</v>
      </c>
      <c r="AE28" s="25">
        <v>-5.68</v>
      </c>
      <c r="AF28" s="25">
        <v>-1.5349477499999999</v>
      </c>
      <c r="AG28" s="25">
        <v>0</v>
      </c>
    </row>
    <row r="29" spans="1:33" ht="15.75" customHeight="1" x14ac:dyDescent="0.2">
      <c r="A29" s="28" t="s">
        <v>72</v>
      </c>
      <c r="B29" s="28" t="s">
        <v>901</v>
      </c>
      <c r="C29" s="15">
        <f t="shared" si="1"/>
        <v>7.2649999999999997</v>
      </c>
      <c r="D29" s="29">
        <v>2</v>
      </c>
      <c r="E29" s="29">
        <v>0</v>
      </c>
      <c r="F29" s="32">
        <v>14.53</v>
      </c>
      <c r="G29" s="32">
        <v>0</v>
      </c>
      <c r="H29" s="31">
        <f t="shared" si="2"/>
        <v>0</v>
      </c>
      <c r="I29" s="31">
        <f t="shared" si="3"/>
        <v>-0.17872529507914661</v>
      </c>
      <c r="J29" s="32">
        <f t="shared" si="4"/>
        <v>-2.5968785375000003</v>
      </c>
      <c r="K29" s="32">
        <f t="shared" si="5"/>
        <v>-1.2984392687500002</v>
      </c>
      <c r="L29" s="29">
        <v>4</v>
      </c>
      <c r="M29" s="33">
        <f t="shared" si="6"/>
        <v>0.5</v>
      </c>
      <c r="N29" s="16">
        <v>109</v>
      </c>
      <c r="O29" s="34">
        <f t="shared" ref="O29:P29" si="20">D29/7</f>
        <v>0.2857142857142857</v>
      </c>
      <c r="P29" s="34">
        <f t="shared" si="20"/>
        <v>0</v>
      </c>
      <c r="Q29" s="29">
        <f t="shared" si="8"/>
        <v>381</v>
      </c>
      <c r="R29" s="29"/>
      <c r="S29" s="21">
        <v>0.64516129032258063</v>
      </c>
      <c r="T29" s="28">
        <v>200</v>
      </c>
      <c r="U29" s="36" t="s">
        <v>33</v>
      </c>
      <c r="V29" s="37" t="s">
        <v>33</v>
      </c>
      <c r="W29" s="14">
        <v>0</v>
      </c>
      <c r="X29" s="38">
        <f t="shared" si="9"/>
        <v>0</v>
      </c>
      <c r="Y29" s="39">
        <f t="shared" si="10"/>
        <v>0</v>
      </c>
      <c r="Z29" s="14">
        <v>0</v>
      </c>
      <c r="AA29" s="28" t="s">
        <v>34</v>
      </c>
      <c r="AB29" s="40">
        <f t="shared" si="11"/>
        <v>-0.69</v>
      </c>
      <c r="AC29" s="41">
        <v>0.18749385416666667</v>
      </c>
      <c r="AD29" s="39">
        <f t="shared" si="12"/>
        <v>-0.51748303749999991</v>
      </c>
      <c r="AE29" s="39">
        <v>-5.68</v>
      </c>
      <c r="AF29" s="25">
        <v>-1.5349477499999999</v>
      </c>
      <c r="AG29" s="39">
        <v>0</v>
      </c>
    </row>
    <row r="30" spans="1:33" ht="15.75" customHeight="1" x14ac:dyDescent="0.2">
      <c r="A30" s="14" t="s">
        <v>74</v>
      </c>
      <c r="B30" s="14" t="s">
        <v>82</v>
      </c>
      <c r="C30" s="15">
        <f t="shared" si="1"/>
        <v>8.2833333333333332</v>
      </c>
      <c r="D30" s="16">
        <v>3</v>
      </c>
      <c r="E30" s="16">
        <v>0</v>
      </c>
      <c r="F30" s="17">
        <v>24.849999999999998</v>
      </c>
      <c r="G30" s="17">
        <v>0</v>
      </c>
      <c r="H30" s="31">
        <f t="shared" si="2"/>
        <v>0</v>
      </c>
      <c r="I30" s="31">
        <f t="shared" si="3"/>
        <v>-8.5594776886418464E-2</v>
      </c>
      <c r="J30" s="32">
        <f t="shared" si="4"/>
        <v>-2.1270302056274986</v>
      </c>
      <c r="K30" s="32">
        <f t="shared" si="5"/>
        <v>-0.70901006854249948</v>
      </c>
      <c r="L30" s="16">
        <v>7</v>
      </c>
      <c r="M30" s="33">
        <f t="shared" si="6"/>
        <v>0.42857142857142855</v>
      </c>
      <c r="N30" s="16">
        <v>109</v>
      </c>
      <c r="O30" s="34">
        <f t="shared" ref="O30:P30" si="21">D30/7</f>
        <v>0.42857142857142855</v>
      </c>
      <c r="P30" s="34">
        <f t="shared" si="21"/>
        <v>0</v>
      </c>
      <c r="Q30" s="29">
        <f t="shared" si="8"/>
        <v>254</v>
      </c>
      <c r="R30" s="29"/>
      <c r="S30" s="21">
        <v>0.56273764258555137</v>
      </c>
      <c r="T30" s="28">
        <v>200</v>
      </c>
      <c r="U30" s="36" t="s">
        <v>33</v>
      </c>
      <c r="V30" s="37" t="s">
        <v>33</v>
      </c>
      <c r="W30" s="14">
        <v>0</v>
      </c>
      <c r="X30" s="38">
        <f t="shared" si="9"/>
        <v>0</v>
      </c>
      <c r="Y30" s="39">
        <f t="shared" si="10"/>
        <v>0</v>
      </c>
      <c r="Z30" s="14">
        <v>0</v>
      </c>
      <c r="AA30" s="28" t="s">
        <v>34</v>
      </c>
      <c r="AB30" s="40">
        <f t="shared" si="11"/>
        <v>-0.69</v>
      </c>
      <c r="AC30" s="41">
        <v>0.18749385416666667</v>
      </c>
      <c r="AD30" s="39">
        <f t="shared" si="12"/>
        <v>-0.77622455624999986</v>
      </c>
      <c r="AE30" s="25">
        <v>-5.68</v>
      </c>
      <c r="AF30" s="25">
        <v>-1.4777685497924999</v>
      </c>
      <c r="AG30" s="25">
        <v>-1</v>
      </c>
    </row>
    <row r="31" spans="1:33" ht="15.75" customHeight="1" x14ac:dyDescent="0.2">
      <c r="A31" s="14" t="s">
        <v>75</v>
      </c>
      <c r="B31" s="48" t="s">
        <v>167</v>
      </c>
      <c r="C31" s="15">
        <f t="shared" si="1"/>
        <v>8.9499999999999993</v>
      </c>
      <c r="D31" s="16">
        <v>1</v>
      </c>
      <c r="E31" s="16">
        <v>0</v>
      </c>
      <c r="F31" s="17">
        <v>8.9499999999999993</v>
      </c>
      <c r="G31" s="42">
        <v>0</v>
      </c>
      <c r="H31" s="31">
        <f t="shared" si="2"/>
        <v>0</v>
      </c>
      <c r="I31" s="31">
        <f t="shared" si="3"/>
        <v>-9.0392186429329655E-2</v>
      </c>
      <c r="J31" s="32">
        <f t="shared" si="4"/>
        <v>-0.80901006854250035</v>
      </c>
      <c r="K31" s="32">
        <f t="shared" si="5"/>
        <v>-0.80901006854250035</v>
      </c>
      <c r="L31" s="16">
        <v>8</v>
      </c>
      <c r="M31" s="33">
        <f t="shared" si="6"/>
        <v>0.125</v>
      </c>
      <c r="N31" s="16">
        <v>108</v>
      </c>
      <c r="O31" s="34">
        <f t="shared" ref="O31:P32" si="22">D31/7</f>
        <v>0.14285714285714285</v>
      </c>
      <c r="P31" s="34">
        <f t="shared" si="22"/>
        <v>0</v>
      </c>
      <c r="Q31" s="29">
        <f t="shared" si="8"/>
        <v>756</v>
      </c>
      <c r="R31" s="29"/>
      <c r="S31" s="21">
        <v>0.53156146179401997</v>
      </c>
      <c r="T31" s="14" t="s">
        <v>33</v>
      </c>
      <c r="U31" s="22" t="s">
        <v>33</v>
      </c>
      <c r="V31" s="1" t="s">
        <v>936</v>
      </c>
      <c r="W31" s="14">
        <v>0</v>
      </c>
      <c r="X31" s="38">
        <f t="shared" si="9"/>
        <v>0</v>
      </c>
      <c r="Y31" s="39">
        <f t="shared" si="10"/>
        <v>0</v>
      </c>
      <c r="Z31" s="14">
        <v>0</v>
      </c>
      <c r="AA31" s="14" t="s">
        <v>34</v>
      </c>
      <c r="AB31" s="40">
        <f t="shared" si="11"/>
        <v>-0.69</v>
      </c>
      <c r="AC31" s="27">
        <v>0.18749385416666667</v>
      </c>
      <c r="AD31" s="39">
        <f t="shared" si="12"/>
        <v>-0.25874151874999995</v>
      </c>
      <c r="AE31" s="43">
        <v>-5.68</v>
      </c>
      <c r="AF31" s="43">
        <v>-1.4777685497925002</v>
      </c>
      <c r="AG31" s="25">
        <v>-1</v>
      </c>
    </row>
    <row r="32" spans="1:33" s="51" customFormat="1" ht="15.75" customHeight="1" x14ac:dyDescent="0.2">
      <c r="A32" s="51" t="s">
        <v>934</v>
      </c>
      <c r="C32" s="15">
        <f t="shared" si="1"/>
        <v>8.9499999999999993</v>
      </c>
      <c r="D32" s="52">
        <v>2</v>
      </c>
      <c r="E32" s="52">
        <v>0</v>
      </c>
      <c r="F32" s="53">
        <v>17.899999999999999</v>
      </c>
      <c r="G32" s="53">
        <v>-25.41</v>
      </c>
      <c r="H32" s="31">
        <f t="shared" si="2"/>
        <v>1.4195530726256984</v>
      </c>
      <c r="I32" s="31">
        <f t="shared" si="3"/>
        <v>-1.3982134154796091</v>
      </c>
      <c r="J32" s="32">
        <f t="shared" si="4"/>
        <v>-25.028020137085001</v>
      </c>
      <c r="K32" s="32">
        <f t="shared" si="5"/>
        <v>-12.5140100685425</v>
      </c>
      <c r="L32" s="52">
        <v>9</v>
      </c>
      <c r="M32" s="33">
        <f t="shared" si="6"/>
        <v>0.22222222222222221</v>
      </c>
      <c r="N32" s="52">
        <v>107</v>
      </c>
      <c r="O32" s="34">
        <f t="shared" si="22"/>
        <v>0.2857142857142857</v>
      </c>
      <c r="P32" s="34">
        <f t="shared" si="22"/>
        <v>0</v>
      </c>
      <c r="Q32" s="29">
        <f t="shared" si="8"/>
        <v>374</v>
      </c>
      <c r="R32" s="29" t="str">
        <f ca="1">IFERROR(VLOOKUP($B$2,IMPORTRANGE("https://docs.google.com/spreadsheets/d/1KiWZV1ko8G7lnRucBRBd29jj3Be6ltMfljMDqzOkQmI/edit#gid=1381463014","Lookup!A:F"),6,FALSE),"")</f>
        <v/>
      </c>
      <c r="S32" s="54">
        <v>0.51898734177215189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2</v>
      </c>
      <c r="X32" s="38">
        <f t="shared" si="9"/>
        <v>1</v>
      </c>
      <c r="Y32" s="39">
        <f t="shared" si="10"/>
        <v>3.63</v>
      </c>
      <c r="Z32" s="51">
        <v>5</v>
      </c>
      <c r="AA32" s="51" t="s">
        <v>34</v>
      </c>
      <c r="AB32" s="40">
        <f t="shared" si="11"/>
        <v>-0.69</v>
      </c>
      <c r="AC32" s="57">
        <v>0.18749385416666667</v>
      </c>
      <c r="AD32" s="39">
        <f t="shared" si="12"/>
        <v>-0.51748303749999991</v>
      </c>
      <c r="AE32" s="58">
        <v>-5.68</v>
      </c>
      <c r="AF32" s="58">
        <v>-1.4777685497924999</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Info!B1:BJ5000""),3,FALSE),"""")"),"10 Ft Power Cords for TV Computer or Monitor, 2 Pack - 18/3 Replacement Power Cables, Black")</f>
        <v>10 Ft Power Cords for TV Computer or Monitor, 2 Pack - 18/3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Info!B1:BJ5000""),2,FALSE),"""")"),"B08NM44WXC")</f>
        <v>B08NM44WXC</v>
      </c>
      <c r="B2" s="3" t="s">
        <v>902</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9.3006318818647067</v>
      </c>
      <c r="D3" s="5">
        <f>SUM(D4:D99765)</f>
        <v>116</v>
      </c>
      <c r="E3" s="5"/>
      <c r="F3" s="6">
        <f t="shared" ref="F3:G3" si="0">SUM(F4:F99765)</f>
        <v>1162.8799999999999</v>
      </c>
      <c r="G3" s="6">
        <f t="shared" si="0"/>
        <v>-282.32</v>
      </c>
      <c r="H3" s="7">
        <f>G3/F3*-1</f>
        <v>0.2427765547605944</v>
      </c>
      <c r="I3" s="8">
        <f>J3/F3</f>
        <v>-0.21552455691145053</v>
      </c>
      <c r="J3" s="6">
        <f>SUM(J4:J99765)</f>
        <v>-250.62919674118757</v>
      </c>
      <c r="K3" s="6">
        <f>J3/D3</f>
        <v>-2.1605965236309275</v>
      </c>
      <c r="L3" s="5"/>
      <c r="M3" s="9"/>
      <c r="N3" s="10"/>
      <c r="O3" s="5" t="str">
        <f ca="1">IFERROR(__xludf.DUMMYFUNCTION("VLOOKUP(B2,IMPORTRANGE(""https://docs.google.com/spreadsheets/d/1N8jvpEHDVkurDv7NrPxwI3eH6hQsvtb1QltGNCalRjU/edit#gid=865736387"",""Compiled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26</v>
      </c>
      <c r="X3" s="7">
        <f>W3/D3</f>
        <v>0.22413793103448276</v>
      </c>
      <c r="Y3" s="6"/>
      <c r="Z3" s="5"/>
      <c r="AA3" s="5"/>
      <c r="AB3" s="5"/>
      <c r="AC3" s="5"/>
      <c r="AD3" s="6">
        <f>SUM(AD4:AD99765)</f>
        <v>-14.871432251562501</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Info!B2:BZ7000""),37,FALSE)),"""")*-1"),-2.955537099585)</f>
        <v>-2.9555370995849999</v>
      </c>
      <c r="AG3" s="6">
        <f>SUM(AG4:AG99765)</f>
        <v>-16</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903</v>
      </c>
      <c r="C21" s="15">
        <f t="shared" ref="C21:C32" si="1">IFERROR(F21/D21," - ")</f>
        <v>14.99</v>
      </c>
      <c r="D21" s="29">
        <v>1</v>
      </c>
      <c r="E21" s="29">
        <v>0</v>
      </c>
      <c r="F21" s="32">
        <v>14.99</v>
      </c>
      <c r="G21" s="30">
        <v>-25.849999999999998</v>
      </c>
      <c r="H21" s="31">
        <f t="shared" ref="H21:H32" si="2">G21/F21*-1</f>
        <v>1.724482988659106</v>
      </c>
      <c r="I21" s="31">
        <f t="shared" ref="I21:I32" si="3">J21/F21</f>
        <v>-1.4402391186717067</v>
      </c>
      <c r="J21" s="32">
        <f t="shared" ref="J21:J32" si="4">F21*0.85+G21+AF21*D21+D21*AE21+AG21+AD21</f>
        <v>-21.589184388888885</v>
      </c>
      <c r="K21" s="32">
        <f t="shared" ref="K21:K32" si="5">J21/D21</f>
        <v>-21.589184388888885</v>
      </c>
      <c r="L21" s="29">
        <v>2</v>
      </c>
      <c r="M21" s="33">
        <f t="shared" ref="M21:M32" si="6">IFERROR(D21/L21,"-")</f>
        <v>0.5</v>
      </c>
      <c r="N21" s="29">
        <v>248</v>
      </c>
      <c r="O21" s="34">
        <f t="shared" ref="O21:P21" si="7">D21/7</f>
        <v>0.14285714285714285</v>
      </c>
      <c r="P21" s="34">
        <f t="shared" si="7"/>
        <v>0</v>
      </c>
      <c r="Q21" s="29">
        <f t="shared" ref="Q21:Q32" si="8">ROUNDDOWN(N21/(O21+P21),0)</f>
        <v>1736</v>
      </c>
      <c r="R21" s="29"/>
      <c r="S21" s="35">
        <v>1.6194331983805599E-2</v>
      </c>
      <c r="T21" s="28">
        <v>400</v>
      </c>
      <c r="U21" s="36" t="s">
        <v>33</v>
      </c>
      <c r="V21" s="37" t="s">
        <v>33</v>
      </c>
      <c r="W21" s="28">
        <v>1</v>
      </c>
      <c r="X21" s="38">
        <f t="shared" ref="X21:X32" si="9">IFERROR(W21/D21,0)</f>
        <v>1</v>
      </c>
      <c r="Y21" s="39">
        <f t="shared" ref="Y21:Y32" si="10">IFERROR(G21/(W21+Z21)*-1,0)</f>
        <v>12.924999999999999</v>
      </c>
      <c r="Z21" s="28">
        <v>1</v>
      </c>
      <c r="AA21" s="28" t="s">
        <v>34</v>
      </c>
      <c r="AB21" s="40">
        <f t="shared" ref="AB21:AB32" si="11">IF(OR(AA21="UsLargeStandardSize",AA21="UsSmallStandardSize"),-0.69,-0.48)</f>
        <v>-0.69</v>
      </c>
      <c r="AC21" s="41">
        <v>4.6296296296296294E-3</v>
      </c>
      <c r="AD21" s="39">
        <f t="shared" ref="AD21:AD32" si="12">IFERROR(AB21*AC21*D21*2,0)</f>
        <v>-6.3888888888888884E-3</v>
      </c>
      <c r="AE21" s="39">
        <v>-5.42</v>
      </c>
      <c r="AF21" s="39">
        <v>-3.0542955000000007</v>
      </c>
      <c r="AG21" s="39">
        <v>0</v>
      </c>
    </row>
    <row r="22" spans="1:33" ht="15.75" customHeight="1" x14ac:dyDescent="0.2">
      <c r="A22" s="28" t="s">
        <v>60</v>
      </c>
      <c r="B22" s="28" t="s">
        <v>904</v>
      </c>
      <c r="C22" s="15">
        <f t="shared" si="1"/>
        <v>14.836666666666666</v>
      </c>
      <c r="D22" s="29">
        <v>3</v>
      </c>
      <c r="E22" s="29">
        <v>0</v>
      </c>
      <c r="F22" s="30">
        <v>44.51</v>
      </c>
      <c r="G22" s="30">
        <v>-7.62</v>
      </c>
      <c r="H22" s="31">
        <f t="shared" si="2"/>
        <v>0.17119748371152552</v>
      </c>
      <c r="I22" s="31">
        <f t="shared" si="3"/>
        <v>0.1339660696496105</v>
      </c>
      <c r="J22" s="32">
        <f t="shared" si="4"/>
        <v>5.9628297601041629</v>
      </c>
      <c r="K22" s="32">
        <f t="shared" si="5"/>
        <v>1.987609920034721</v>
      </c>
      <c r="L22" s="29">
        <v>4</v>
      </c>
      <c r="M22" s="33">
        <f t="shared" si="6"/>
        <v>0.75</v>
      </c>
      <c r="N22" s="29">
        <v>244</v>
      </c>
      <c r="O22" s="34">
        <f t="shared" ref="O22:P22" si="13">D22/7</f>
        <v>0.42857142857142855</v>
      </c>
      <c r="P22" s="34">
        <f t="shared" si="13"/>
        <v>0</v>
      </c>
      <c r="Q22" s="29">
        <f t="shared" si="8"/>
        <v>569</v>
      </c>
      <c r="R22" s="29"/>
      <c r="S22" s="35">
        <v>7.3059360730593603E-2</v>
      </c>
      <c r="T22" s="28">
        <v>400</v>
      </c>
      <c r="U22" s="36" t="s">
        <v>33</v>
      </c>
      <c r="V22" s="37" t="s">
        <v>33</v>
      </c>
      <c r="W22" s="28">
        <v>0</v>
      </c>
      <c r="X22" s="38">
        <f t="shared" si="9"/>
        <v>0</v>
      </c>
      <c r="Y22" s="39">
        <f t="shared" si="10"/>
        <v>0</v>
      </c>
      <c r="Z22" s="28">
        <v>0</v>
      </c>
      <c r="AA22" s="28" t="s">
        <v>34</v>
      </c>
      <c r="AB22" s="40">
        <f t="shared" si="11"/>
        <v>-0.69</v>
      </c>
      <c r="AC22" s="41">
        <v>9.3667570023148156E-2</v>
      </c>
      <c r="AD22" s="39">
        <f t="shared" si="12"/>
        <v>-0.38778373989583331</v>
      </c>
      <c r="AE22" s="39">
        <v>-4.9000000000000004</v>
      </c>
      <c r="AF22" s="39">
        <v>-3.0542955000000007</v>
      </c>
      <c r="AG22" s="39">
        <v>0</v>
      </c>
    </row>
    <row r="23" spans="1:33" ht="15.75" customHeight="1" x14ac:dyDescent="0.2">
      <c r="A23" s="28" t="s">
        <v>62</v>
      </c>
      <c r="B23" s="28" t="s">
        <v>905</v>
      </c>
      <c r="C23" s="15">
        <f t="shared" si="1"/>
        <v>13.865</v>
      </c>
      <c r="D23" s="29">
        <v>4</v>
      </c>
      <c r="E23" s="29">
        <v>0</v>
      </c>
      <c r="F23" s="32">
        <v>55.46</v>
      </c>
      <c r="G23" s="30">
        <v>-16.86</v>
      </c>
      <c r="H23" s="31">
        <f t="shared" si="2"/>
        <v>0.30400288496213485</v>
      </c>
      <c r="I23" s="31">
        <f t="shared" si="3"/>
        <v>-3.7021763190187192E-2</v>
      </c>
      <c r="J23" s="32">
        <f t="shared" si="4"/>
        <v>-2.0532269865277817</v>
      </c>
      <c r="K23" s="32">
        <f t="shared" si="5"/>
        <v>-0.51330674663194542</v>
      </c>
      <c r="L23" s="29">
        <v>12</v>
      </c>
      <c r="M23" s="33">
        <f t="shared" si="6"/>
        <v>0.33333333333333331</v>
      </c>
      <c r="N23" s="29">
        <v>190</v>
      </c>
      <c r="O23" s="34">
        <f t="shared" ref="O23:P23" si="14">D23/7</f>
        <v>0.5714285714285714</v>
      </c>
      <c r="P23" s="34">
        <f t="shared" si="14"/>
        <v>0</v>
      </c>
      <c r="Q23" s="29">
        <f t="shared" si="8"/>
        <v>332</v>
      </c>
      <c r="R23" s="29"/>
      <c r="S23" s="35">
        <v>0.168421052631578</v>
      </c>
      <c r="T23" s="28">
        <v>400</v>
      </c>
      <c r="U23" s="36" t="s">
        <v>33</v>
      </c>
      <c r="V23" s="37" t="s">
        <v>33</v>
      </c>
      <c r="W23" s="28">
        <v>1</v>
      </c>
      <c r="X23" s="38">
        <f t="shared" si="9"/>
        <v>0.25</v>
      </c>
      <c r="Y23" s="39">
        <f t="shared" si="10"/>
        <v>8.43</v>
      </c>
      <c r="Z23" s="28">
        <v>1</v>
      </c>
      <c r="AA23" s="28" t="s">
        <v>34</v>
      </c>
      <c r="AB23" s="40">
        <f t="shared" si="11"/>
        <v>-0.69</v>
      </c>
      <c r="AC23" s="41">
        <v>9.3667570023148156E-2</v>
      </c>
      <c r="AD23" s="39">
        <f t="shared" si="12"/>
        <v>-0.51704498652777775</v>
      </c>
      <c r="AE23" s="39">
        <v>-4.9000000000000004</v>
      </c>
      <c r="AF23" s="39">
        <v>-3.0542955000000007</v>
      </c>
      <c r="AG23" s="39">
        <v>0</v>
      </c>
    </row>
    <row r="24" spans="1:33" ht="15.75" customHeight="1" x14ac:dyDescent="0.2">
      <c r="A24" s="28" t="s">
        <v>64</v>
      </c>
      <c r="B24" s="28" t="s">
        <v>906</v>
      </c>
      <c r="C24" s="15">
        <f t="shared" si="1"/>
        <v>10.352857142857143</v>
      </c>
      <c r="D24" s="29">
        <v>7</v>
      </c>
      <c r="E24" s="29">
        <v>0</v>
      </c>
      <c r="F24" s="32">
        <v>72.47</v>
      </c>
      <c r="G24" s="32">
        <v>-20.760000000000005</v>
      </c>
      <c r="H24" s="31">
        <f t="shared" si="2"/>
        <v>0.28646336415068313</v>
      </c>
      <c r="I24" s="31">
        <f t="shared" si="3"/>
        <v>-0.21726779669413035</v>
      </c>
      <c r="J24" s="32">
        <f t="shared" si="4"/>
        <v>-15.745397226423625</v>
      </c>
      <c r="K24" s="32">
        <f t="shared" si="5"/>
        <v>-2.2493424609176609</v>
      </c>
      <c r="L24" s="29">
        <v>14</v>
      </c>
      <c r="M24" s="33">
        <f t="shared" si="6"/>
        <v>0.5</v>
      </c>
      <c r="N24" s="29">
        <v>183</v>
      </c>
      <c r="O24" s="34">
        <f t="shared" ref="O24:P24" si="15">D24/7</f>
        <v>1</v>
      </c>
      <c r="P24" s="34">
        <f t="shared" si="15"/>
        <v>0</v>
      </c>
      <c r="Q24" s="29">
        <f t="shared" si="8"/>
        <v>183</v>
      </c>
      <c r="R24" s="29"/>
      <c r="S24" s="35">
        <v>0.21164021164021099</v>
      </c>
      <c r="T24" s="28">
        <v>400</v>
      </c>
      <c r="U24" s="36" t="s">
        <v>33</v>
      </c>
      <c r="V24" s="37" t="s">
        <v>33</v>
      </c>
      <c r="W24" s="28">
        <v>3</v>
      </c>
      <c r="X24" s="38">
        <f t="shared" si="9"/>
        <v>0.42857142857142855</v>
      </c>
      <c r="Y24" s="39">
        <f t="shared" si="10"/>
        <v>2.9657142857142866</v>
      </c>
      <c r="Z24" s="28">
        <v>4</v>
      </c>
      <c r="AA24" s="28" t="s">
        <v>34</v>
      </c>
      <c r="AB24" s="40">
        <f t="shared" si="11"/>
        <v>-0.69</v>
      </c>
      <c r="AC24" s="41">
        <v>9.3667570023148156E-2</v>
      </c>
      <c r="AD24" s="39">
        <f t="shared" si="12"/>
        <v>-0.90482872642361101</v>
      </c>
      <c r="AE24" s="39">
        <v>-4.9000000000000004</v>
      </c>
      <c r="AF24" s="39">
        <v>-3.0542955000000007</v>
      </c>
      <c r="AG24" s="39">
        <v>0</v>
      </c>
    </row>
    <row r="25" spans="1:33" ht="15.75" customHeight="1" x14ac:dyDescent="0.2">
      <c r="A25" s="28" t="s">
        <v>65</v>
      </c>
      <c r="B25" s="14"/>
      <c r="C25" s="15">
        <f t="shared" si="1"/>
        <v>9.6623076923076923</v>
      </c>
      <c r="D25" s="29">
        <v>13</v>
      </c>
      <c r="E25" s="29">
        <v>0</v>
      </c>
      <c r="F25" s="32">
        <v>125.61</v>
      </c>
      <c r="G25" s="32">
        <v>-42.489999999999988</v>
      </c>
      <c r="H25" s="31">
        <f t="shared" si="2"/>
        <v>0.33826924607913372</v>
      </c>
      <c r="I25" s="31">
        <f t="shared" si="3"/>
        <v>-0.3244319417738657</v>
      </c>
      <c r="J25" s="32">
        <f t="shared" si="4"/>
        <v>-40.751896206215271</v>
      </c>
      <c r="K25" s="32">
        <f t="shared" si="5"/>
        <v>-3.1347612466319439</v>
      </c>
      <c r="L25" s="29">
        <v>18</v>
      </c>
      <c r="M25" s="33">
        <f t="shared" si="6"/>
        <v>0.72222222222222221</v>
      </c>
      <c r="N25" s="29">
        <v>170</v>
      </c>
      <c r="O25" s="34">
        <f t="shared" ref="O25:P25" si="16">D25/7</f>
        <v>1.8571428571428572</v>
      </c>
      <c r="P25" s="34">
        <f t="shared" si="16"/>
        <v>0</v>
      </c>
      <c r="Q25" s="29">
        <f t="shared" si="8"/>
        <v>91</v>
      </c>
      <c r="R25" s="29"/>
      <c r="S25" s="35">
        <v>0.19851116625310181</v>
      </c>
      <c r="T25" s="28">
        <v>400</v>
      </c>
      <c r="U25" s="36" t="s">
        <v>33</v>
      </c>
      <c r="V25" s="37" t="s">
        <v>33</v>
      </c>
      <c r="W25" s="14">
        <v>5</v>
      </c>
      <c r="X25" s="38">
        <f t="shared" si="9"/>
        <v>0.38461538461538464</v>
      </c>
      <c r="Y25" s="39">
        <f t="shared" si="10"/>
        <v>4.7211111111111101</v>
      </c>
      <c r="Z25" s="14">
        <v>4</v>
      </c>
      <c r="AA25" s="28" t="s">
        <v>34</v>
      </c>
      <c r="AB25" s="40">
        <f t="shared" si="11"/>
        <v>-0.69</v>
      </c>
      <c r="AC25" s="41">
        <v>9.3667570023148156E-2</v>
      </c>
      <c r="AD25" s="39">
        <f t="shared" si="12"/>
        <v>-1.6803962062152777</v>
      </c>
      <c r="AE25" s="39">
        <v>-4.9000000000000004</v>
      </c>
      <c r="AF25" s="39">
        <v>-3.05</v>
      </c>
      <c r="AG25" s="39">
        <v>0</v>
      </c>
    </row>
    <row r="26" spans="1:33" ht="15.75" customHeight="1" x14ac:dyDescent="0.2">
      <c r="A26" s="14" t="s">
        <v>67</v>
      </c>
      <c r="B26" s="14" t="s">
        <v>907</v>
      </c>
      <c r="C26" s="15">
        <f t="shared" si="1"/>
        <v>9.5245454545454535</v>
      </c>
      <c r="D26" s="16">
        <v>11</v>
      </c>
      <c r="E26" s="16">
        <v>0</v>
      </c>
      <c r="F26" s="17">
        <v>104.77</v>
      </c>
      <c r="G26" s="17">
        <v>-50.45</v>
      </c>
      <c r="H26" s="31">
        <f t="shared" si="2"/>
        <v>0.48153097260666228</v>
      </c>
      <c r="I26" s="31">
        <f t="shared" si="3"/>
        <v>-0.48680882135106807</v>
      </c>
      <c r="J26" s="32">
        <f t="shared" si="4"/>
        <v>-51.0029602129514</v>
      </c>
      <c r="K26" s="32">
        <f t="shared" si="5"/>
        <v>-4.6366327466319452</v>
      </c>
      <c r="L26" s="16">
        <v>26</v>
      </c>
      <c r="M26" s="33">
        <f t="shared" si="6"/>
        <v>0.42307692307692307</v>
      </c>
      <c r="N26" s="16">
        <v>135</v>
      </c>
      <c r="O26" s="34">
        <f t="shared" ref="O26:P26" si="17">D26/7</f>
        <v>1.5714285714285714</v>
      </c>
      <c r="P26" s="34">
        <f t="shared" si="17"/>
        <v>0</v>
      </c>
      <c r="Q26" s="29">
        <f t="shared" si="8"/>
        <v>85</v>
      </c>
      <c r="R26" s="29"/>
      <c r="S26" s="21">
        <v>0.38781163434903049</v>
      </c>
      <c r="T26" s="28">
        <v>400</v>
      </c>
      <c r="U26" s="36" t="s">
        <v>33</v>
      </c>
      <c r="V26" s="37" t="s">
        <v>33</v>
      </c>
      <c r="W26" s="14">
        <v>3</v>
      </c>
      <c r="X26" s="38">
        <f t="shared" si="9"/>
        <v>0.27272727272727271</v>
      </c>
      <c r="Y26" s="39">
        <f t="shared" si="10"/>
        <v>8.4083333333333332</v>
      </c>
      <c r="Z26" s="14">
        <v>3</v>
      </c>
      <c r="AA26" s="28" t="s">
        <v>34</v>
      </c>
      <c r="AB26" s="40">
        <f t="shared" si="11"/>
        <v>-0.69</v>
      </c>
      <c r="AC26" s="41">
        <v>9.3667570023148156E-2</v>
      </c>
      <c r="AD26" s="39">
        <f t="shared" si="12"/>
        <v>-1.4218737129513888</v>
      </c>
      <c r="AE26" s="25">
        <v>-4.95</v>
      </c>
      <c r="AF26" s="25">
        <v>-3.0668715</v>
      </c>
      <c r="AG26" s="25">
        <v>0</v>
      </c>
    </row>
    <row r="27" spans="1:33" ht="15.75" customHeight="1" x14ac:dyDescent="0.2">
      <c r="A27" s="14" t="s">
        <v>69</v>
      </c>
      <c r="B27" s="14" t="s">
        <v>908</v>
      </c>
      <c r="C27" s="15">
        <f t="shared" si="1"/>
        <v>9.530869565217392</v>
      </c>
      <c r="D27" s="16">
        <v>23</v>
      </c>
      <c r="E27" s="16">
        <v>0</v>
      </c>
      <c r="F27" s="17">
        <v>219.21</v>
      </c>
      <c r="G27" s="17">
        <v>-37.82</v>
      </c>
      <c r="H27" s="31">
        <f t="shared" si="2"/>
        <v>0.1725286255189088</v>
      </c>
      <c r="I27" s="31">
        <f t="shared" si="3"/>
        <v>-0.20004814183903441</v>
      </c>
      <c r="J27" s="32">
        <f t="shared" si="4"/>
        <v>-43.852553172534734</v>
      </c>
      <c r="K27" s="32">
        <f t="shared" si="5"/>
        <v>-1.906632746631945</v>
      </c>
      <c r="L27" s="16">
        <v>24</v>
      </c>
      <c r="M27" s="33">
        <f t="shared" si="6"/>
        <v>0.95833333333333337</v>
      </c>
      <c r="N27" s="16">
        <v>112</v>
      </c>
      <c r="O27" s="34">
        <f t="shared" ref="O27:P27" si="18">D27/7</f>
        <v>3.2857142857142856</v>
      </c>
      <c r="P27" s="34">
        <f t="shared" si="18"/>
        <v>0</v>
      </c>
      <c r="Q27" s="29">
        <f t="shared" si="8"/>
        <v>34</v>
      </c>
      <c r="R27" s="29"/>
      <c r="S27" s="21">
        <v>0.66666666666666663</v>
      </c>
      <c r="T27" s="28">
        <v>400</v>
      </c>
      <c r="U27" s="36" t="s">
        <v>33</v>
      </c>
      <c r="V27" s="37" t="s">
        <v>33</v>
      </c>
      <c r="W27" s="14">
        <v>5</v>
      </c>
      <c r="X27" s="38">
        <f t="shared" si="9"/>
        <v>0.21739130434782608</v>
      </c>
      <c r="Y27" s="39">
        <f t="shared" si="10"/>
        <v>6.3033333333333337</v>
      </c>
      <c r="Z27" s="14">
        <v>1</v>
      </c>
      <c r="AA27" s="28" t="s">
        <v>34</v>
      </c>
      <c r="AB27" s="40">
        <f t="shared" si="11"/>
        <v>-0.69</v>
      </c>
      <c r="AC27" s="41">
        <v>9.3667570023148156E-2</v>
      </c>
      <c r="AD27" s="39">
        <f t="shared" si="12"/>
        <v>-2.9730086725347222</v>
      </c>
      <c r="AE27" s="25">
        <v>-4.95</v>
      </c>
      <c r="AF27" s="25">
        <v>-3.0668715</v>
      </c>
      <c r="AG27" s="25">
        <v>-5</v>
      </c>
    </row>
    <row r="28" spans="1:33" ht="15.75" customHeight="1" x14ac:dyDescent="0.2">
      <c r="A28" s="14" t="s">
        <v>71</v>
      </c>
      <c r="B28" s="14" t="s">
        <v>849</v>
      </c>
      <c r="C28" s="15">
        <f t="shared" si="1"/>
        <v>9.5875000000000004</v>
      </c>
      <c r="D28" s="16">
        <v>12</v>
      </c>
      <c r="E28" s="16">
        <v>0</v>
      </c>
      <c r="F28" s="17">
        <v>115.05</v>
      </c>
      <c r="G28" s="17">
        <v>-33.81</v>
      </c>
      <c r="H28" s="31">
        <f t="shared" si="2"/>
        <v>0.29387222946544983</v>
      </c>
      <c r="I28" s="31">
        <f t="shared" si="3"/>
        <v>-0.29353405440750419</v>
      </c>
      <c r="J28" s="32">
        <f t="shared" si="4"/>
        <v>-33.771092959583356</v>
      </c>
      <c r="K28" s="32">
        <f t="shared" si="5"/>
        <v>-2.8142577466319465</v>
      </c>
      <c r="L28" s="16">
        <v>26</v>
      </c>
      <c r="M28" s="33">
        <f t="shared" si="6"/>
        <v>0.46153846153846156</v>
      </c>
      <c r="N28" s="16">
        <v>101</v>
      </c>
      <c r="O28" s="34">
        <f t="shared" ref="O28:P28" si="19">D28/7</f>
        <v>1.7142857142857142</v>
      </c>
      <c r="P28" s="34">
        <f t="shared" si="19"/>
        <v>0</v>
      </c>
      <c r="Q28" s="29">
        <f t="shared" si="8"/>
        <v>58</v>
      </c>
      <c r="R28" s="29"/>
      <c r="S28" s="21">
        <v>0.95238095238095233</v>
      </c>
      <c r="T28" s="28">
        <v>400</v>
      </c>
      <c r="U28" s="36" t="s">
        <v>33</v>
      </c>
      <c r="V28" s="37" t="s">
        <v>33</v>
      </c>
      <c r="W28" s="14">
        <v>4</v>
      </c>
      <c r="X28" s="38">
        <f t="shared" si="9"/>
        <v>0.33333333333333331</v>
      </c>
      <c r="Y28" s="39">
        <f t="shared" si="10"/>
        <v>4.2262500000000003</v>
      </c>
      <c r="Z28" s="14">
        <v>4</v>
      </c>
      <c r="AA28" s="28" t="s">
        <v>34</v>
      </c>
      <c r="AB28" s="40">
        <f t="shared" si="11"/>
        <v>-0.69</v>
      </c>
      <c r="AC28" s="41">
        <v>9.3667570023148156E-2</v>
      </c>
      <c r="AD28" s="39">
        <f t="shared" si="12"/>
        <v>-1.5511349595833333</v>
      </c>
      <c r="AE28" s="25">
        <v>-4.95</v>
      </c>
      <c r="AF28" s="25">
        <v>-3.0668715</v>
      </c>
      <c r="AG28" s="25">
        <v>0</v>
      </c>
    </row>
    <row r="29" spans="1:33" ht="15.75" customHeight="1" x14ac:dyDescent="0.2">
      <c r="A29" s="28" t="s">
        <v>72</v>
      </c>
      <c r="B29" s="28" t="s">
        <v>909</v>
      </c>
      <c r="C29" s="15">
        <f t="shared" si="1"/>
        <v>9.5329411764705885</v>
      </c>
      <c r="D29" s="29">
        <v>17</v>
      </c>
      <c r="E29" s="29">
        <v>0</v>
      </c>
      <c r="F29" s="32">
        <v>162.06</v>
      </c>
      <c r="G29" s="32">
        <v>-45.09</v>
      </c>
      <c r="H29" s="31">
        <f t="shared" si="2"/>
        <v>0.27823028507960018</v>
      </c>
      <c r="I29" s="31">
        <f t="shared" si="3"/>
        <v>-0.28275488518291408</v>
      </c>
      <c r="J29" s="32">
        <f t="shared" si="4"/>
        <v>-45.823256692743058</v>
      </c>
      <c r="K29" s="32">
        <f t="shared" si="5"/>
        <v>-2.6954856878084152</v>
      </c>
      <c r="L29" s="29">
        <v>26</v>
      </c>
      <c r="M29" s="33">
        <f t="shared" si="6"/>
        <v>0.65384615384615385</v>
      </c>
      <c r="N29" s="16">
        <v>85</v>
      </c>
      <c r="O29" s="34">
        <f t="shared" ref="O29:P29" si="20">D29/7</f>
        <v>2.4285714285714284</v>
      </c>
      <c r="P29" s="34">
        <f t="shared" si="20"/>
        <v>0</v>
      </c>
      <c r="Q29" s="29">
        <f t="shared" si="8"/>
        <v>35</v>
      </c>
      <c r="R29" s="29"/>
      <c r="S29" s="21">
        <v>0.73347547974413652</v>
      </c>
      <c r="T29" s="28">
        <v>400</v>
      </c>
      <c r="U29" s="36" t="s">
        <v>33</v>
      </c>
      <c r="V29" s="37" t="s">
        <v>33</v>
      </c>
      <c r="W29" s="14">
        <v>4</v>
      </c>
      <c r="X29" s="38">
        <f t="shared" si="9"/>
        <v>0.23529411764705882</v>
      </c>
      <c r="Y29" s="39">
        <f t="shared" si="10"/>
        <v>6.4414285714285722</v>
      </c>
      <c r="Z29" s="14">
        <v>3</v>
      </c>
      <c r="AA29" s="28" t="s">
        <v>34</v>
      </c>
      <c r="AB29" s="40">
        <f t="shared" si="11"/>
        <v>-0.69</v>
      </c>
      <c r="AC29" s="41">
        <v>9.3667570023148156E-2</v>
      </c>
      <c r="AD29" s="39">
        <f t="shared" si="12"/>
        <v>-2.1974411927430553</v>
      </c>
      <c r="AE29" s="39">
        <v>-4.95</v>
      </c>
      <c r="AF29" s="25">
        <v>-3.0668715</v>
      </c>
      <c r="AG29" s="39">
        <v>0</v>
      </c>
    </row>
    <row r="30" spans="1:33" ht="15.75" customHeight="1" x14ac:dyDescent="0.2">
      <c r="A30" s="14" t="s">
        <v>74</v>
      </c>
      <c r="B30" s="14" t="s">
        <v>82</v>
      </c>
      <c r="C30" s="15">
        <f t="shared" si="1"/>
        <v>9.9500000000000011</v>
      </c>
      <c r="D30" s="16">
        <v>7</v>
      </c>
      <c r="E30" s="16">
        <v>0</v>
      </c>
      <c r="F30" s="17">
        <v>69.650000000000006</v>
      </c>
      <c r="G30" s="17">
        <v>-1.57</v>
      </c>
      <c r="H30" s="31">
        <f t="shared" si="2"/>
        <v>2.2541277817659727E-2</v>
      </c>
      <c r="I30" s="31">
        <f t="shared" si="3"/>
        <v>-8.7737031373813449E-3</v>
      </c>
      <c r="J30" s="32">
        <f t="shared" si="4"/>
        <v>-0.6110884235186107</v>
      </c>
      <c r="K30" s="32">
        <f t="shared" si="5"/>
        <v>-8.7298346216944392E-2</v>
      </c>
      <c r="L30" s="16">
        <v>10</v>
      </c>
      <c r="M30" s="33">
        <f t="shared" si="6"/>
        <v>0.7</v>
      </c>
      <c r="N30" s="16">
        <v>77</v>
      </c>
      <c r="O30" s="34">
        <f t="shared" ref="O30:P30" si="21">D30/7</f>
        <v>1</v>
      </c>
      <c r="P30" s="34">
        <f t="shared" si="21"/>
        <v>0</v>
      </c>
      <c r="Q30" s="29">
        <f t="shared" si="8"/>
        <v>77</v>
      </c>
      <c r="R30" s="29"/>
      <c r="S30" s="21">
        <v>0.74549098196392782</v>
      </c>
      <c r="T30" s="28">
        <v>400</v>
      </c>
      <c r="U30" s="36" t="s">
        <v>33</v>
      </c>
      <c r="V30" s="37" t="s">
        <v>33</v>
      </c>
      <c r="W30" s="14">
        <v>0</v>
      </c>
      <c r="X30" s="38">
        <f t="shared" si="9"/>
        <v>0</v>
      </c>
      <c r="Y30" s="39">
        <f t="shared" si="10"/>
        <v>0</v>
      </c>
      <c r="Z30" s="14">
        <v>0</v>
      </c>
      <c r="AA30" s="28" t="s">
        <v>34</v>
      </c>
      <c r="AB30" s="40">
        <f t="shared" si="11"/>
        <v>-0.69</v>
      </c>
      <c r="AC30" s="41">
        <v>9.3667570023148156E-2</v>
      </c>
      <c r="AD30" s="39">
        <f t="shared" si="12"/>
        <v>-0.90482872642361101</v>
      </c>
      <c r="AE30" s="25">
        <v>-4.95</v>
      </c>
      <c r="AF30" s="25">
        <v>-2.9555370995849999</v>
      </c>
      <c r="AG30" s="25">
        <v>-2</v>
      </c>
    </row>
    <row r="31" spans="1:33" ht="15.75" customHeight="1" x14ac:dyDescent="0.2">
      <c r="A31" s="14" t="s">
        <v>75</v>
      </c>
      <c r="B31" s="14" t="s">
        <v>82</v>
      </c>
      <c r="C31" s="15">
        <f t="shared" si="1"/>
        <v>9.9500000000000011</v>
      </c>
      <c r="D31" s="16">
        <v>10</v>
      </c>
      <c r="E31" s="16">
        <v>0</v>
      </c>
      <c r="F31" s="17">
        <v>99.500000000000014</v>
      </c>
      <c r="G31" s="42">
        <v>0</v>
      </c>
      <c r="H31" s="31">
        <f t="shared" si="2"/>
        <v>0</v>
      </c>
      <c r="I31" s="31">
        <f t="shared" si="3"/>
        <v>1.2331824500809579E-2</v>
      </c>
      <c r="J31" s="32">
        <f t="shared" si="4"/>
        <v>1.2270165378305533</v>
      </c>
      <c r="K31" s="32">
        <f t="shared" si="5"/>
        <v>0.12270165378305534</v>
      </c>
      <c r="L31" s="16">
        <v>14</v>
      </c>
      <c r="M31" s="33">
        <f t="shared" si="6"/>
        <v>0.7142857142857143</v>
      </c>
      <c r="N31" s="16">
        <v>68</v>
      </c>
      <c r="O31" s="34">
        <f t="shared" ref="O31:P32" si="22">D31/7</f>
        <v>1.4285714285714286</v>
      </c>
      <c r="P31" s="34">
        <f t="shared" si="22"/>
        <v>0</v>
      </c>
      <c r="Q31" s="29">
        <f t="shared" si="8"/>
        <v>47</v>
      </c>
      <c r="R31" s="29"/>
      <c r="S31" s="21">
        <v>0.89285714285714202</v>
      </c>
      <c r="T31" s="14" t="s">
        <v>33</v>
      </c>
      <c r="U31" s="22" t="s">
        <v>33</v>
      </c>
      <c r="V31" s="1" t="s">
        <v>936</v>
      </c>
      <c r="W31" s="14">
        <v>0</v>
      </c>
      <c r="X31" s="38">
        <f t="shared" si="9"/>
        <v>0</v>
      </c>
      <c r="Y31" s="39">
        <f t="shared" si="10"/>
        <v>0</v>
      </c>
      <c r="Z31" s="14">
        <v>0</v>
      </c>
      <c r="AA31" s="14" t="s">
        <v>34</v>
      </c>
      <c r="AB31" s="40">
        <f t="shared" si="11"/>
        <v>-0.69</v>
      </c>
      <c r="AC31" s="27">
        <v>9.3667570023148156E-2</v>
      </c>
      <c r="AD31" s="39">
        <f t="shared" si="12"/>
        <v>-1.2926124663194445</v>
      </c>
      <c r="AE31" s="43">
        <v>-4.95</v>
      </c>
      <c r="AF31" s="43">
        <v>-2.9555370995850003</v>
      </c>
      <c r="AG31" s="25">
        <v>-3</v>
      </c>
    </row>
    <row r="32" spans="1:33" s="51" customFormat="1" ht="15.75" customHeight="1" x14ac:dyDescent="0.2">
      <c r="A32" s="51" t="s">
        <v>934</v>
      </c>
      <c r="C32" s="15">
        <f t="shared" si="1"/>
        <v>9.9499999999999993</v>
      </c>
      <c r="D32" s="52">
        <v>8</v>
      </c>
      <c r="E32" s="52">
        <v>0</v>
      </c>
      <c r="F32" s="53">
        <v>79.599999999999994</v>
      </c>
      <c r="G32" s="53">
        <v>0</v>
      </c>
      <c r="H32" s="31">
        <f t="shared" si="2"/>
        <v>0</v>
      </c>
      <c r="I32" s="31">
        <f t="shared" si="3"/>
        <v>-3.2894306152456733E-2</v>
      </c>
      <c r="J32" s="32">
        <f t="shared" si="4"/>
        <v>-2.6183867697355558</v>
      </c>
      <c r="K32" s="32">
        <f t="shared" si="5"/>
        <v>-0.32729834621694448</v>
      </c>
      <c r="L32" s="52">
        <v>11</v>
      </c>
      <c r="M32" s="33">
        <f t="shared" si="6"/>
        <v>0.72727272727272729</v>
      </c>
      <c r="N32" s="52">
        <v>59</v>
      </c>
      <c r="O32" s="34">
        <f t="shared" si="22"/>
        <v>1.1428571428571428</v>
      </c>
      <c r="P32" s="34">
        <f t="shared" si="22"/>
        <v>0</v>
      </c>
      <c r="Q32" s="29">
        <f t="shared" si="8"/>
        <v>51</v>
      </c>
      <c r="R32" s="29" t="str">
        <f ca="1">IFERROR(VLOOKUP($B$2,IMPORTRANGE("https://docs.google.com/spreadsheets/d/1KiWZV1ko8G7lnRucBRBd29jj3Be6ltMfljMDqzOkQmI/edit#gid=1381463014","Lookup!A:F"),6,FALSE),"")</f>
        <v/>
      </c>
      <c r="S32" s="54">
        <v>1.280898876404494</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9.3667570023148156E-2</v>
      </c>
      <c r="AD32" s="39">
        <f t="shared" si="12"/>
        <v>-1.0340899730555555</v>
      </c>
      <c r="AE32" s="58">
        <v>-4.95</v>
      </c>
      <c r="AF32" s="58">
        <v>-2.9555370995849999</v>
      </c>
      <c r="AG32" s="58">
        <v>-6</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Info!B1:BJ5000""),3,FALSE),"""")"),"10 Ft Power Cords for TV Computer or Monitor, 5 Pack - 18/3 Replacement Power Cables, Black")</f>
        <v>10 Ft Power Cords for TV Computer or Monitor, 5 Pack - 18/3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Info!B1:BJ5000""),2,FALSE),"""")"),"B08NLRW93H")</f>
        <v>B08NLRW93H</v>
      </c>
      <c r="B2" s="3" t="s">
        <v>910</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14.516285587014707</v>
      </c>
      <c r="D3" s="5">
        <f>SUM(D4:D99765)</f>
        <v>113</v>
      </c>
      <c r="E3" s="5"/>
      <c r="F3" s="6">
        <f t="shared" ref="F3:G3" si="0">SUM(F4:F99765)</f>
        <v>2237.41</v>
      </c>
      <c r="G3" s="6">
        <f t="shared" si="0"/>
        <v>-89.469999999999985</v>
      </c>
      <c r="H3" s="7">
        <f>G3/F3*-1</f>
        <v>3.998820064270741E-2</v>
      </c>
      <c r="I3" s="8">
        <f>J3/F3</f>
        <v>0.17212365889137438</v>
      </c>
      <c r="J3" s="6">
        <f>SUM(J4:J99765)</f>
        <v>385.1111956401499</v>
      </c>
      <c r="K3" s="6">
        <f>J3/D3</f>
        <v>3.4080636782314149</v>
      </c>
      <c r="L3" s="5"/>
      <c r="M3" s="9"/>
      <c r="N3" s="10"/>
      <c r="O3" s="5" t="str">
        <f ca="1">IFERROR(__xludf.DUMMYFUNCTION("VLOOKUP(B2,IMPORTRANGE(""https://docs.google.com/spreadsheets/d/1N8jvpEHDVkurDv7NrPxwI3eH6hQsvtb1QltGNCalRjU/edit#gid=865736387"",""Compiled Sheet!a1:g5000""),2,FALSE)"),"1.5 - March
1.5 - April
1.5 - May
1.5 - June
1.5 - July
1.5 - Aug
1.5 - Sept
1.5 - Oct
1.5 - Nov
1.5 - Dec
1.5 - Jan
1.5 - Feb")</f>
        <v>1.5 - March
1.5 - April
1.5 - May
1.5 - June
1.5 - July
1.5 - Aug
1.5 - Sept
1.5 - Oct
1.5 - Nov
1.5 - Dec
1.5 - Jan
1.5 -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20</v>
      </c>
      <c r="X3" s="7">
        <f>W3/D3</f>
        <v>0.17699115044247787</v>
      </c>
      <c r="Y3" s="6"/>
      <c r="Z3" s="5"/>
      <c r="AA3" s="5"/>
      <c r="AB3" s="5"/>
      <c r="AC3" s="5"/>
      <c r="AD3" s="6">
        <f>SUM(AD4:AD99765)</f>
        <v>-11.980092124374998</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Info!B2:BZ7000""),37,FALSE)),"""")*-1"),-7.3888427489625)</f>
        <v>-7.3888427489625004</v>
      </c>
      <c r="AG3" s="6">
        <f>SUM(AG4:AG99765)</f>
        <v>0</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911</v>
      </c>
      <c r="C21" s="15">
        <f t="shared" ref="C21:C32" si="1">IFERROR(F21/D21," - ")</f>
        <v>25.99</v>
      </c>
      <c r="D21" s="29">
        <v>3</v>
      </c>
      <c r="E21" s="29">
        <v>0</v>
      </c>
      <c r="F21" s="32">
        <v>77.97</v>
      </c>
      <c r="G21" s="30">
        <v>-18.059999999999995</v>
      </c>
      <c r="H21" s="31">
        <f t="shared" ref="H21:H32" si="2">G21/F21*-1</f>
        <v>0.23162754905732968</v>
      </c>
      <c r="I21" s="31">
        <f t="shared" ref="I21:I32" si="3">J21/F21</f>
        <v>0.13264112103212775</v>
      </c>
      <c r="J21" s="32">
        <f t="shared" ref="J21:J32" si="4">F21*0.85+G21+AF21*D21+D21*AE21+AG21+AD21</f>
        <v>10.342028206875</v>
      </c>
      <c r="K21" s="32">
        <f t="shared" ref="K21:K32" si="5">J21/D21</f>
        <v>3.4473427356249999</v>
      </c>
      <c r="L21" s="29">
        <v>1</v>
      </c>
      <c r="M21" s="33">
        <f t="shared" ref="M21:M32" si="6">IFERROR(D21/L21,"-")</f>
        <v>3</v>
      </c>
      <c r="N21" s="29">
        <v>113</v>
      </c>
      <c r="O21" s="34">
        <f t="shared" ref="O21:P21" si="7">D21/7</f>
        <v>0.42857142857142855</v>
      </c>
      <c r="P21" s="34">
        <f t="shared" si="7"/>
        <v>0</v>
      </c>
      <c r="Q21" s="29">
        <f t="shared" ref="Q21:Q32" si="8">ROUNDDOWN(N21/(O21+P21),0)</f>
        <v>263</v>
      </c>
      <c r="R21" s="29"/>
      <c r="S21" s="35">
        <v>0</v>
      </c>
      <c r="T21" s="28">
        <v>200</v>
      </c>
      <c r="U21" s="36" t="s">
        <v>33</v>
      </c>
      <c r="V21" s="37" t="s">
        <v>33</v>
      </c>
      <c r="W21" s="28">
        <v>2</v>
      </c>
      <c r="X21" s="38">
        <f t="shared" ref="X21:X32" si="9">IFERROR(W21/D21,0)</f>
        <v>0.66666666666666663</v>
      </c>
      <c r="Y21" s="39">
        <f t="shared" ref="Y21:Y32" si="10">IFERROR(G21/(W21+Z21)*-1,0)</f>
        <v>6.0199999999999987</v>
      </c>
      <c r="Z21" s="28">
        <v>1</v>
      </c>
      <c r="AA21" s="28" t="s">
        <v>34</v>
      </c>
      <c r="AB21" s="40">
        <f t="shared" ref="AB21:AB32" si="11">IF(OR(AA21="UsLargeStandardSize",AA21="UsSmallStandardSize"),-0.69,-0.48)</f>
        <v>-0.69</v>
      </c>
      <c r="AC21" s="41">
        <v>7.6825010416666659E-2</v>
      </c>
      <c r="AD21" s="39">
        <f t="shared" ref="AD21:AD32" si="12">IFERROR(AB21*AC21*D21*2,0)</f>
        <v>-0.31805554312499995</v>
      </c>
      <c r="AE21" s="39">
        <v>-4.9000000000000004</v>
      </c>
      <c r="AF21" s="39">
        <v>-7.6181387500000017</v>
      </c>
      <c r="AG21" s="39">
        <v>0</v>
      </c>
    </row>
    <row r="22" spans="1:33" ht="15.75" customHeight="1" x14ac:dyDescent="0.2">
      <c r="A22" s="28" t="s">
        <v>60</v>
      </c>
      <c r="B22" s="28" t="s">
        <v>912</v>
      </c>
      <c r="C22" s="15">
        <f t="shared" si="1"/>
        <v>17.326666666666664</v>
      </c>
      <c r="D22" s="29">
        <v>3</v>
      </c>
      <c r="E22" s="29">
        <v>0</v>
      </c>
      <c r="F22" s="30">
        <v>51.98</v>
      </c>
      <c r="G22" s="30">
        <v>-15.8</v>
      </c>
      <c r="H22" s="31">
        <f t="shared" si="2"/>
        <v>0.30396306271642942</v>
      </c>
      <c r="I22" s="31">
        <f t="shared" si="3"/>
        <v>-0.1825600575822435</v>
      </c>
      <c r="J22" s="32">
        <f t="shared" si="4"/>
        <v>-9.4894717931250163</v>
      </c>
      <c r="K22" s="32">
        <f t="shared" si="5"/>
        <v>-3.1631572643750054</v>
      </c>
      <c r="L22" s="29">
        <v>14</v>
      </c>
      <c r="M22" s="33">
        <f t="shared" si="6"/>
        <v>0.21428571428571427</v>
      </c>
      <c r="N22" s="29">
        <v>108</v>
      </c>
      <c r="O22" s="34">
        <f t="shared" ref="O22:P22" si="13">D22/7</f>
        <v>0.42857142857142855</v>
      </c>
      <c r="P22" s="34">
        <f t="shared" si="13"/>
        <v>0</v>
      </c>
      <c r="Q22" s="29">
        <f t="shared" si="8"/>
        <v>252</v>
      </c>
      <c r="R22" s="29"/>
      <c r="S22" s="35">
        <v>0.18518518518518501</v>
      </c>
      <c r="T22" s="28">
        <v>200</v>
      </c>
      <c r="U22" s="36" t="s">
        <v>33</v>
      </c>
      <c r="V22" s="37" t="s">
        <v>33</v>
      </c>
      <c r="W22" s="28">
        <v>1</v>
      </c>
      <c r="X22" s="38">
        <f t="shared" si="9"/>
        <v>0.33333333333333331</v>
      </c>
      <c r="Y22" s="39">
        <f t="shared" si="10"/>
        <v>7.9</v>
      </c>
      <c r="Z22" s="28">
        <v>1</v>
      </c>
      <c r="AA22" s="28" t="s">
        <v>34</v>
      </c>
      <c r="AB22" s="40">
        <f t="shared" si="11"/>
        <v>-0.69</v>
      </c>
      <c r="AC22" s="41">
        <v>7.6825010416666659E-2</v>
      </c>
      <c r="AD22" s="39">
        <f t="shared" si="12"/>
        <v>-0.31805554312499995</v>
      </c>
      <c r="AE22" s="39">
        <v>-4.9000000000000004</v>
      </c>
      <c r="AF22" s="39">
        <v>-7.6181387500000017</v>
      </c>
      <c r="AG22" s="39">
        <v>0</v>
      </c>
    </row>
    <row r="23" spans="1:33" ht="15.75" customHeight="1" x14ac:dyDescent="0.2">
      <c r="A23" s="28" t="s">
        <v>62</v>
      </c>
      <c r="B23" s="28" t="s">
        <v>913</v>
      </c>
      <c r="C23" s="15">
        <f t="shared" si="1"/>
        <v>19.303333333333331</v>
      </c>
      <c r="D23" s="29">
        <v>9</v>
      </c>
      <c r="E23" s="29">
        <v>0</v>
      </c>
      <c r="F23" s="32">
        <v>173.73</v>
      </c>
      <c r="G23" s="30">
        <v>-23.1</v>
      </c>
      <c r="H23" s="31">
        <f t="shared" si="2"/>
        <v>0.13296494560524955</v>
      </c>
      <c r="I23" s="31">
        <f t="shared" si="3"/>
        <v>6.3046593107839569E-2</v>
      </c>
      <c r="J23" s="32">
        <f t="shared" si="4"/>
        <v>10.953084620624967</v>
      </c>
      <c r="K23" s="32">
        <f t="shared" si="5"/>
        <v>1.2170094022916631</v>
      </c>
      <c r="L23" s="29">
        <v>18</v>
      </c>
      <c r="M23" s="33">
        <f t="shared" si="6"/>
        <v>0.5</v>
      </c>
      <c r="N23" s="29">
        <v>103</v>
      </c>
      <c r="O23" s="34">
        <f t="shared" ref="O23:P23" si="14">D23/7</f>
        <v>1.2857142857142858</v>
      </c>
      <c r="P23" s="34">
        <f t="shared" si="14"/>
        <v>0</v>
      </c>
      <c r="Q23" s="29">
        <f t="shared" si="8"/>
        <v>80</v>
      </c>
      <c r="R23" s="29"/>
      <c r="S23" s="35">
        <v>0.45833333333333298</v>
      </c>
      <c r="T23" s="28">
        <v>200</v>
      </c>
      <c r="U23" s="36" t="s">
        <v>33</v>
      </c>
      <c r="V23" s="37" t="s">
        <v>33</v>
      </c>
      <c r="W23" s="28">
        <v>5</v>
      </c>
      <c r="X23" s="38">
        <f t="shared" si="9"/>
        <v>0.55555555555555558</v>
      </c>
      <c r="Y23" s="39">
        <f t="shared" si="10"/>
        <v>3.85</v>
      </c>
      <c r="Z23" s="28">
        <v>1</v>
      </c>
      <c r="AA23" s="28" t="s">
        <v>34</v>
      </c>
      <c r="AB23" s="40">
        <f t="shared" si="11"/>
        <v>-0.69</v>
      </c>
      <c r="AC23" s="41">
        <v>7.6825010416666659E-2</v>
      </c>
      <c r="AD23" s="39">
        <f t="shared" si="12"/>
        <v>-0.95416662937499985</v>
      </c>
      <c r="AE23" s="39">
        <v>-4.9000000000000004</v>
      </c>
      <c r="AF23" s="39">
        <v>-7.6181387500000017</v>
      </c>
      <c r="AG23" s="39">
        <v>0</v>
      </c>
    </row>
    <row r="24" spans="1:33" ht="15.75" customHeight="1" x14ac:dyDescent="0.2">
      <c r="A24" s="28" t="s">
        <v>64</v>
      </c>
      <c r="B24" s="28" t="s">
        <v>914</v>
      </c>
      <c r="C24" s="15">
        <f t="shared" si="1"/>
        <v>19.041333333333334</v>
      </c>
      <c r="D24" s="29">
        <v>15</v>
      </c>
      <c r="E24" s="29">
        <v>0</v>
      </c>
      <c r="F24" s="32">
        <v>285.62</v>
      </c>
      <c r="G24" s="32">
        <v>-16.829999999999998</v>
      </c>
      <c r="H24" s="31">
        <f t="shared" si="2"/>
        <v>5.8924445066872062E-2</v>
      </c>
      <c r="I24" s="31">
        <f t="shared" si="3"/>
        <v>0.12808851282954617</v>
      </c>
      <c r="J24" s="32">
        <f t="shared" si="4"/>
        <v>36.584641034374975</v>
      </c>
      <c r="K24" s="32">
        <f t="shared" si="5"/>
        <v>2.4389760689583317</v>
      </c>
      <c r="L24" s="29">
        <v>9</v>
      </c>
      <c r="M24" s="33">
        <f t="shared" si="6"/>
        <v>1.6666666666666667</v>
      </c>
      <c r="N24" s="29">
        <v>94</v>
      </c>
      <c r="O24" s="34">
        <f t="shared" ref="O24:P24" si="15">D24/7</f>
        <v>2.1428571428571428</v>
      </c>
      <c r="P24" s="34">
        <f t="shared" si="15"/>
        <v>0</v>
      </c>
      <c r="Q24" s="29">
        <f t="shared" si="8"/>
        <v>43</v>
      </c>
      <c r="R24" s="29"/>
      <c r="S24" s="35">
        <v>0.65384615384615297</v>
      </c>
      <c r="T24" s="28">
        <v>200</v>
      </c>
      <c r="U24" s="36" t="s">
        <v>33</v>
      </c>
      <c r="V24" s="37" t="s">
        <v>33</v>
      </c>
      <c r="W24" s="28">
        <v>10</v>
      </c>
      <c r="X24" s="38">
        <f t="shared" si="9"/>
        <v>0.66666666666666663</v>
      </c>
      <c r="Y24" s="39">
        <f t="shared" si="10"/>
        <v>1.202142857142857</v>
      </c>
      <c r="Z24" s="28">
        <v>4</v>
      </c>
      <c r="AA24" s="28" t="s">
        <v>34</v>
      </c>
      <c r="AB24" s="40">
        <f t="shared" si="11"/>
        <v>-0.69</v>
      </c>
      <c r="AC24" s="41">
        <v>7.6825010416666659E-2</v>
      </c>
      <c r="AD24" s="39">
        <f t="shared" si="12"/>
        <v>-1.5902777156249996</v>
      </c>
      <c r="AE24" s="39">
        <v>-4.9000000000000004</v>
      </c>
      <c r="AF24" s="39">
        <v>-7.6181387500000017</v>
      </c>
      <c r="AG24" s="39">
        <v>0</v>
      </c>
    </row>
    <row r="25" spans="1:33" ht="15.75" customHeight="1" x14ac:dyDescent="0.2">
      <c r="A25" s="28" t="s">
        <v>65</v>
      </c>
      <c r="B25" s="14" t="s">
        <v>441</v>
      </c>
      <c r="C25" s="15">
        <f t="shared" si="1"/>
        <v>19.153666666666666</v>
      </c>
      <c r="D25" s="29">
        <v>30</v>
      </c>
      <c r="E25" s="29">
        <v>0</v>
      </c>
      <c r="F25" s="32">
        <v>574.61</v>
      </c>
      <c r="G25" s="32">
        <v>-10.27</v>
      </c>
      <c r="H25" s="31">
        <f t="shared" si="2"/>
        <v>1.7872992116391987E-2</v>
      </c>
      <c r="I25" s="31">
        <f t="shared" si="3"/>
        <v>0.17293110904570058</v>
      </c>
      <c r="J25" s="32">
        <f t="shared" si="4"/>
        <v>99.367944568750019</v>
      </c>
      <c r="K25" s="32">
        <f t="shared" si="5"/>
        <v>3.3122648189583339</v>
      </c>
      <c r="L25" s="29">
        <v>17</v>
      </c>
      <c r="M25" s="33">
        <f t="shared" si="6"/>
        <v>1.7647058823529411</v>
      </c>
      <c r="N25" s="29">
        <v>64</v>
      </c>
      <c r="O25" s="34">
        <f t="shared" ref="O25:P25" si="16">D25/7</f>
        <v>4.2857142857142856</v>
      </c>
      <c r="P25" s="34">
        <f t="shared" si="16"/>
        <v>0</v>
      </c>
      <c r="Q25" s="29">
        <f t="shared" si="8"/>
        <v>14</v>
      </c>
      <c r="R25" s="29"/>
      <c r="S25" s="35">
        <v>0.94472361809045224</v>
      </c>
      <c r="T25" s="28">
        <v>200</v>
      </c>
      <c r="U25" s="36" t="s">
        <v>33</v>
      </c>
      <c r="V25" s="37" t="s">
        <v>33</v>
      </c>
      <c r="W25" s="14">
        <v>1</v>
      </c>
      <c r="X25" s="38">
        <f t="shared" si="9"/>
        <v>3.3333333333333333E-2</v>
      </c>
      <c r="Y25" s="39">
        <f t="shared" si="10"/>
        <v>10.27</v>
      </c>
      <c r="Z25" s="14">
        <v>0</v>
      </c>
      <c r="AA25" s="28" t="s">
        <v>34</v>
      </c>
      <c r="AB25" s="40">
        <f t="shared" si="11"/>
        <v>-0.69</v>
      </c>
      <c r="AC25" s="41">
        <v>7.6825010416666659E-2</v>
      </c>
      <c r="AD25" s="39">
        <f t="shared" si="12"/>
        <v>-3.1805554312499993</v>
      </c>
      <c r="AE25" s="39">
        <v>-4.9000000000000004</v>
      </c>
      <c r="AF25" s="39">
        <v>-7.62</v>
      </c>
      <c r="AG25" s="39">
        <v>0</v>
      </c>
    </row>
    <row r="26" spans="1:33" ht="15.75" customHeight="1" x14ac:dyDescent="0.2">
      <c r="A26" s="14" t="s">
        <v>67</v>
      </c>
      <c r="B26" s="14" t="s">
        <v>82</v>
      </c>
      <c r="C26" s="15">
        <f t="shared" si="1"/>
        <v>17.813333333333333</v>
      </c>
      <c r="D26" s="16">
        <v>9</v>
      </c>
      <c r="E26" s="16">
        <v>0</v>
      </c>
      <c r="F26" s="17">
        <v>160.32</v>
      </c>
      <c r="G26" s="17">
        <v>-5.41</v>
      </c>
      <c r="H26" s="31">
        <f t="shared" si="2"/>
        <v>3.3745009980039924E-2</v>
      </c>
      <c r="I26" s="31">
        <f t="shared" si="3"/>
        <v>0.10304107173543531</v>
      </c>
      <c r="J26" s="32">
        <f t="shared" si="4"/>
        <v>16.519544620624988</v>
      </c>
      <c r="K26" s="32">
        <f t="shared" si="5"/>
        <v>1.8355049578472209</v>
      </c>
      <c r="L26" s="16">
        <v>27</v>
      </c>
      <c r="M26" s="33">
        <f t="shared" si="6"/>
        <v>0.33333333333333331</v>
      </c>
      <c r="N26" s="16">
        <v>56</v>
      </c>
      <c r="O26" s="34">
        <f t="shared" ref="O26:P26" si="17">D26/7</f>
        <v>1.2857142857142858</v>
      </c>
      <c r="P26" s="34">
        <f t="shared" si="17"/>
        <v>0</v>
      </c>
      <c r="Q26" s="29">
        <f t="shared" si="8"/>
        <v>43</v>
      </c>
      <c r="R26" s="29"/>
      <c r="S26" s="21">
        <v>1.4588235294117651</v>
      </c>
      <c r="T26" s="28">
        <v>200</v>
      </c>
      <c r="U26" s="36" t="s">
        <v>33</v>
      </c>
      <c r="V26" s="37" t="s">
        <v>33</v>
      </c>
      <c r="W26" s="14">
        <v>1</v>
      </c>
      <c r="X26" s="38">
        <f t="shared" si="9"/>
        <v>0.1111111111111111</v>
      </c>
      <c r="Y26" s="39">
        <f t="shared" si="10"/>
        <v>2.7050000000000001</v>
      </c>
      <c r="Z26" s="14">
        <v>1</v>
      </c>
      <c r="AA26" s="28" t="s">
        <v>34</v>
      </c>
      <c r="AB26" s="40">
        <f t="shared" si="11"/>
        <v>-0.69</v>
      </c>
      <c r="AC26" s="41">
        <v>7.6825010416666659E-2</v>
      </c>
      <c r="AD26" s="39">
        <f t="shared" si="12"/>
        <v>-0.95416662937499985</v>
      </c>
      <c r="AE26" s="25">
        <v>-4.95</v>
      </c>
      <c r="AF26" s="25">
        <v>-7.6486987500000003</v>
      </c>
      <c r="AG26" s="25">
        <v>0</v>
      </c>
    </row>
    <row r="27" spans="1:33" ht="15.75" customHeight="1" x14ac:dyDescent="0.2">
      <c r="A27" s="14" t="s">
        <v>69</v>
      </c>
      <c r="B27" s="14" t="s">
        <v>82</v>
      </c>
      <c r="C27" s="15">
        <f t="shared" si="1"/>
        <v>20.02</v>
      </c>
      <c r="D27" s="16">
        <v>8</v>
      </c>
      <c r="E27" s="16">
        <v>0</v>
      </c>
      <c r="F27" s="17">
        <v>160.16</v>
      </c>
      <c r="G27" s="17">
        <v>0</v>
      </c>
      <c r="H27" s="31">
        <f t="shared" si="2"/>
        <v>0</v>
      </c>
      <c r="I27" s="31">
        <f t="shared" si="3"/>
        <v>0.21539873804320669</v>
      </c>
      <c r="J27" s="32">
        <f t="shared" si="4"/>
        <v>34.498261884999984</v>
      </c>
      <c r="K27" s="32">
        <f t="shared" si="5"/>
        <v>4.312282735624998</v>
      </c>
      <c r="L27" s="16">
        <v>11</v>
      </c>
      <c r="M27" s="33">
        <f t="shared" si="6"/>
        <v>0.72727272727272729</v>
      </c>
      <c r="N27" s="16">
        <v>46</v>
      </c>
      <c r="O27" s="34">
        <f t="shared" ref="O27:P27" si="18">D27/7</f>
        <v>1.1428571428571428</v>
      </c>
      <c r="P27" s="34">
        <f t="shared" si="18"/>
        <v>0</v>
      </c>
      <c r="Q27" s="29">
        <f t="shared" si="8"/>
        <v>40</v>
      </c>
      <c r="R27" s="29"/>
      <c r="S27" s="21">
        <v>1.9862068965517241</v>
      </c>
      <c r="T27" s="28">
        <v>200</v>
      </c>
      <c r="U27" s="36" t="s">
        <v>33</v>
      </c>
      <c r="V27" s="37" t="s">
        <v>33</v>
      </c>
      <c r="W27" s="14">
        <v>0</v>
      </c>
      <c r="X27" s="38">
        <f t="shared" si="9"/>
        <v>0</v>
      </c>
      <c r="Y27" s="39">
        <f t="shared" si="10"/>
        <v>0</v>
      </c>
      <c r="Z27" s="14">
        <v>0</v>
      </c>
      <c r="AA27" s="28" t="s">
        <v>34</v>
      </c>
      <c r="AB27" s="40">
        <f t="shared" si="11"/>
        <v>-0.69</v>
      </c>
      <c r="AC27" s="41">
        <v>7.6825010416666659E-2</v>
      </c>
      <c r="AD27" s="39">
        <f t="shared" si="12"/>
        <v>-0.84814811499999987</v>
      </c>
      <c r="AE27" s="25">
        <v>-4.95</v>
      </c>
      <c r="AF27" s="25">
        <v>-7.6486987500000003</v>
      </c>
      <c r="AG27" s="25">
        <v>0</v>
      </c>
    </row>
    <row r="28" spans="1:33" ht="15.75" customHeight="1" x14ac:dyDescent="0.2">
      <c r="A28" s="14" t="s">
        <v>71</v>
      </c>
      <c r="B28" s="14" t="s">
        <v>78</v>
      </c>
      <c r="C28" s="15">
        <f t="shared" si="1"/>
        <v>18.298181818181817</v>
      </c>
      <c r="D28" s="16">
        <v>11</v>
      </c>
      <c r="E28" s="16">
        <v>0</v>
      </c>
      <c r="F28" s="17">
        <v>201.28</v>
      </c>
      <c r="G28" s="17">
        <v>0</v>
      </c>
      <c r="H28" s="31">
        <f t="shared" si="2"/>
        <v>0</v>
      </c>
      <c r="I28" s="31">
        <f t="shared" si="3"/>
        <v>0.15568417176011023</v>
      </c>
      <c r="J28" s="32">
        <f t="shared" si="4"/>
        <v>31.336110091874986</v>
      </c>
      <c r="K28" s="32">
        <f t="shared" si="5"/>
        <v>2.8487372810795439</v>
      </c>
      <c r="L28" s="16">
        <v>16</v>
      </c>
      <c r="M28" s="33">
        <f t="shared" si="6"/>
        <v>0.6875</v>
      </c>
      <c r="N28" s="16">
        <v>35</v>
      </c>
      <c r="O28" s="34">
        <f t="shared" ref="O28:P28" si="19">D28/7</f>
        <v>1.5714285714285714</v>
      </c>
      <c r="P28" s="34">
        <f t="shared" si="19"/>
        <v>0</v>
      </c>
      <c r="Q28" s="29">
        <f t="shared" si="8"/>
        <v>22</v>
      </c>
      <c r="R28" s="29"/>
      <c r="S28" s="21">
        <v>1.9867549668874169</v>
      </c>
      <c r="T28" s="28">
        <v>200</v>
      </c>
      <c r="U28" s="36" t="s">
        <v>33</v>
      </c>
      <c r="V28" s="37" t="s">
        <v>33</v>
      </c>
      <c r="W28" s="14">
        <v>0</v>
      </c>
      <c r="X28" s="38">
        <f t="shared" si="9"/>
        <v>0</v>
      </c>
      <c r="Y28" s="39">
        <f t="shared" si="10"/>
        <v>0</v>
      </c>
      <c r="Z28" s="14">
        <v>0</v>
      </c>
      <c r="AA28" s="28" t="s">
        <v>34</v>
      </c>
      <c r="AB28" s="40">
        <f t="shared" si="11"/>
        <v>-0.69</v>
      </c>
      <c r="AC28" s="41">
        <v>7.6825010416666659E-2</v>
      </c>
      <c r="AD28" s="39">
        <f t="shared" si="12"/>
        <v>-1.1662036581249997</v>
      </c>
      <c r="AE28" s="25">
        <v>-4.95</v>
      </c>
      <c r="AF28" s="25">
        <v>-7.6486987500000003</v>
      </c>
      <c r="AG28" s="25">
        <v>0</v>
      </c>
    </row>
    <row r="29" spans="1:33" ht="15.75" customHeight="1" x14ac:dyDescent="0.2">
      <c r="A29" s="28" t="s">
        <v>72</v>
      </c>
      <c r="B29" s="28" t="s">
        <v>915</v>
      </c>
      <c r="C29" s="15">
        <f t="shared" si="1"/>
        <v>18.88909090909091</v>
      </c>
      <c r="D29" s="29">
        <v>11</v>
      </c>
      <c r="E29" s="29">
        <v>0</v>
      </c>
      <c r="F29" s="32">
        <v>207.78</v>
      </c>
      <c r="G29" s="32">
        <v>0</v>
      </c>
      <c r="H29" s="31">
        <f t="shared" si="2"/>
        <v>0</v>
      </c>
      <c r="I29" s="31">
        <f t="shared" si="3"/>
        <v>0.17740451483239481</v>
      </c>
      <c r="J29" s="32">
        <f t="shared" si="4"/>
        <v>36.861110091874991</v>
      </c>
      <c r="K29" s="32">
        <f t="shared" si="5"/>
        <v>3.3510100083522718</v>
      </c>
      <c r="L29" s="29">
        <v>19</v>
      </c>
      <c r="M29" s="33">
        <f t="shared" si="6"/>
        <v>0.57894736842105265</v>
      </c>
      <c r="N29" s="16">
        <v>24</v>
      </c>
      <c r="O29" s="34">
        <f t="shared" ref="O29:P29" si="20">D29/7</f>
        <v>1.5714285714285714</v>
      </c>
      <c r="P29" s="34">
        <f t="shared" si="20"/>
        <v>0</v>
      </c>
      <c r="Q29" s="29">
        <f t="shared" si="8"/>
        <v>15</v>
      </c>
      <c r="R29" s="29"/>
      <c r="S29" s="21">
        <v>1.551724137931034</v>
      </c>
      <c r="T29" s="28">
        <v>200</v>
      </c>
      <c r="U29" s="36" t="s">
        <v>33</v>
      </c>
      <c r="V29" s="37" t="s">
        <v>33</v>
      </c>
      <c r="W29" s="14">
        <v>0</v>
      </c>
      <c r="X29" s="38">
        <f t="shared" si="9"/>
        <v>0</v>
      </c>
      <c r="Y29" s="39">
        <f t="shared" si="10"/>
        <v>0</v>
      </c>
      <c r="Z29" s="14">
        <v>0</v>
      </c>
      <c r="AA29" s="28" t="s">
        <v>34</v>
      </c>
      <c r="AB29" s="40">
        <f t="shared" si="11"/>
        <v>-0.69</v>
      </c>
      <c r="AC29" s="41">
        <v>7.6825010416666659E-2</v>
      </c>
      <c r="AD29" s="39">
        <f t="shared" si="12"/>
        <v>-1.1662036581249997</v>
      </c>
      <c r="AE29" s="39">
        <v>-4.95</v>
      </c>
      <c r="AF29" s="25">
        <v>-7.6486987500000003</v>
      </c>
      <c r="AG29" s="39">
        <v>0</v>
      </c>
    </row>
    <row r="30" spans="1:33" ht="15.75" customHeight="1" x14ac:dyDescent="0.2">
      <c r="A30" s="14" t="s">
        <v>74</v>
      </c>
      <c r="B30" s="14" t="s">
        <v>916</v>
      </c>
      <c r="C30" s="15">
        <f t="shared" si="1"/>
        <v>24.24</v>
      </c>
      <c r="D30" s="16">
        <v>8</v>
      </c>
      <c r="E30" s="16">
        <v>0</v>
      </c>
      <c r="F30" s="17">
        <v>193.92</v>
      </c>
      <c r="G30" s="17">
        <v>0</v>
      </c>
      <c r="H30" s="31">
        <f t="shared" si="2"/>
        <v>0</v>
      </c>
      <c r="I30" s="31">
        <f t="shared" si="3"/>
        <v>0.33659813270059824</v>
      </c>
      <c r="J30" s="32">
        <f t="shared" si="4"/>
        <v>65.273109893300003</v>
      </c>
      <c r="K30" s="32">
        <f t="shared" si="5"/>
        <v>8.1591387366625003</v>
      </c>
      <c r="L30" s="16">
        <v>18</v>
      </c>
      <c r="M30" s="33">
        <f t="shared" si="6"/>
        <v>0.44444444444444442</v>
      </c>
      <c r="N30" s="16">
        <v>18</v>
      </c>
      <c r="O30" s="34">
        <f t="shared" ref="O30:P30" si="21">D30/7</f>
        <v>1.1428571428571428</v>
      </c>
      <c r="P30" s="34">
        <f t="shared" si="21"/>
        <v>0</v>
      </c>
      <c r="Q30" s="29">
        <f t="shared" si="8"/>
        <v>15</v>
      </c>
      <c r="R30" s="29"/>
      <c r="S30" s="21">
        <v>1.775700934579439</v>
      </c>
      <c r="T30" s="28">
        <v>200</v>
      </c>
      <c r="U30" s="36" t="s">
        <v>33</v>
      </c>
      <c r="V30" s="37" t="s">
        <v>33</v>
      </c>
      <c r="W30" s="14">
        <v>0</v>
      </c>
      <c r="X30" s="38">
        <f t="shared" si="9"/>
        <v>0</v>
      </c>
      <c r="Y30" s="39">
        <f t="shared" si="10"/>
        <v>0</v>
      </c>
      <c r="Z30" s="14">
        <v>0</v>
      </c>
      <c r="AA30" s="28" t="s">
        <v>34</v>
      </c>
      <c r="AB30" s="40">
        <f t="shared" si="11"/>
        <v>-0.69</v>
      </c>
      <c r="AC30" s="41">
        <v>7.6825010416666659E-2</v>
      </c>
      <c r="AD30" s="39">
        <f t="shared" si="12"/>
        <v>-0.84814811499999987</v>
      </c>
      <c r="AE30" s="25">
        <v>-4.95</v>
      </c>
      <c r="AF30" s="25">
        <v>-7.3888427489625004</v>
      </c>
      <c r="AG30" s="25">
        <v>0</v>
      </c>
    </row>
    <row r="31" spans="1:33" ht="15.75" customHeight="1" x14ac:dyDescent="0.2">
      <c r="A31" s="14" t="s">
        <v>75</v>
      </c>
      <c r="B31" s="48" t="s">
        <v>82</v>
      </c>
      <c r="C31" s="15">
        <f t="shared" si="1"/>
        <v>24.734999999999999</v>
      </c>
      <c r="D31" s="16">
        <v>4</v>
      </c>
      <c r="E31" s="16">
        <v>0</v>
      </c>
      <c r="F31" s="17">
        <v>98.94</v>
      </c>
      <c r="G31" s="42">
        <v>0</v>
      </c>
      <c r="H31" s="31">
        <f t="shared" si="2"/>
        <v>0</v>
      </c>
      <c r="I31" s="31">
        <f t="shared" si="3"/>
        <v>0.34687239687335741</v>
      </c>
      <c r="J31" s="32">
        <f t="shared" si="4"/>
        <v>34.31955494664998</v>
      </c>
      <c r="K31" s="32">
        <f t="shared" si="5"/>
        <v>8.579888736662495</v>
      </c>
      <c r="L31" s="16">
        <v>11</v>
      </c>
      <c r="M31" s="33">
        <f t="shared" si="6"/>
        <v>0.36363636363636365</v>
      </c>
      <c r="N31" s="16">
        <v>12</v>
      </c>
      <c r="O31" s="34">
        <f t="shared" ref="O31:P32" si="22">D31/7</f>
        <v>0.5714285714285714</v>
      </c>
      <c r="P31" s="34">
        <f t="shared" si="22"/>
        <v>0</v>
      </c>
      <c r="Q31" s="29">
        <f t="shared" si="8"/>
        <v>21</v>
      </c>
      <c r="R31" s="29"/>
      <c r="S31" s="21">
        <v>2.31460674157303</v>
      </c>
      <c r="T31" s="14" t="s">
        <v>33</v>
      </c>
      <c r="U31" s="22" t="s">
        <v>33</v>
      </c>
      <c r="V31" s="1" t="s">
        <v>936</v>
      </c>
      <c r="W31" s="14">
        <v>0</v>
      </c>
      <c r="X31" s="38">
        <f t="shared" si="9"/>
        <v>0</v>
      </c>
      <c r="Y31" s="39">
        <f t="shared" si="10"/>
        <v>0</v>
      </c>
      <c r="Z31" s="14">
        <v>0</v>
      </c>
      <c r="AA31" s="14" t="s">
        <v>34</v>
      </c>
      <c r="AB31" s="40">
        <f t="shared" si="11"/>
        <v>-0.69</v>
      </c>
      <c r="AC31" s="27">
        <v>7.6825010416666659E-2</v>
      </c>
      <c r="AD31" s="39">
        <f t="shared" si="12"/>
        <v>-0.42407405749999993</v>
      </c>
      <c r="AE31" s="43">
        <v>-4.95</v>
      </c>
      <c r="AF31" s="43">
        <v>-7.3888427489625021</v>
      </c>
      <c r="AG31" s="25">
        <v>0</v>
      </c>
    </row>
    <row r="32" spans="1:33" s="51" customFormat="1" ht="15.75" customHeight="1" x14ac:dyDescent="0.2">
      <c r="A32" s="51" t="s">
        <v>934</v>
      </c>
      <c r="C32" s="15">
        <f t="shared" si="1"/>
        <v>25.55</v>
      </c>
      <c r="D32" s="52">
        <v>2</v>
      </c>
      <c r="E32" s="52">
        <v>1</v>
      </c>
      <c r="F32" s="53">
        <v>51.1</v>
      </c>
      <c r="G32" s="53">
        <v>0</v>
      </c>
      <c r="H32" s="31">
        <f t="shared" si="2"/>
        <v>0</v>
      </c>
      <c r="I32" s="31">
        <f t="shared" si="3"/>
        <v>0.36292128127837581</v>
      </c>
      <c r="J32" s="32">
        <f t="shared" si="4"/>
        <v>18.545277473325005</v>
      </c>
      <c r="K32" s="32">
        <f t="shared" si="5"/>
        <v>9.2726387366625023</v>
      </c>
      <c r="L32" s="52">
        <v>11</v>
      </c>
      <c r="M32" s="33">
        <f t="shared" si="6"/>
        <v>0.18181818181818182</v>
      </c>
      <c r="N32" s="52">
        <v>9</v>
      </c>
      <c r="O32" s="34">
        <f t="shared" si="22"/>
        <v>0.2857142857142857</v>
      </c>
      <c r="P32" s="34">
        <f t="shared" si="22"/>
        <v>0.14285714285714285</v>
      </c>
      <c r="Q32" s="29">
        <f t="shared" si="8"/>
        <v>21</v>
      </c>
      <c r="R32" s="29" t="str">
        <f ca="1">IFERROR(VLOOKUP($B$2,IMPORTRANGE("https://docs.google.com/spreadsheets/d/1KiWZV1ko8G7lnRucBRBd29jj3Be6ltMfljMDqzOkQmI/edit#gid=1381463014","Lookup!A:F"),6,FALSE),"")</f>
        <v/>
      </c>
      <c r="S32" s="54">
        <v>2.7088607594936711</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7.6825010416666659E-2</v>
      </c>
      <c r="AD32" s="39">
        <f t="shared" si="12"/>
        <v>-0.21203702874999997</v>
      </c>
      <c r="AE32" s="58">
        <v>-4.95</v>
      </c>
      <c r="AF32" s="58">
        <v>-7.3888427489625004</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Info!B1:BJ5000""),3,FALSE),"""")"),"3 Ft Power Cords for TV Computer or Monitor, 2 Pack - 18/3 Right Angle Replacement Power Cables, Black")</f>
        <v>3 Ft Power Cords for TV Computer or Monitor, 2 Pack - 18/3 Right Angle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Info!B1:BJ5000""),2,FALSE),"""")"),"B08NLH1GLG")</f>
        <v>B08NLH1GLG</v>
      </c>
      <c r="B2" s="3" t="s">
        <v>917</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6.2212172332573532</v>
      </c>
      <c r="D3" s="5">
        <f>SUM(D4:D99765)</f>
        <v>130</v>
      </c>
      <c r="E3" s="5"/>
      <c r="F3" s="6">
        <f t="shared" ref="F3:G3" si="0">SUM(F4:F99765)</f>
        <v>961.22</v>
      </c>
      <c r="G3" s="6">
        <f t="shared" si="0"/>
        <v>-275.27</v>
      </c>
      <c r="H3" s="7">
        <f>G3/F3*-1</f>
        <v>0.28637564761448991</v>
      </c>
      <c r="I3" s="8">
        <f>J3/F3</f>
        <v>-0.18296754060123466</v>
      </c>
      <c r="J3" s="6">
        <f>SUM(J4:J99765)</f>
        <v>-175.87205937671879</v>
      </c>
      <c r="K3" s="6">
        <f>J3/D3</f>
        <v>-1.3528619952055292</v>
      </c>
      <c r="L3" s="5"/>
      <c r="M3" s="9"/>
      <c r="N3" s="10"/>
      <c r="O3" s="5" t="str">
        <f ca="1">IFERROR(__xludf.DUMMYFUNCTION("VLOOKUP(B2,IMPORTRANGE(""https://docs.google.com/spreadsheets/d/1N8jvpEHDVkurDv7NrPxwI3eH6hQsvtb1QltGNCalRjU/edit#gid=865736387"",""Compiled Sheet!a1:g5000""),2,FALSE)"),"0.5 - March
0.5 - April
0.5 - May
0.5 - June
0.5 - July
0.5 - Aug
0.5 - Sept
0.5 - Oct
0.5 - Nov
0.5 - Dec
0.5 - Jan
0.5 - Feb")</f>
        <v>0.5 - March
0.5 - April
0.5 - May
0.5 - June
0.5 - July
0.5 - Aug
0.5 - Sept
0.5 - Oct
0.5 - Nov
0.5 - Dec
0.5 - Jan
0.5 -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37</v>
      </c>
      <c r="X3" s="7">
        <f>W3/D3</f>
        <v>0.2846153846153846</v>
      </c>
      <c r="Y3" s="6"/>
      <c r="Z3" s="5"/>
      <c r="AA3" s="5"/>
      <c r="AB3" s="5"/>
      <c r="AC3" s="5"/>
      <c r="AD3" s="6">
        <f>SUM(AD4:AD99765)</f>
        <v>-8.20480242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Info!B2:BZ7000""),37,FALSE)),"""")*-1"),-1.64803464826875)</f>
        <v>-1.64803464826875</v>
      </c>
      <c r="AG3" s="6">
        <f>SUM(AG4:AG99765)</f>
        <v>-13</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918</v>
      </c>
      <c r="C21" s="15">
        <f t="shared" ref="C21:C32" si="1">IFERROR(F21/D21," - ")</f>
        <v>9.99</v>
      </c>
      <c r="D21" s="29">
        <v>6</v>
      </c>
      <c r="E21" s="29">
        <v>0</v>
      </c>
      <c r="F21" s="32">
        <v>59.940000000000005</v>
      </c>
      <c r="G21" s="30">
        <v>-38.11</v>
      </c>
      <c r="H21" s="31">
        <f t="shared" ref="H21:H32" si="2">G21/F21*-1</f>
        <v>0.63580246913580241</v>
      </c>
      <c r="I21" s="31">
        <f t="shared" ref="I21:I32" si="3">J21/F21</f>
        <v>-0.49562440496051591</v>
      </c>
      <c r="J21" s="32">
        <f t="shared" ref="J21:J32" si="4">F21*0.85+G21+AF21*D21+D21*AE21+AG21+AD21</f>
        <v>-29.707726833333325</v>
      </c>
      <c r="K21" s="32">
        <f t="shared" ref="K21:K32" si="5">J21/D21</f>
        <v>-4.9512878055555545</v>
      </c>
      <c r="L21" s="29">
        <v>2</v>
      </c>
      <c r="M21" s="33">
        <f t="shared" ref="M21:M32" si="6">IFERROR(D21/L21,"-")</f>
        <v>3</v>
      </c>
      <c r="N21" s="29">
        <v>222</v>
      </c>
      <c r="O21" s="34">
        <f t="shared" ref="O21:P21" si="7">D21/7</f>
        <v>0.8571428571428571</v>
      </c>
      <c r="P21" s="34">
        <f t="shared" si="7"/>
        <v>0</v>
      </c>
      <c r="Q21" s="29">
        <f t="shared" ref="Q21:Q32" si="8">ROUNDDOWN(N21/(O21+P21),0)</f>
        <v>259</v>
      </c>
      <c r="R21" s="29"/>
      <c r="S21" s="35">
        <v>1.7699115044247701E-2</v>
      </c>
      <c r="T21" s="28">
        <v>400</v>
      </c>
      <c r="U21" s="36" t="s">
        <v>33</v>
      </c>
      <c r="V21" s="37" t="s">
        <v>33</v>
      </c>
      <c r="W21" s="28">
        <v>4</v>
      </c>
      <c r="X21" s="38">
        <f t="shared" ref="X21:X32" si="9">IFERROR(W21/D21,0)</f>
        <v>0.66666666666666663</v>
      </c>
      <c r="Y21" s="39">
        <f t="shared" ref="Y21:Y32" si="10">IFERROR(G21/(W21+Z21)*-1,0)</f>
        <v>9.5274999999999999</v>
      </c>
      <c r="Z21" s="28">
        <v>0</v>
      </c>
      <c r="AA21" s="28" t="s">
        <v>34</v>
      </c>
      <c r="AB21" s="40">
        <f t="shared" ref="AB21:AB32" si="11">IF(OR(AA21="UsLargeStandardSize",AA21="UsSmallStandardSize"),-0.69,-0.48)</f>
        <v>-0.69</v>
      </c>
      <c r="AC21" s="41">
        <v>4.6296296296296294E-3</v>
      </c>
      <c r="AD21" s="39">
        <f t="shared" ref="AD21:AD32" si="12">IFERROR(AB21*AC21*D21*2,0)</f>
        <v>-3.833333333333333E-2</v>
      </c>
      <c r="AE21" s="39">
        <v>-5.42</v>
      </c>
      <c r="AF21" s="39">
        <v>-1.6647322500000004</v>
      </c>
      <c r="AG21" s="39">
        <v>0</v>
      </c>
    </row>
    <row r="22" spans="1:33" ht="15.75" customHeight="1" x14ac:dyDescent="0.2">
      <c r="A22" s="28" t="s">
        <v>60</v>
      </c>
      <c r="B22" s="28" t="s">
        <v>919</v>
      </c>
      <c r="C22" s="15">
        <f t="shared" si="1"/>
        <v>9.99</v>
      </c>
      <c r="D22" s="29">
        <v>3</v>
      </c>
      <c r="E22" s="29">
        <v>0</v>
      </c>
      <c r="F22" s="30">
        <v>29.97</v>
      </c>
      <c r="G22" s="30">
        <v>-13.639999999999999</v>
      </c>
      <c r="H22" s="31">
        <f t="shared" si="2"/>
        <v>0.45512178845512175</v>
      </c>
      <c r="I22" s="31">
        <f t="shared" si="3"/>
        <v>-0.12670245628962298</v>
      </c>
      <c r="J22" s="32">
        <f t="shared" si="4"/>
        <v>-3.7972726150000007</v>
      </c>
      <c r="K22" s="32">
        <f t="shared" si="5"/>
        <v>-1.2657575383333335</v>
      </c>
      <c r="L22" s="29">
        <v>8</v>
      </c>
      <c r="M22" s="33">
        <f t="shared" si="6"/>
        <v>0.375</v>
      </c>
      <c r="N22" s="29">
        <v>166</v>
      </c>
      <c r="O22" s="34">
        <f t="shared" ref="O22:P22" si="13">D22/7</f>
        <v>0.42857142857142855</v>
      </c>
      <c r="P22" s="34">
        <f t="shared" si="13"/>
        <v>0</v>
      </c>
      <c r="Q22" s="29">
        <f t="shared" si="8"/>
        <v>387</v>
      </c>
      <c r="R22" s="29"/>
      <c r="S22" s="35">
        <v>0.19277108433734899</v>
      </c>
      <c r="T22" s="28">
        <v>400</v>
      </c>
      <c r="U22" s="36" t="s">
        <v>33</v>
      </c>
      <c r="V22" s="37" t="s">
        <v>33</v>
      </c>
      <c r="W22" s="28">
        <v>3</v>
      </c>
      <c r="X22" s="38">
        <f t="shared" si="9"/>
        <v>1</v>
      </c>
      <c r="Y22" s="39">
        <f t="shared" si="10"/>
        <v>3.4099999999999997</v>
      </c>
      <c r="Z22" s="28">
        <v>1</v>
      </c>
      <c r="AA22" s="28" t="s">
        <v>34</v>
      </c>
      <c r="AB22" s="40">
        <f t="shared" si="11"/>
        <v>-0.69</v>
      </c>
      <c r="AC22" s="41">
        <v>4.7723638888888899E-2</v>
      </c>
      <c r="AD22" s="39">
        <f t="shared" si="12"/>
        <v>-0.19757586500000002</v>
      </c>
      <c r="AE22" s="39">
        <v>-3.48</v>
      </c>
      <c r="AF22" s="39">
        <v>-1.6647322500000004</v>
      </c>
      <c r="AG22" s="39">
        <v>0</v>
      </c>
    </row>
    <row r="23" spans="1:33" ht="15.75" customHeight="1" x14ac:dyDescent="0.2">
      <c r="A23" s="28" t="s">
        <v>62</v>
      </c>
      <c r="B23" s="28" t="s">
        <v>920</v>
      </c>
      <c r="C23" s="15">
        <f t="shared" si="1"/>
        <v>9.83</v>
      </c>
      <c r="D23" s="29">
        <v>2</v>
      </c>
      <c r="E23" s="29">
        <v>0</v>
      </c>
      <c r="F23" s="32">
        <v>19.66</v>
      </c>
      <c r="G23" s="30">
        <v>-5.18</v>
      </c>
      <c r="H23" s="31">
        <f t="shared" si="2"/>
        <v>0.26347914547304169</v>
      </c>
      <c r="I23" s="31">
        <f t="shared" si="3"/>
        <v>5.6450572566971779E-2</v>
      </c>
      <c r="J23" s="32">
        <f t="shared" si="4"/>
        <v>1.1098182566666652</v>
      </c>
      <c r="K23" s="32">
        <f t="shared" si="5"/>
        <v>0.55490912833333261</v>
      </c>
      <c r="L23" s="29">
        <v>11</v>
      </c>
      <c r="M23" s="33">
        <f t="shared" si="6"/>
        <v>0.18181818181818182</v>
      </c>
      <c r="N23" s="29">
        <v>161</v>
      </c>
      <c r="O23" s="34">
        <f t="shared" ref="O23:P23" si="14">D23/7</f>
        <v>0.2857142857142857</v>
      </c>
      <c r="P23" s="34">
        <f t="shared" si="14"/>
        <v>0</v>
      </c>
      <c r="Q23" s="29">
        <f t="shared" si="8"/>
        <v>563</v>
      </c>
      <c r="R23" s="29"/>
      <c r="S23" s="35">
        <v>0.22222222222222199</v>
      </c>
      <c r="T23" s="28">
        <v>400</v>
      </c>
      <c r="U23" s="36" t="s">
        <v>33</v>
      </c>
      <c r="V23" s="37" t="s">
        <v>33</v>
      </c>
      <c r="W23" s="28">
        <v>0</v>
      </c>
      <c r="X23" s="38">
        <f t="shared" si="9"/>
        <v>0</v>
      </c>
      <c r="Y23" s="39">
        <f t="shared" si="10"/>
        <v>5.18</v>
      </c>
      <c r="Z23" s="28">
        <v>1</v>
      </c>
      <c r="AA23" s="28" t="s">
        <v>34</v>
      </c>
      <c r="AB23" s="40">
        <f t="shared" si="11"/>
        <v>-0.69</v>
      </c>
      <c r="AC23" s="41">
        <v>4.7723638888888899E-2</v>
      </c>
      <c r="AD23" s="39">
        <f t="shared" si="12"/>
        <v>-0.13171724333333334</v>
      </c>
      <c r="AE23" s="39">
        <v>-3.48</v>
      </c>
      <c r="AF23" s="39">
        <v>-1.6647322500000004</v>
      </c>
      <c r="AG23" s="39">
        <v>0</v>
      </c>
    </row>
    <row r="24" spans="1:33" ht="15.75" customHeight="1" x14ac:dyDescent="0.2">
      <c r="A24" s="28" t="s">
        <v>64</v>
      </c>
      <c r="B24" s="28" t="s">
        <v>881</v>
      </c>
      <c r="C24" s="15">
        <f t="shared" si="1"/>
        <v>8.4709090909090889</v>
      </c>
      <c r="D24" s="29">
        <v>11</v>
      </c>
      <c r="E24" s="29">
        <v>0</v>
      </c>
      <c r="F24" s="32">
        <v>93.179999999999978</v>
      </c>
      <c r="G24" s="32">
        <v>-8.0400000000000009</v>
      </c>
      <c r="H24" s="31">
        <f t="shared" si="2"/>
        <v>8.6284610431423076E-2</v>
      </c>
      <c r="I24" s="31">
        <f t="shared" si="3"/>
        <v>0.11640373912499072</v>
      </c>
      <c r="J24" s="32">
        <f t="shared" si="4"/>
        <v>10.846500411666632</v>
      </c>
      <c r="K24" s="32">
        <f t="shared" si="5"/>
        <v>0.98604549196969382</v>
      </c>
      <c r="L24" s="29">
        <v>7</v>
      </c>
      <c r="M24" s="33">
        <f t="shared" si="6"/>
        <v>1.5714285714285714</v>
      </c>
      <c r="N24" s="29">
        <v>151</v>
      </c>
      <c r="O24" s="34">
        <f t="shared" ref="O24:P24" si="15">D24/7</f>
        <v>1.5714285714285714</v>
      </c>
      <c r="P24" s="34">
        <f t="shared" si="15"/>
        <v>0</v>
      </c>
      <c r="Q24" s="29">
        <f t="shared" si="8"/>
        <v>96</v>
      </c>
      <c r="R24" s="29"/>
      <c r="S24" s="35">
        <v>0.47058823529411697</v>
      </c>
      <c r="T24" s="28">
        <v>400</v>
      </c>
      <c r="U24" s="36" t="s">
        <v>33</v>
      </c>
      <c r="V24" s="37" t="s">
        <v>33</v>
      </c>
      <c r="W24" s="28">
        <v>1</v>
      </c>
      <c r="X24" s="38">
        <f t="shared" si="9"/>
        <v>9.0909090909090912E-2</v>
      </c>
      <c r="Y24" s="39">
        <f t="shared" si="10"/>
        <v>8.0400000000000009</v>
      </c>
      <c r="Z24" s="28">
        <v>0</v>
      </c>
      <c r="AA24" s="28" t="s">
        <v>34</v>
      </c>
      <c r="AB24" s="40">
        <f t="shared" si="11"/>
        <v>-0.69</v>
      </c>
      <c r="AC24" s="41">
        <v>4.7723638888888899E-2</v>
      </c>
      <c r="AD24" s="39">
        <f t="shared" si="12"/>
        <v>-0.7244448383333334</v>
      </c>
      <c r="AE24" s="39">
        <v>-3.48</v>
      </c>
      <c r="AF24" s="39">
        <v>-1.6647322500000004</v>
      </c>
      <c r="AG24" s="39">
        <v>-3</v>
      </c>
    </row>
    <row r="25" spans="1:33" ht="15.75" customHeight="1" x14ac:dyDescent="0.2">
      <c r="A25" s="28" t="s">
        <v>65</v>
      </c>
      <c r="B25" s="14" t="s">
        <v>921</v>
      </c>
      <c r="C25" s="15">
        <f t="shared" si="1"/>
        <v>7.1812500000000004</v>
      </c>
      <c r="D25" s="29">
        <v>8</v>
      </c>
      <c r="E25" s="29">
        <v>0</v>
      </c>
      <c r="F25" s="32">
        <v>57.45</v>
      </c>
      <c r="G25" s="32">
        <v>-36.369999999999997</v>
      </c>
      <c r="H25" s="31">
        <f t="shared" si="2"/>
        <v>0.63307223672758917</v>
      </c>
      <c r="I25" s="31">
        <f t="shared" si="3"/>
        <v>-0.59502818056280815</v>
      </c>
      <c r="J25" s="32">
        <f t="shared" si="4"/>
        <v>-34.184368973333328</v>
      </c>
      <c r="K25" s="32">
        <f t="shared" si="5"/>
        <v>-4.273046121666666</v>
      </c>
      <c r="L25" s="29">
        <v>30</v>
      </c>
      <c r="M25" s="33">
        <f t="shared" si="6"/>
        <v>0.26666666666666666</v>
      </c>
      <c r="N25" s="29">
        <v>140</v>
      </c>
      <c r="O25" s="34">
        <f t="shared" ref="O25:P25" si="16">D25/7</f>
        <v>1.1428571428571428</v>
      </c>
      <c r="P25" s="34">
        <f t="shared" si="16"/>
        <v>0</v>
      </c>
      <c r="Q25" s="29">
        <f t="shared" si="8"/>
        <v>122</v>
      </c>
      <c r="R25" s="29"/>
      <c r="S25" s="35">
        <v>0.31607629427792922</v>
      </c>
      <c r="T25" s="28">
        <v>400</v>
      </c>
      <c r="U25" s="36" t="s">
        <v>33</v>
      </c>
      <c r="V25" s="37" t="s">
        <v>33</v>
      </c>
      <c r="W25" s="14">
        <v>4</v>
      </c>
      <c r="X25" s="38">
        <f t="shared" si="9"/>
        <v>0.5</v>
      </c>
      <c r="Y25" s="39">
        <f t="shared" si="10"/>
        <v>5.1957142857142857</v>
      </c>
      <c r="Z25" s="14">
        <v>3</v>
      </c>
      <c r="AA25" s="28" t="s">
        <v>34</v>
      </c>
      <c r="AB25" s="40">
        <f t="shared" si="11"/>
        <v>-0.69</v>
      </c>
      <c r="AC25" s="41">
        <v>4.7723638888888899E-2</v>
      </c>
      <c r="AD25" s="39">
        <f t="shared" si="12"/>
        <v>-0.52686897333333338</v>
      </c>
      <c r="AE25" s="39">
        <v>-3.48</v>
      </c>
      <c r="AF25" s="39">
        <v>-1.66</v>
      </c>
      <c r="AG25" s="39">
        <v>-5</v>
      </c>
    </row>
    <row r="26" spans="1:33" ht="15.75" customHeight="1" x14ac:dyDescent="0.2">
      <c r="A26" s="14" t="s">
        <v>67</v>
      </c>
      <c r="B26" s="14" t="s">
        <v>82</v>
      </c>
      <c r="C26" s="15">
        <f t="shared" si="1"/>
        <v>7.000588235294118</v>
      </c>
      <c r="D26" s="16">
        <v>17</v>
      </c>
      <c r="E26" s="16">
        <v>0</v>
      </c>
      <c r="F26" s="17">
        <v>119.01</v>
      </c>
      <c r="G26" s="17">
        <v>-56.86</v>
      </c>
      <c r="H26" s="31">
        <f t="shared" si="2"/>
        <v>0.47777497689269804</v>
      </c>
      <c r="I26" s="31">
        <f t="shared" si="3"/>
        <v>-0.39576506443436127</v>
      </c>
      <c r="J26" s="32">
        <f t="shared" si="4"/>
        <v>-47.100000318333336</v>
      </c>
      <c r="K26" s="32">
        <f t="shared" si="5"/>
        <v>-2.7705882540196081</v>
      </c>
      <c r="L26" s="16">
        <v>25</v>
      </c>
      <c r="M26" s="33">
        <f t="shared" si="6"/>
        <v>0.68</v>
      </c>
      <c r="N26" s="16">
        <v>125</v>
      </c>
      <c r="O26" s="34">
        <f t="shared" ref="O26:P26" si="17">D26/7</f>
        <v>2.4285714285714284</v>
      </c>
      <c r="P26" s="34">
        <f t="shared" si="17"/>
        <v>0</v>
      </c>
      <c r="Q26" s="29">
        <f t="shared" si="8"/>
        <v>51</v>
      </c>
      <c r="R26" s="29"/>
      <c r="S26" s="21">
        <v>0.5</v>
      </c>
      <c r="T26" s="28">
        <v>400</v>
      </c>
      <c r="U26" s="36" t="s">
        <v>33</v>
      </c>
      <c r="V26" s="37" t="s">
        <v>33</v>
      </c>
      <c r="W26" s="14">
        <v>9</v>
      </c>
      <c r="X26" s="38">
        <f t="shared" si="9"/>
        <v>0.52941176470588236</v>
      </c>
      <c r="Y26" s="39">
        <f t="shared" si="10"/>
        <v>3.7906666666666666</v>
      </c>
      <c r="Z26" s="14">
        <v>6</v>
      </c>
      <c r="AA26" s="28" t="s">
        <v>34</v>
      </c>
      <c r="AB26" s="40">
        <f t="shared" si="11"/>
        <v>-0.69</v>
      </c>
      <c r="AC26" s="41">
        <v>4.7723638888888899E-2</v>
      </c>
      <c r="AD26" s="39">
        <f t="shared" si="12"/>
        <v>-1.1195965683333333</v>
      </c>
      <c r="AE26" s="25">
        <v>-3.64</v>
      </c>
      <c r="AF26" s="25">
        <v>-1.6705237500000001</v>
      </c>
      <c r="AG26" s="25">
        <v>0</v>
      </c>
    </row>
    <row r="27" spans="1:33" ht="15.75" customHeight="1" x14ac:dyDescent="0.2">
      <c r="A27" s="14" t="s">
        <v>69</v>
      </c>
      <c r="B27" s="14" t="s">
        <v>908</v>
      </c>
      <c r="C27" s="15">
        <f t="shared" si="1"/>
        <v>7.0192307692307692</v>
      </c>
      <c r="D27" s="16">
        <v>26</v>
      </c>
      <c r="E27" s="16">
        <v>0</v>
      </c>
      <c r="F27" s="17">
        <v>182.5</v>
      </c>
      <c r="G27" s="17">
        <v>-65.05</v>
      </c>
      <c r="H27" s="31">
        <f t="shared" si="2"/>
        <v>0.35643835616438352</v>
      </c>
      <c r="I27" s="31">
        <f t="shared" si="3"/>
        <v>-0.29430652966210047</v>
      </c>
      <c r="J27" s="32">
        <f t="shared" si="4"/>
        <v>-53.710941663333337</v>
      </c>
      <c r="K27" s="32">
        <f t="shared" si="5"/>
        <v>-2.0658054485897437</v>
      </c>
      <c r="L27" s="16">
        <v>31</v>
      </c>
      <c r="M27" s="33">
        <f t="shared" si="6"/>
        <v>0.83870967741935487</v>
      </c>
      <c r="N27" s="16">
        <v>106</v>
      </c>
      <c r="O27" s="34">
        <f t="shared" ref="O27:P27" si="18">D27/7</f>
        <v>3.7142857142857144</v>
      </c>
      <c r="P27" s="34">
        <f t="shared" si="18"/>
        <v>0</v>
      </c>
      <c r="Q27" s="29">
        <f t="shared" si="8"/>
        <v>28</v>
      </c>
      <c r="R27" s="29"/>
      <c r="S27" s="21">
        <v>0.95167286245353155</v>
      </c>
      <c r="T27" s="28">
        <v>400</v>
      </c>
      <c r="U27" s="36" t="s">
        <v>33</v>
      </c>
      <c r="V27" s="37" t="s">
        <v>33</v>
      </c>
      <c r="W27" s="14">
        <v>7</v>
      </c>
      <c r="X27" s="38">
        <f t="shared" si="9"/>
        <v>0.26923076923076922</v>
      </c>
      <c r="Y27" s="39">
        <f t="shared" si="10"/>
        <v>4.6464285714285714</v>
      </c>
      <c r="Z27" s="14">
        <v>7</v>
      </c>
      <c r="AA27" s="28" t="s">
        <v>34</v>
      </c>
      <c r="AB27" s="40">
        <f t="shared" si="11"/>
        <v>-0.69</v>
      </c>
      <c r="AC27" s="41">
        <v>4.7723638888888899E-2</v>
      </c>
      <c r="AD27" s="39">
        <f t="shared" si="12"/>
        <v>-1.7123241633333335</v>
      </c>
      <c r="AE27" s="25">
        <v>-3.64</v>
      </c>
      <c r="AF27" s="25">
        <v>-1.6705237500000001</v>
      </c>
      <c r="AG27" s="25">
        <v>-4</v>
      </c>
    </row>
    <row r="28" spans="1:33" ht="15.75" customHeight="1" x14ac:dyDescent="0.2">
      <c r="A28" s="14" t="s">
        <v>71</v>
      </c>
      <c r="B28" s="14" t="s">
        <v>82</v>
      </c>
      <c r="C28" s="15">
        <f t="shared" si="1"/>
        <v>7.0793749999999998</v>
      </c>
      <c r="D28" s="16">
        <v>16</v>
      </c>
      <c r="E28" s="16">
        <v>0</v>
      </c>
      <c r="F28" s="17">
        <v>113.27</v>
      </c>
      <c r="G28" s="17">
        <v>-23.56</v>
      </c>
      <c r="H28" s="31">
        <f t="shared" si="2"/>
        <v>0.20799858744592567</v>
      </c>
      <c r="I28" s="31">
        <f t="shared" si="3"/>
        <v>-0.11744166987434161</v>
      </c>
      <c r="J28" s="32">
        <f t="shared" si="4"/>
        <v>-13.302617946666674</v>
      </c>
      <c r="K28" s="32">
        <f t="shared" si="5"/>
        <v>-0.8314136216666671</v>
      </c>
      <c r="L28" s="16">
        <v>24</v>
      </c>
      <c r="M28" s="33">
        <f t="shared" si="6"/>
        <v>0.66666666666666663</v>
      </c>
      <c r="N28" s="16">
        <v>86</v>
      </c>
      <c r="O28" s="34">
        <f t="shared" ref="O28:P28" si="19">D28/7</f>
        <v>2.2857142857142856</v>
      </c>
      <c r="P28" s="34">
        <f t="shared" si="19"/>
        <v>0</v>
      </c>
      <c r="Q28" s="29">
        <f t="shared" si="8"/>
        <v>37</v>
      </c>
      <c r="R28" s="29"/>
      <c r="S28" s="21">
        <v>1.3442622950819669</v>
      </c>
      <c r="T28" s="28">
        <v>400</v>
      </c>
      <c r="U28" s="36" t="s">
        <v>33</v>
      </c>
      <c r="V28" s="37" t="s">
        <v>33</v>
      </c>
      <c r="W28" s="14">
        <v>5</v>
      </c>
      <c r="X28" s="38">
        <f t="shared" si="9"/>
        <v>0.3125</v>
      </c>
      <c r="Y28" s="39">
        <f t="shared" si="10"/>
        <v>2.6177777777777775</v>
      </c>
      <c r="Z28" s="14">
        <v>4</v>
      </c>
      <c r="AA28" s="28" t="s">
        <v>34</v>
      </c>
      <c r="AB28" s="40">
        <f t="shared" si="11"/>
        <v>-0.69</v>
      </c>
      <c r="AC28" s="41">
        <v>4.7723638888888899E-2</v>
      </c>
      <c r="AD28" s="39">
        <f t="shared" si="12"/>
        <v>-1.0537379466666668</v>
      </c>
      <c r="AE28" s="25">
        <v>-3.64</v>
      </c>
      <c r="AF28" s="25">
        <v>-1.6705237500000001</v>
      </c>
      <c r="AG28" s="25">
        <v>0</v>
      </c>
    </row>
    <row r="29" spans="1:33" ht="15.75" customHeight="1" x14ac:dyDescent="0.2">
      <c r="A29" s="28" t="s">
        <v>72</v>
      </c>
      <c r="B29" s="28" t="s">
        <v>441</v>
      </c>
      <c r="C29" s="15">
        <f t="shared" si="1"/>
        <v>7.0106250000000001</v>
      </c>
      <c r="D29" s="29">
        <v>16</v>
      </c>
      <c r="E29" s="29">
        <v>0</v>
      </c>
      <c r="F29" s="32">
        <v>112.17</v>
      </c>
      <c r="G29" s="32">
        <v>-19.84</v>
      </c>
      <c r="H29" s="31">
        <f t="shared" si="2"/>
        <v>0.17687438709102254</v>
      </c>
      <c r="I29" s="31">
        <f t="shared" si="3"/>
        <v>-9.3764981248699975E-2</v>
      </c>
      <c r="J29" s="32">
        <f t="shared" si="4"/>
        <v>-10.517617946666677</v>
      </c>
      <c r="K29" s="32">
        <f t="shared" si="5"/>
        <v>-0.65735112166666732</v>
      </c>
      <c r="L29" s="29">
        <v>32</v>
      </c>
      <c r="M29" s="33">
        <f t="shared" si="6"/>
        <v>0.5</v>
      </c>
      <c r="N29" s="16">
        <v>71</v>
      </c>
      <c r="O29" s="34">
        <f t="shared" ref="O29:P29" si="20">D29/7</f>
        <v>2.2857142857142856</v>
      </c>
      <c r="P29" s="34">
        <f t="shared" si="20"/>
        <v>0</v>
      </c>
      <c r="Q29" s="29">
        <f t="shared" si="8"/>
        <v>31</v>
      </c>
      <c r="R29" s="29"/>
      <c r="S29" s="21">
        <v>0.97732997481108308</v>
      </c>
      <c r="T29" s="28">
        <v>400</v>
      </c>
      <c r="U29" s="36" t="s">
        <v>33</v>
      </c>
      <c r="V29" s="37" t="s">
        <v>33</v>
      </c>
      <c r="W29" s="14">
        <v>3</v>
      </c>
      <c r="X29" s="38">
        <f t="shared" si="9"/>
        <v>0.1875</v>
      </c>
      <c r="Y29" s="39">
        <f t="shared" si="10"/>
        <v>1.984</v>
      </c>
      <c r="Z29" s="14">
        <v>7</v>
      </c>
      <c r="AA29" s="28" t="s">
        <v>34</v>
      </c>
      <c r="AB29" s="40">
        <f t="shared" si="11"/>
        <v>-0.69</v>
      </c>
      <c r="AC29" s="41">
        <v>4.7723638888888899E-2</v>
      </c>
      <c r="AD29" s="39">
        <f t="shared" si="12"/>
        <v>-1.0537379466666668</v>
      </c>
      <c r="AE29" s="39">
        <v>-3.64</v>
      </c>
      <c r="AF29" s="25">
        <v>-1.6705237500000001</v>
      </c>
      <c r="AG29" s="39">
        <v>0</v>
      </c>
    </row>
    <row r="30" spans="1:33" ht="15.75" customHeight="1" x14ac:dyDescent="0.2">
      <c r="A30" s="14" t="s">
        <v>74</v>
      </c>
      <c r="B30" s="14" t="s">
        <v>82</v>
      </c>
      <c r="C30" s="15">
        <f t="shared" si="1"/>
        <v>6.9750000000000014</v>
      </c>
      <c r="D30" s="16">
        <v>12</v>
      </c>
      <c r="E30" s="16">
        <v>0</v>
      </c>
      <c r="F30" s="17">
        <v>83.700000000000017</v>
      </c>
      <c r="G30" s="17">
        <v>0</v>
      </c>
      <c r="H30" s="31">
        <f t="shared" si="2"/>
        <v>0</v>
      </c>
      <c r="I30" s="31">
        <f t="shared" si="3"/>
        <v>7.0469304190860269E-2</v>
      </c>
      <c r="J30" s="32">
        <f t="shared" si="4"/>
        <v>5.8982807607750054</v>
      </c>
      <c r="K30" s="32">
        <f t="shared" si="5"/>
        <v>0.49152339673125045</v>
      </c>
      <c r="L30" s="16">
        <v>15</v>
      </c>
      <c r="M30" s="33">
        <f t="shared" si="6"/>
        <v>0.8</v>
      </c>
      <c r="N30" s="16">
        <v>59</v>
      </c>
      <c r="O30" s="34">
        <f t="shared" ref="O30:P30" si="21">D30/7</f>
        <v>1.7142857142857142</v>
      </c>
      <c r="P30" s="34">
        <f t="shared" si="21"/>
        <v>0</v>
      </c>
      <c r="Q30" s="29">
        <f t="shared" si="8"/>
        <v>34</v>
      </c>
      <c r="R30" s="29"/>
      <c r="S30" s="21">
        <v>1.023255813953488</v>
      </c>
      <c r="T30" s="28">
        <v>400</v>
      </c>
      <c r="U30" s="36" t="s">
        <v>33</v>
      </c>
      <c r="V30" s="37" t="s">
        <v>33</v>
      </c>
      <c r="W30" s="14">
        <v>0</v>
      </c>
      <c r="X30" s="38">
        <f t="shared" si="9"/>
        <v>0</v>
      </c>
      <c r="Y30" s="39">
        <f t="shared" si="10"/>
        <v>0</v>
      </c>
      <c r="Z30" s="14">
        <v>0</v>
      </c>
      <c r="AA30" s="28" t="s">
        <v>34</v>
      </c>
      <c r="AB30" s="40">
        <f t="shared" si="11"/>
        <v>-0.69</v>
      </c>
      <c r="AC30" s="41">
        <v>4.7723638888888899E-2</v>
      </c>
      <c r="AD30" s="39">
        <f t="shared" si="12"/>
        <v>-0.79030346000000007</v>
      </c>
      <c r="AE30" s="25">
        <v>-3.64</v>
      </c>
      <c r="AF30" s="25">
        <v>-1.64803464826875</v>
      </c>
      <c r="AG30" s="25">
        <v>-1</v>
      </c>
    </row>
    <row r="31" spans="1:33" ht="15.75" customHeight="1" x14ac:dyDescent="0.2">
      <c r="A31" s="14" t="s">
        <v>75</v>
      </c>
      <c r="B31" s="48" t="s">
        <v>167</v>
      </c>
      <c r="C31" s="15">
        <f t="shared" si="1"/>
        <v>6.9540000000000006</v>
      </c>
      <c r="D31" s="16">
        <v>5</v>
      </c>
      <c r="E31" s="16">
        <v>0</v>
      </c>
      <c r="F31" s="17">
        <v>34.770000000000003</v>
      </c>
      <c r="G31" s="42">
        <v>0</v>
      </c>
      <c r="H31" s="31">
        <f t="shared" si="2"/>
        <v>0</v>
      </c>
      <c r="I31" s="31">
        <f t="shared" si="3"/>
        <v>8.0098753244835133E-2</v>
      </c>
      <c r="J31" s="32">
        <f t="shared" si="4"/>
        <v>2.7850336503229176</v>
      </c>
      <c r="K31" s="32">
        <f t="shared" si="5"/>
        <v>0.55700673006458357</v>
      </c>
      <c r="L31" s="16">
        <v>12</v>
      </c>
      <c r="M31" s="33">
        <f t="shared" si="6"/>
        <v>0.41666666666666669</v>
      </c>
      <c r="N31" s="16">
        <v>54</v>
      </c>
      <c r="O31" s="34">
        <f t="shared" ref="O31:P32" si="22">D31/7</f>
        <v>0.7142857142857143</v>
      </c>
      <c r="P31" s="34">
        <f t="shared" si="22"/>
        <v>0</v>
      </c>
      <c r="Q31" s="29">
        <f t="shared" si="8"/>
        <v>75</v>
      </c>
      <c r="R31" s="29"/>
      <c r="S31" s="21">
        <v>1.3841642228739</v>
      </c>
      <c r="T31" s="14" t="s">
        <v>33</v>
      </c>
      <c r="U31" s="22" t="s">
        <v>33</v>
      </c>
      <c r="V31" s="1" t="s">
        <v>936</v>
      </c>
      <c r="W31" s="14">
        <v>0</v>
      </c>
      <c r="X31" s="38">
        <f t="shared" si="9"/>
        <v>0</v>
      </c>
      <c r="Y31" s="39">
        <f t="shared" si="10"/>
        <v>0</v>
      </c>
      <c r="Z31" s="14">
        <v>0</v>
      </c>
      <c r="AA31" s="14" t="s">
        <v>34</v>
      </c>
      <c r="AB31" s="40">
        <f t="shared" si="11"/>
        <v>-0.69</v>
      </c>
      <c r="AC31" s="27">
        <v>4.7723638888888899E-2</v>
      </c>
      <c r="AD31" s="39">
        <f t="shared" si="12"/>
        <v>-0.32929310833333336</v>
      </c>
      <c r="AE31" s="43">
        <v>-3.64</v>
      </c>
      <c r="AF31" s="43">
        <v>-1.6480346482687502</v>
      </c>
      <c r="AG31" s="25">
        <v>0</v>
      </c>
    </row>
    <row r="32" spans="1:33" s="51" customFormat="1" ht="15.75" customHeight="1" x14ac:dyDescent="0.2">
      <c r="A32" s="51" t="s">
        <v>934</v>
      </c>
      <c r="C32" s="15">
        <f t="shared" si="1"/>
        <v>6.95</v>
      </c>
      <c r="D32" s="52">
        <v>8</v>
      </c>
      <c r="E32" s="52">
        <v>0</v>
      </c>
      <c r="F32" s="53">
        <v>55.6</v>
      </c>
      <c r="G32" s="53">
        <v>-8.6199999999999992</v>
      </c>
      <c r="H32" s="31">
        <f t="shared" si="2"/>
        <v>0.15503597122302157</v>
      </c>
      <c r="I32" s="31">
        <f t="shared" si="3"/>
        <v>-7.5380326609412449E-2</v>
      </c>
      <c r="J32" s="32">
        <f t="shared" si="4"/>
        <v>-4.1911461594833321</v>
      </c>
      <c r="K32" s="32">
        <f t="shared" si="5"/>
        <v>-0.52389326993541652</v>
      </c>
      <c r="L32" s="52">
        <v>17</v>
      </c>
      <c r="M32" s="33">
        <f t="shared" si="6"/>
        <v>0.47058823529411764</v>
      </c>
      <c r="N32" s="52">
        <v>45</v>
      </c>
      <c r="O32" s="34">
        <f t="shared" si="22"/>
        <v>1.1428571428571428</v>
      </c>
      <c r="P32" s="34">
        <f t="shared" si="22"/>
        <v>0</v>
      </c>
      <c r="Q32" s="29">
        <f t="shared" si="8"/>
        <v>39</v>
      </c>
      <c r="R32" s="29" t="str">
        <f ca="1">IFERROR(VLOOKUP($B$2,IMPORTRANGE("https://docs.google.com/spreadsheets/d/1KiWZV1ko8G7lnRucBRBd29jj3Be6ltMfljMDqzOkQmI/edit#gid=1381463014","Lookup!A:F"),6,FALSE),"")</f>
        <v/>
      </c>
      <c r="S32" s="54">
        <v>1.68561872909699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1</v>
      </c>
      <c r="X32" s="38">
        <f t="shared" si="9"/>
        <v>0.125</v>
      </c>
      <c r="Y32" s="39">
        <f t="shared" si="10"/>
        <v>8.6199999999999992</v>
      </c>
      <c r="Z32" s="51">
        <v>0</v>
      </c>
      <c r="AA32" s="51" t="s">
        <v>34</v>
      </c>
      <c r="AB32" s="40">
        <f t="shared" si="11"/>
        <v>-0.69</v>
      </c>
      <c r="AC32" s="57">
        <v>4.7723638888888899E-2</v>
      </c>
      <c r="AD32" s="39">
        <f t="shared" si="12"/>
        <v>-0.52686897333333338</v>
      </c>
      <c r="AE32" s="58">
        <v>-3.64</v>
      </c>
      <c r="AF32" s="58">
        <v>-1.64803464826875</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Info!B1:BJ5000""),3,FALSE),"""")"),"6 Ft Power Cords for TV Computer or Monitor, 2 Pack - 18/3 Right Angle Replacement Power Cables, Black")</f>
        <v>6 Ft Power Cords for TV Computer or Monitor, 2 Pack - 18/3 Right Angle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Info!B1:BJ5000""),2,FALSE),"""")"),"B08NLTH116")</f>
        <v>B08NLTH116</v>
      </c>
      <c r="B2" s="3" t="s">
        <v>922</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7.7067580662499999</v>
      </c>
      <c r="D3" s="5">
        <f>SUM(D4:D99765)</f>
        <v>93</v>
      </c>
      <c r="E3" s="5"/>
      <c r="F3" s="6">
        <f t="shared" ref="F3:G3" si="0">SUM(F4:F99765)</f>
        <v>819.83999999999992</v>
      </c>
      <c r="G3" s="6">
        <f t="shared" si="0"/>
        <v>-453.11</v>
      </c>
      <c r="H3" s="7">
        <f>G3/F3*-1</f>
        <v>0.55268101092896182</v>
      </c>
      <c r="I3" s="8">
        <f>J3/F3</f>
        <v>-0.4882358518538425</v>
      </c>
      <c r="J3" s="6">
        <f>SUM(J4:J99765)</f>
        <v>-400.27528078385421</v>
      </c>
      <c r="K3" s="6">
        <f>J3/D3</f>
        <v>-4.3040352772457444</v>
      </c>
      <c r="L3" s="5"/>
      <c r="M3" s="9"/>
      <c r="N3" s="10"/>
      <c r="O3" s="5" t="str">
        <f ca="1">IFERROR(__xludf.DUMMYFUNCTION("VLOOKUP(B2,IMPORTRANGE(""https://docs.google.com/spreadsheets/d/1N8jvpEHDVkurDv7NrPxwI3eH6hQsvtb1QltGNCalRjU/edit#gid=865736387"",""Compiled Sheet!a1:g5000""),2,FALSE)")," - March
 - April
 - May
 - June
 - July
 - Aug
 - Sept
 - Oct
 - Nov
 - Dec
 - Jan
 - Feb")</f>
        <v xml:space="preserve"> - March
 - April
 - May
 - June
 - July
 - Aug
 - Sept
 - Oct
 - Nov
 - Dec
 - Jan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50</v>
      </c>
      <c r="X3" s="7">
        <f>W3/D3</f>
        <v>0.5376344086021505</v>
      </c>
      <c r="Y3" s="6"/>
      <c r="Z3" s="5"/>
      <c r="AA3" s="5"/>
      <c r="AB3" s="5"/>
      <c r="AC3" s="5"/>
      <c r="AD3" s="6">
        <f>SUM(AD4:AD99765)</f>
        <v>-7.072650439166666</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Info!B2:BZ7000""),37,FALSE)),"""")*-1"),-2.3007443563125)</f>
        <v>-2.3007443563124998</v>
      </c>
      <c r="AG3" s="6">
        <f>SUM(AG4:AG99765)</f>
        <v>-6</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923</v>
      </c>
      <c r="C21" s="15">
        <f t="shared" ref="C21:C32" si="1">IFERROR(F21/D21," - ")</f>
        <v>11.99</v>
      </c>
      <c r="D21" s="29">
        <v>2</v>
      </c>
      <c r="E21" s="29">
        <v>0</v>
      </c>
      <c r="F21" s="32">
        <v>23.98</v>
      </c>
      <c r="G21" s="30">
        <v>-20.439999999999998</v>
      </c>
      <c r="H21" s="31">
        <f t="shared" ref="H21:H32" si="2">G21/F21*-1</f>
        <v>0.8523769808173477</v>
      </c>
      <c r="I21" s="31">
        <f t="shared" ref="I21:I32" si="3">J21/F21</f>
        <v>-0.61195667262070241</v>
      </c>
      <c r="J21" s="32">
        <f t="shared" ref="J21:J32" si="4">F21*0.85+G21+AF21*D21+D21*AE21+AG21+AD21</f>
        <v>-14.674721009444445</v>
      </c>
      <c r="K21" s="32">
        <f t="shared" ref="K21:K32" si="5">J21/D21</f>
        <v>-7.3373605047222226</v>
      </c>
      <c r="L21" s="29">
        <v>3</v>
      </c>
      <c r="M21" s="33">
        <f t="shared" ref="M21:M32" si="6">IFERROR(D21/L21,"-")</f>
        <v>0.66666666666666663</v>
      </c>
      <c r="N21" s="29">
        <v>182</v>
      </c>
      <c r="O21" s="34">
        <f t="shared" ref="O21:P21" si="7">D21/7</f>
        <v>0.2857142857142857</v>
      </c>
      <c r="P21" s="34">
        <f t="shared" si="7"/>
        <v>0</v>
      </c>
      <c r="Q21" s="29">
        <f t="shared" ref="Q21:Q32" si="8">ROUNDDOWN(N21/(O21+P21),0)</f>
        <v>637</v>
      </c>
      <c r="R21" s="29"/>
      <c r="S21" s="35">
        <v>1.9230769230769201E-2</v>
      </c>
      <c r="T21" s="28">
        <v>600</v>
      </c>
      <c r="U21" s="36" t="s">
        <v>33</v>
      </c>
      <c r="V21" s="37" t="s">
        <v>33</v>
      </c>
      <c r="W21" s="28">
        <v>1</v>
      </c>
      <c r="X21" s="38">
        <f t="shared" ref="X21:X32" si="9">IFERROR(W21/D21,0)</f>
        <v>0.5</v>
      </c>
      <c r="Y21" s="39">
        <f t="shared" ref="Y21:Y32" si="10">IFERROR(G21/(W21+Z21)*-1,0)</f>
        <v>20.439999999999998</v>
      </c>
      <c r="Z21" s="28">
        <v>0</v>
      </c>
      <c r="AA21" s="28" t="s">
        <v>34</v>
      </c>
      <c r="AB21" s="40">
        <f t="shared" ref="AB21:AB32" si="11">IF(OR(AA21="UsLargeStandardSize",AA21="UsSmallStandardSize"),-0.69,-0.48)</f>
        <v>-0.69</v>
      </c>
      <c r="AC21" s="41">
        <v>5.510869907407407E-2</v>
      </c>
      <c r="AD21" s="39">
        <f t="shared" ref="AD21:AD32" si="12">IFERROR(AB21*AC21*D21*2,0)</f>
        <v>-0.15210000944444443</v>
      </c>
      <c r="AE21" s="39">
        <v>-4.9000000000000004</v>
      </c>
      <c r="AF21" s="39">
        <v>-2.3328105000000003</v>
      </c>
      <c r="AG21" s="39">
        <v>0</v>
      </c>
    </row>
    <row r="22" spans="1:33" ht="15.75" customHeight="1" x14ac:dyDescent="0.2">
      <c r="A22" s="28" t="s">
        <v>60</v>
      </c>
      <c r="B22" s="28" t="s">
        <v>924</v>
      </c>
      <c r="C22" s="15">
        <f t="shared" si="1"/>
        <v>11.362500000000001</v>
      </c>
      <c r="D22" s="29">
        <v>4</v>
      </c>
      <c r="E22" s="29">
        <v>0</v>
      </c>
      <c r="F22" s="30">
        <v>45.45</v>
      </c>
      <c r="G22" s="30">
        <v>-21.940000000000005</v>
      </c>
      <c r="H22" s="31">
        <f t="shared" si="2"/>
        <v>0.48272827282728281</v>
      </c>
      <c r="I22" s="31">
        <f t="shared" si="3"/>
        <v>-0.27597232164772045</v>
      </c>
      <c r="J22" s="32">
        <f t="shared" si="4"/>
        <v>-12.542942018888896</v>
      </c>
      <c r="K22" s="32">
        <f t="shared" si="5"/>
        <v>-3.135735504722224</v>
      </c>
      <c r="L22" s="29">
        <v>8</v>
      </c>
      <c r="M22" s="33">
        <f t="shared" si="6"/>
        <v>0.5</v>
      </c>
      <c r="N22" s="29">
        <v>202</v>
      </c>
      <c r="O22" s="34">
        <f t="shared" ref="O22:P22" si="13">D22/7</f>
        <v>0.5714285714285714</v>
      </c>
      <c r="P22" s="34">
        <f t="shared" si="13"/>
        <v>0</v>
      </c>
      <c r="Q22" s="29">
        <f t="shared" si="8"/>
        <v>353</v>
      </c>
      <c r="R22" s="29"/>
      <c r="S22" s="35">
        <v>7.8817733990147701E-2</v>
      </c>
      <c r="T22" s="28">
        <v>600</v>
      </c>
      <c r="U22" s="36" t="s">
        <v>33</v>
      </c>
      <c r="V22" s="37" t="s">
        <v>33</v>
      </c>
      <c r="W22" s="28">
        <v>1</v>
      </c>
      <c r="X22" s="38">
        <f t="shared" si="9"/>
        <v>0.25</v>
      </c>
      <c r="Y22" s="39">
        <f t="shared" si="10"/>
        <v>10.970000000000002</v>
      </c>
      <c r="Z22" s="28">
        <v>1</v>
      </c>
      <c r="AA22" s="28" t="s">
        <v>34</v>
      </c>
      <c r="AB22" s="40">
        <f t="shared" si="11"/>
        <v>-0.69</v>
      </c>
      <c r="AC22" s="41">
        <v>5.510869907407407E-2</v>
      </c>
      <c r="AD22" s="39">
        <f t="shared" si="12"/>
        <v>-0.30420001888888887</v>
      </c>
      <c r="AE22" s="39">
        <v>-4.9000000000000004</v>
      </c>
      <c r="AF22" s="39">
        <v>-2.3328105000000003</v>
      </c>
      <c r="AG22" s="39">
        <v>0</v>
      </c>
    </row>
    <row r="23" spans="1:33" ht="15.75" customHeight="1" x14ac:dyDescent="0.2">
      <c r="A23" s="28" t="s">
        <v>62</v>
      </c>
      <c r="B23" s="28" t="s">
        <v>925</v>
      </c>
      <c r="C23" s="15">
        <f t="shared" si="1"/>
        <v>10.795999999999999</v>
      </c>
      <c r="D23" s="29">
        <v>5</v>
      </c>
      <c r="E23" s="29">
        <v>0</v>
      </c>
      <c r="F23" s="32">
        <v>53.98</v>
      </c>
      <c r="G23" s="30">
        <v>-54.06</v>
      </c>
      <c r="H23" s="31">
        <f t="shared" si="2"/>
        <v>1.001482030381623</v>
      </c>
      <c r="I23" s="31">
        <f t="shared" si="3"/>
        <v>-0.82847911307171407</v>
      </c>
      <c r="J23" s="32">
        <f t="shared" si="4"/>
        <v>-44.721302523611122</v>
      </c>
      <c r="K23" s="32">
        <f t="shared" si="5"/>
        <v>-8.9442605047222248</v>
      </c>
      <c r="L23" s="29">
        <v>10</v>
      </c>
      <c r="M23" s="33">
        <f t="shared" si="6"/>
        <v>0.5</v>
      </c>
      <c r="N23" s="29">
        <v>199</v>
      </c>
      <c r="O23" s="34">
        <f t="shared" ref="O23:P23" si="14">D23/7</f>
        <v>0.7142857142857143</v>
      </c>
      <c r="P23" s="34">
        <f t="shared" si="14"/>
        <v>0</v>
      </c>
      <c r="Q23" s="29">
        <f t="shared" si="8"/>
        <v>278</v>
      </c>
      <c r="R23" s="29"/>
      <c r="S23" s="35">
        <v>0.158415841584158</v>
      </c>
      <c r="T23" s="28">
        <v>600</v>
      </c>
      <c r="U23" s="36" t="s">
        <v>33</v>
      </c>
      <c r="V23" s="37" t="s">
        <v>33</v>
      </c>
      <c r="W23" s="28">
        <v>1</v>
      </c>
      <c r="X23" s="38">
        <f t="shared" si="9"/>
        <v>0.2</v>
      </c>
      <c r="Y23" s="39">
        <f t="shared" si="10"/>
        <v>9.01</v>
      </c>
      <c r="Z23" s="28">
        <v>5</v>
      </c>
      <c r="AA23" s="28" t="s">
        <v>34</v>
      </c>
      <c r="AB23" s="40">
        <f t="shared" si="11"/>
        <v>-0.69</v>
      </c>
      <c r="AC23" s="41">
        <v>5.510869907407407E-2</v>
      </c>
      <c r="AD23" s="39">
        <f t="shared" si="12"/>
        <v>-0.3802500236111111</v>
      </c>
      <c r="AE23" s="39">
        <v>-4.9000000000000004</v>
      </c>
      <c r="AF23" s="39">
        <v>-2.3328105000000003</v>
      </c>
      <c r="AG23" s="39">
        <v>0</v>
      </c>
    </row>
    <row r="24" spans="1:33" ht="15.75" customHeight="1" x14ac:dyDescent="0.2">
      <c r="A24" s="28" t="s">
        <v>64</v>
      </c>
      <c r="B24" s="28" t="s">
        <v>881</v>
      </c>
      <c r="C24" s="15">
        <f t="shared" si="1"/>
        <v>9.7214285714285715</v>
      </c>
      <c r="D24" s="29">
        <v>14</v>
      </c>
      <c r="E24" s="29">
        <v>0</v>
      </c>
      <c r="F24" s="32">
        <v>136.1</v>
      </c>
      <c r="G24" s="32">
        <v>-60.03</v>
      </c>
      <c r="H24" s="31">
        <f t="shared" si="2"/>
        <v>0.44107274063188834</v>
      </c>
      <c r="I24" s="31">
        <f t="shared" si="3"/>
        <v>-0.34290262355702522</v>
      </c>
      <c r="J24" s="32">
        <f t="shared" si="4"/>
        <v>-46.669047066111133</v>
      </c>
      <c r="K24" s="32">
        <f t="shared" si="5"/>
        <v>-3.3335033618650809</v>
      </c>
      <c r="L24" s="29">
        <v>15</v>
      </c>
      <c r="M24" s="33">
        <f t="shared" si="6"/>
        <v>0.93333333333333335</v>
      </c>
      <c r="N24" s="29">
        <v>184</v>
      </c>
      <c r="O24" s="34">
        <f t="shared" ref="O24:P24" si="15">D24/7</f>
        <v>2</v>
      </c>
      <c r="P24" s="34">
        <f t="shared" si="15"/>
        <v>0</v>
      </c>
      <c r="Q24" s="29">
        <f t="shared" si="8"/>
        <v>92</v>
      </c>
      <c r="R24" s="29"/>
      <c r="S24" s="35">
        <v>0.26395939086294401</v>
      </c>
      <c r="T24" s="28">
        <v>600</v>
      </c>
      <c r="U24" s="36" t="s">
        <v>33</v>
      </c>
      <c r="V24" s="37" t="s">
        <v>33</v>
      </c>
      <c r="W24" s="28">
        <v>11</v>
      </c>
      <c r="X24" s="38">
        <f t="shared" si="9"/>
        <v>0.7857142857142857</v>
      </c>
      <c r="Y24" s="39">
        <f t="shared" si="10"/>
        <v>2.8585714285714285</v>
      </c>
      <c r="Z24" s="28">
        <v>10</v>
      </c>
      <c r="AA24" s="28" t="s">
        <v>34</v>
      </c>
      <c r="AB24" s="40">
        <f t="shared" si="11"/>
        <v>-0.69</v>
      </c>
      <c r="AC24" s="41">
        <v>5.510869907407407E-2</v>
      </c>
      <c r="AD24" s="39">
        <f t="shared" si="12"/>
        <v>-1.064700066111111</v>
      </c>
      <c r="AE24" s="39">
        <v>-4.9000000000000004</v>
      </c>
      <c r="AF24" s="39">
        <v>-2.3328105000000003</v>
      </c>
      <c r="AG24" s="39">
        <v>0</v>
      </c>
    </row>
    <row r="25" spans="1:33" ht="15.75" customHeight="1" x14ac:dyDescent="0.2">
      <c r="A25" s="28" t="s">
        <v>65</v>
      </c>
      <c r="B25" s="14" t="s">
        <v>864</v>
      </c>
      <c r="C25" s="15">
        <f t="shared" si="1"/>
        <v>9.0274999999999999</v>
      </c>
      <c r="D25" s="29">
        <v>4</v>
      </c>
      <c r="E25" s="29">
        <v>0</v>
      </c>
      <c r="F25" s="32">
        <v>36.11</v>
      </c>
      <c r="G25" s="32">
        <v>-79.430000000000007</v>
      </c>
      <c r="H25" s="31">
        <f t="shared" si="2"/>
        <v>2.1996676820825258</v>
      </c>
      <c r="I25" s="31">
        <f t="shared" si="3"/>
        <v>-2.1866712827163917</v>
      </c>
      <c r="J25" s="32">
        <f t="shared" si="4"/>
        <v>-78.9607000188889</v>
      </c>
      <c r="K25" s="32">
        <f t="shared" si="5"/>
        <v>-19.740175004722225</v>
      </c>
      <c r="L25" s="29">
        <v>25</v>
      </c>
      <c r="M25" s="33">
        <f t="shared" si="6"/>
        <v>0.16</v>
      </c>
      <c r="N25" s="29">
        <v>180</v>
      </c>
      <c r="O25" s="34">
        <f t="shared" ref="O25:P25" si="16">D25/7</f>
        <v>0.5714285714285714</v>
      </c>
      <c r="P25" s="34">
        <f t="shared" si="16"/>
        <v>0</v>
      </c>
      <c r="Q25" s="29">
        <f t="shared" si="8"/>
        <v>315</v>
      </c>
      <c r="R25" s="29"/>
      <c r="S25" s="35">
        <v>0.29667519181585678</v>
      </c>
      <c r="T25" s="28">
        <v>600</v>
      </c>
      <c r="U25" s="36" t="s">
        <v>33</v>
      </c>
      <c r="V25" s="37" t="s">
        <v>33</v>
      </c>
      <c r="W25" s="14">
        <v>3</v>
      </c>
      <c r="X25" s="38">
        <f t="shared" si="9"/>
        <v>0.75</v>
      </c>
      <c r="Y25" s="39">
        <f t="shared" si="10"/>
        <v>15.886000000000001</v>
      </c>
      <c r="Z25" s="14">
        <v>2</v>
      </c>
      <c r="AA25" s="28" t="s">
        <v>34</v>
      </c>
      <c r="AB25" s="40">
        <f t="shared" si="11"/>
        <v>-0.69</v>
      </c>
      <c r="AC25" s="41">
        <v>5.510869907407407E-2</v>
      </c>
      <c r="AD25" s="39">
        <f t="shared" si="12"/>
        <v>-0.30420001888888887</v>
      </c>
      <c r="AE25" s="39">
        <v>-4.9000000000000004</v>
      </c>
      <c r="AF25" s="39">
        <v>-2.33</v>
      </c>
      <c r="AG25" s="39">
        <v>-1</v>
      </c>
    </row>
    <row r="26" spans="1:33" ht="15.75" customHeight="1" x14ac:dyDescent="0.2">
      <c r="A26" s="14" t="s">
        <v>67</v>
      </c>
      <c r="B26" s="14" t="s">
        <v>882</v>
      </c>
      <c r="C26" s="15">
        <f t="shared" si="1"/>
        <v>8.4235294117647044</v>
      </c>
      <c r="D26" s="16">
        <v>17</v>
      </c>
      <c r="E26" s="16">
        <v>0</v>
      </c>
      <c r="F26" s="17">
        <v>143.19999999999999</v>
      </c>
      <c r="G26" s="17">
        <v>-65.17</v>
      </c>
      <c r="H26" s="31">
        <f t="shared" si="2"/>
        <v>0.45509776536312851</v>
      </c>
      <c r="I26" s="31">
        <f t="shared" si="3"/>
        <v>-0.39656796494607405</v>
      </c>
      <c r="J26" s="32">
        <f t="shared" si="4"/>
        <v>-56.788532580277796</v>
      </c>
      <c r="K26" s="32">
        <f t="shared" si="5"/>
        <v>-3.3405019164869292</v>
      </c>
      <c r="L26" s="16">
        <v>15</v>
      </c>
      <c r="M26" s="33">
        <f t="shared" si="6"/>
        <v>1.1333333333333333</v>
      </c>
      <c r="N26" s="16">
        <v>171</v>
      </c>
      <c r="O26" s="34">
        <f t="shared" ref="O26:P26" si="17">D26/7</f>
        <v>2.4285714285714284</v>
      </c>
      <c r="P26" s="34">
        <f t="shared" si="17"/>
        <v>0</v>
      </c>
      <c r="Q26" s="29">
        <f t="shared" si="8"/>
        <v>70</v>
      </c>
      <c r="R26" s="29"/>
      <c r="S26" s="21">
        <v>0.33420365535248042</v>
      </c>
      <c r="T26" s="28">
        <v>600</v>
      </c>
      <c r="U26" s="36" t="s">
        <v>33</v>
      </c>
      <c r="V26" s="37" t="s">
        <v>33</v>
      </c>
      <c r="W26" s="14">
        <v>12</v>
      </c>
      <c r="X26" s="38">
        <f t="shared" si="9"/>
        <v>0.70588235294117652</v>
      </c>
      <c r="Y26" s="39">
        <f t="shared" si="10"/>
        <v>3.43</v>
      </c>
      <c r="Z26" s="14">
        <v>7</v>
      </c>
      <c r="AA26" s="28" t="s">
        <v>34</v>
      </c>
      <c r="AB26" s="40">
        <f t="shared" si="11"/>
        <v>-0.69</v>
      </c>
      <c r="AC26" s="41">
        <v>5.510869907407407E-2</v>
      </c>
      <c r="AD26" s="39">
        <f t="shared" si="12"/>
        <v>-1.2928500802777776</v>
      </c>
      <c r="AE26" s="25">
        <v>-4.25</v>
      </c>
      <c r="AF26" s="25">
        <v>-2.3409225</v>
      </c>
      <c r="AG26" s="25">
        <v>0</v>
      </c>
    </row>
    <row r="27" spans="1:33" ht="15.75" customHeight="1" x14ac:dyDescent="0.2">
      <c r="A27" s="14" t="s">
        <v>69</v>
      </c>
      <c r="B27" s="14" t="s">
        <v>897</v>
      </c>
      <c r="C27" s="15">
        <f t="shared" si="1"/>
        <v>8.4858333333333338</v>
      </c>
      <c r="D27" s="16">
        <v>12</v>
      </c>
      <c r="E27" s="16">
        <v>0</v>
      </c>
      <c r="F27" s="17">
        <v>101.83</v>
      </c>
      <c r="G27" s="17">
        <v>-35.639999999999993</v>
      </c>
      <c r="H27" s="31">
        <f t="shared" si="2"/>
        <v>0.34999508985564171</v>
      </c>
      <c r="I27" s="31">
        <f t="shared" si="3"/>
        <v>-0.31511509434024032</v>
      </c>
      <c r="J27" s="32">
        <f t="shared" si="4"/>
        <v>-32.088170056666669</v>
      </c>
      <c r="K27" s="32">
        <f t="shared" si="5"/>
        <v>-2.674014171388889</v>
      </c>
      <c r="L27" s="16">
        <v>18</v>
      </c>
      <c r="M27" s="33">
        <f t="shared" si="6"/>
        <v>0.66666666666666663</v>
      </c>
      <c r="N27" s="16">
        <v>151</v>
      </c>
      <c r="O27" s="34">
        <f t="shared" ref="O27:P27" si="18">D27/7</f>
        <v>1.7142857142857142</v>
      </c>
      <c r="P27" s="34">
        <f t="shared" si="18"/>
        <v>0</v>
      </c>
      <c r="Q27" s="29">
        <f t="shared" si="8"/>
        <v>88</v>
      </c>
      <c r="R27" s="29"/>
      <c r="S27" s="21">
        <v>0.63098591549295779</v>
      </c>
      <c r="T27" s="28">
        <v>600</v>
      </c>
      <c r="U27" s="36" t="s">
        <v>33</v>
      </c>
      <c r="V27" s="37" t="s">
        <v>33</v>
      </c>
      <c r="W27" s="14">
        <v>4</v>
      </c>
      <c r="X27" s="38">
        <f t="shared" si="9"/>
        <v>0.33333333333333331</v>
      </c>
      <c r="Y27" s="39">
        <f t="shared" si="10"/>
        <v>4.4549999999999992</v>
      </c>
      <c r="Z27" s="14">
        <v>4</v>
      </c>
      <c r="AA27" s="28" t="s">
        <v>34</v>
      </c>
      <c r="AB27" s="40">
        <f t="shared" si="11"/>
        <v>-0.69</v>
      </c>
      <c r="AC27" s="41">
        <v>5.510869907407407E-2</v>
      </c>
      <c r="AD27" s="39">
        <f t="shared" si="12"/>
        <v>-0.91260005666666655</v>
      </c>
      <c r="AE27" s="25">
        <v>-4.25</v>
      </c>
      <c r="AF27" s="25">
        <v>-2.3409225</v>
      </c>
      <c r="AG27" s="25">
        <v>-3</v>
      </c>
    </row>
    <row r="28" spans="1:33" ht="15.75" customHeight="1" x14ac:dyDescent="0.2">
      <c r="A28" s="14" t="s">
        <v>71</v>
      </c>
      <c r="B28" s="14" t="s">
        <v>926</v>
      </c>
      <c r="C28" s="15" t="str">
        <f t="shared" si="1"/>
        <v xml:space="preserve"> - </v>
      </c>
      <c r="D28" s="16">
        <v>0</v>
      </c>
      <c r="E28" s="16">
        <v>0</v>
      </c>
      <c r="F28" s="17">
        <v>0</v>
      </c>
      <c r="G28" s="17">
        <v>0</v>
      </c>
      <c r="H28" s="31" t="e">
        <f t="shared" si="2"/>
        <v>#DIV/0!</v>
      </c>
      <c r="I28" s="31" t="e">
        <f t="shared" si="3"/>
        <v>#DIV/0!</v>
      </c>
      <c r="J28" s="32">
        <f t="shared" si="4"/>
        <v>0</v>
      </c>
      <c r="K28" s="32" t="e">
        <f t="shared" si="5"/>
        <v>#DIV/0!</v>
      </c>
      <c r="L28" s="16">
        <v>0</v>
      </c>
      <c r="M28" s="33" t="str">
        <f t="shared" si="6"/>
        <v>-</v>
      </c>
      <c r="N28" s="16">
        <v>148</v>
      </c>
      <c r="O28" s="34">
        <f t="shared" ref="O28:P28" si="19">D28/7</f>
        <v>0</v>
      </c>
      <c r="P28" s="34">
        <f t="shared" si="19"/>
        <v>0</v>
      </c>
      <c r="Q28" s="29" t="e">
        <f t="shared" si="8"/>
        <v>#DIV/0!</v>
      </c>
      <c r="R28" s="29"/>
      <c r="S28" s="21">
        <v>0.64</v>
      </c>
      <c r="T28" s="28">
        <v>600</v>
      </c>
      <c r="U28" s="36" t="s">
        <v>33</v>
      </c>
      <c r="V28" s="37" t="s">
        <v>33</v>
      </c>
      <c r="W28" s="14">
        <v>0</v>
      </c>
      <c r="X28" s="38">
        <f t="shared" si="9"/>
        <v>0</v>
      </c>
      <c r="Y28" s="39">
        <f t="shared" si="10"/>
        <v>0</v>
      </c>
      <c r="Z28" s="14">
        <v>0</v>
      </c>
      <c r="AA28" s="28" t="s">
        <v>34</v>
      </c>
      <c r="AB28" s="40">
        <f t="shared" si="11"/>
        <v>-0.69</v>
      </c>
      <c r="AC28" s="41">
        <v>5.510869907407407E-2</v>
      </c>
      <c r="AD28" s="39">
        <f t="shared" si="12"/>
        <v>0</v>
      </c>
      <c r="AE28" s="25">
        <v>-4.25</v>
      </c>
      <c r="AF28" s="25">
        <v>-2.3409225</v>
      </c>
      <c r="AG28" s="25">
        <v>0</v>
      </c>
    </row>
    <row r="29" spans="1:33" ht="15.75" customHeight="1" x14ac:dyDescent="0.2">
      <c r="A29" s="28" t="s">
        <v>72</v>
      </c>
      <c r="B29" s="28" t="s">
        <v>441</v>
      </c>
      <c r="C29" s="15">
        <f t="shared" si="1"/>
        <v>7.9954999999999998</v>
      </c>
      <c r="D29" s="29">
        <v>20</v>
      </c>
      <c r="E29" s="29">
        <v>0</v>
      </c>
      <c r="F29" s="32">
        <v>159.91</v>
      </c>
      <c r="G29" s="32">
        <v>-82.03</v>
      </c>
      <c r="H29" s="31">
        <f t="shared" si="2"/>
        <v>0.51297604902757798</v>
      </c>
      <c r="I29" s="31">
        <f t="shared" si="3"/>
        <v>-0.49681664745447102</v>
      </c>
      <c r="J29" s="32">
        <f t="shared" si="4"/>
        <v>-79.445950094444456</v>
      </c>
      <c r="K29" s="32">
        <f t="shared" si="5"/>
        <v>-3.9722975047222229</v>
      </c>
      <c r="L29" s="29">
        <v>20</v>
      </c>
      <c r="M29" s="33">
        <f t="shared" si="6"/>
        <v>1</v>
      </c>
      <c r="N29" s="16">
        <v>136</v>
      </c>
      <c r="O29" s="34">
        <f t="shared" ref="O29:P29" si="20">D29/7</f>
        <v>2.8571428571428572</v>
      </c>
      <c r="P29" s="34">
        <f t="shared" si="20"/>
        <v>0</v>
      </c>
      <c r="Q29" s="29">
        <f t="shared" si="8"/>
        <v>47</v>
      </c>
      <c r="R29" s="29"/>
      <c r="S29" s="21">
        <v>0.49629629629629629</v>
      </c>
      <c r="T29" s="28">
        <v>600</v>
      </c>
      <c r="U29" s="36" t="s">
        <v>33</v>
      </c>
      <c r="V29" s="37" t="s">
        <v>33</v>
      </c>
      <c r="W29" s="14">
        <v>12</v>
      </c>
      <c r="X29" s="38">
        <f t="shared" si="9"/>
        <v>0.6</v>
      </c>
      <c r="Y29" s="39">
        <f t="shared" si="10"/>
        <v>4.5572222222222223</v>
      </c>
      <c r="Z29" s="14">
        <v>6</v>
      </c>
      <c r="AA29" s="28" t="s">
        <v>34</v>
      </c>
      <c r="AB29" s="40">
        <f t="shared" si="11"/>
        <v>-0.69</v>
      </c>
      <c r="AC29" s="41">
        <v>5.510869907407407E-2</v>
      </c>
      <c r="AD29" s="39">
        <f t="shared" si="12"/>
        <v>-1.5210000944444444</v>
      </c>
      <c r="AE29" s="39">
        <v>-4.25</v>
      </c>
      <c r="AF29" s="25">
        <v>-2.3409225</v>
      </c>
      <c r="AG29" s="39">
        <v>0</v>
      </c>
    </row>
    <row r="30" spans="1:33" ht="15.75" customHeight="1" x14ac:dyDescent="0.2">
      <c r="A30" s="14" t="s">
        <v>74</v>
      </c>
      <c r="B30" s="50" t="s">
        <v>82</v>
      </c>
      <c r="C30" s="15">
        <f t="shared" si="1"/>
        <v>7.9560000000000004</v>
      </c>
      <c r="D30" s="16">
        <v>5</v>
      </c>
      <c r="E30" s="16">
        <v>0</v>
      </c>
      <c r="F30" s="17">
        <v>39.78</v>
      </c>
      <c r="G30" s="17">
        <v>-11.39</v>
      </c>
      <c r="H30" s="31">
        <f t="shared" si="2"/>
        <v>0.28632478632478631</v>
      </c>
      <c r="I30" s="31">
        <f t="shared" si="3"/>
        <v>-0.31953171958706911</v>
      </c>
      <c r="J30" s="32">
        <f t="shared" si="4"/>
        <v>-12.710971805173608</v>
      </c>
      <c r="K30" s="32">
        <f t="shared" si="5"/>
        <v>-2.5421943610347215</v>
      </c>
      <c r="L30" s="16">
        <v>11</v>
      </c>
      <c r="M30" s="33">
        <f t="shared" si="6"/>
        <v>0.45454545454545453</v>
      </c>
      <c r="N30" s="16">
        <v>131</v>
      </c>
      <c r="O30" s="34">
        <f t="shared" ref="O30:P30" si="21">D30/7</f>
        <v>0.7142857142857143</v>
      </c>
      <c r="P30" s="34">
        <f t="shared" si="21"/>
        <v>0</v>
      </c>
      <c r="Q30" s="29">
        <f t="shared" si="8"/>
        <v>183</v>
      </c>
      <c r="R30" s="29"/>
      <c r="S30" s="21">
        <v>0.59541984732824427</v>
      </c>
      <c r="T30" s="28">
        <v>600</v>
      </c>
      <c r="U30" s="36" t="s">
        <v>33</v>
      </c>
      <c r="V30" s="37" t="s">
        <v>33</v>
      </c>
      <c r="W30" s="14">
        <v>1</v>
      </c>
      <c r="X30" s="38">
        <f t="shared" si="9"/>
        <v>0.2</v>
      </c>
      <c r="Y30" s="39">
        <f t="shared" si="10"/>
        <v>1.4237500000000001</v>
      </c>
      <c r="Z30" s="14">
        <v>7</v>
      </c>
      <c r="AA30" s="28" t="s">
        <v>34</v>
      </c>
      <c r="AB30" s="40">
        <f t="shared" si="11"/>
        <v>-0.69</v>
      </c>
      <c r="AC30" s="41">
        <v>5.510869907407407E-2</v>
      </c>
      <c r="AD30" s="39">
        <f t="shared" si="12"/>
        <v>-0.3802500236111111</v>
      </c>
      <c r="AE30" s="25">
        <v>-4.25</v>
      </c>
      <c r="AF30" s="25">
        <v>-2.3007443563124998</v>
      </c>
      <c r="AG30" s="25">
        <v>-2</v>
      </c>
    </row>
    <row r="31" spans="1:33" ht="15.75" customHeight="1" x14ac:dyDescent="0.2">
      <c r="A31" s="14" t="s">
        <v>75</v>
      </c>
      <c r="B31" s="48" t="s">
        <v>167</v>
      </c>
      <c r="C31" s="15">
        <f t="shared" si="1"/>
        <v>7.95</v>
      </c>
      <c r="D31" s="16">
        <v>2</v>
      </c>
      <c r="E31" s="16">
        <v>0</v>
      </c>
      <c r="F31" s="17">
        <v>15.9</v>
      </c>
      <c r="G31" s="42">
        <v>0</v>
      </c>
      <c r="H31" s="31">
        <f t="shared" si="2"/>
        <v>0</v>
      </c>
      <c r="I31" s="31">
        <f t="shared" si="3"/>
        <v>1.6440960876135568E-2</v>
      </c>
      <c r="J31" s="32">
        <f t="shared" si="4"/>
        <v>0.26141127793055552</v>
      </c>
      <c r="K31" s="32">
        <f t="shared" si="5"/>
        <v>0.13070563896527776</v>
      </c>
      <c r="L31" s="16">
        <v>8</v>
      </c>
      <c r="M31" s="33">
        <f t="shared" si="6"/>
        <v>0.25</v>
      </c>
      <c r="N31" s="16">
        <v>127</v>
      </c>
      <c r="O31" s="34">
        <f t="shared" ref="O31:P32" si="22">D31/7</f>
        <v>0.2857142857142857</v>
      </c>
      <c r="P31" s="34">
        <f t="shared" si="22"/>
        <v>0</v>
      </c>
      <c r="Q31" s="29">
        <f t="shared" si="8"/>
        <v>444</v>
      </c>
      <c r="R31" s="29"/>
      <c r="S31" s="21">
        <v>0.67479674796747902</v>
      </c>
      <c r="T31" s="14" t="s">
        <v>33</v>
      </c>
      <c r="U31" s="22" t="s">
        <v>33</v>
      </c>
      <c r="V31" s="1" t="s">
        <v>936</v>
      </c>
      <c r="W31" s="14">
        <v>0</v>
      </c>
      <c r="X31" s="38">
        <f t="shared" si="9"/>
        <v>0</v>
      </c>
      <c r="Y31" s="39">
        <f t="shared" si="10"/>
        <v>0</v>
      </c>
      <c r="Z31" s="14">
        <v>0</v>
      </c>
      <c r="AA31" s="14" t="s">
        <v>34</v>
      </c>
      <c r="AB31" s="40">
        <f t="shared" si="11"/>
        <v>-0.69</v>
      </c>
      <c r="AC31" s="27">
        <v>5.510869907407407E-2</v>
      </c>
      <c r="AD31" s="39">
        <f t="shared" si="12"/>
        <v>-0.15210000944444443</v>
      </c>
      <c r="AE31" s="43">
        <v>-4.25</v>
      </c>
      <c r="AF31" s="43">
        <v>-2.3007443563125003</v>
      </c>
      <c r="AG31" s="25">
        <v>0</v>
      </c>
    </row>
    <row r="32" spans="1:33" s="51" customFormat="1" ht="15.75" customHeight="1" x14ac:dyDescent="0.2">
      <c r="A32" s="51" t="s">
        <v>934</v>
      </c>
      <c r="C32" s="15">
        <f t="shared" si="1"/>
        <v>7.95</v>
      </c>
      <c r="D32" s="52">
        <v>8</v>
      </c>
      <c r="E32" s="52">
        <v>0</v>
      </c>
      <c r="F32" s="53">
        <v>63.6</v>
      </c>
      <c r="G32" s="53">
        <v>-22.98</v>
      </c>
      <c r="H32" s="31">
        <f t="shared" si="2"/>
        <v>0.36132075471698111</v>
      </c>
      <c r="I32" s="31">
        <f t="shared" si="3"/>
        <v>-0.34487979384084549</v>
      </c>
      <c r="J32" s="32">
        <f t="shared" si="4"/>
        <v>-21.934354888277774</v>
      </c>
      <c r="K32" s="32">
        <f t="shared" si="5"/>
        <v>-2.7417943610347217</v>
      </c>
      <c r="L32" s="52">
        <v>10</v>
      </c>
      <c r="M32" s="33">
        <f t="shared" si="6"/>
        <v>0.8</v>
      </c>
      <c r="N32" s="52">
        <v>120</v>
      </c>
      <c r="O32" s="34">
        <f t="shared" si="22"/>
        <v>1.1428571428571428</v>
      </c>
      <c r="P32" s="34">
        <f t="shared" si="22"/>
        <v>0</v>
      </c>
      <c r="Q32" s="29">
        <f t="shared" si="8"/>
        <v>105</v>
      </c>
      <c r="R32" s="29" t="str">
        <f ca="1">IFERROR(VLOOKUP($B$2,IMPORTRANGE("https://docs.google.com/spreadsheets/d/1KiWZV1ko8G7lnRucBRBd29jj3Be6ltMfljMDqzOkQmI/edit#gid=1381463014","Lookup!A:F"),6,FALSE),"")</f>
        <v/>
      </c>
      <c r="S32" s="54">
        <v>0.7526427061310782</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4</v>
      </c>
      <c r="X32" s="38">
        <f t="shared" si="9"/>
        <v>0.5</v>
      </c>
      <c r="Y32" s="39">
        <f t="shared" si="10"/>
        <v>3.2828571428571429</v>
      </c>
      <c r="Z32" s="51">
        <v>3</v>
      </c>
      <c r="AA32" s="51" t="s">
        <v>34</v>
      </c>
      <c r="AB32" s="40">
        <f t="shared" si="11"/>
        <v>-0.69</v>
      </c>
      <c r="AC32" s="57">
        <v>5.510869907407407E-2</v>
      </c>
      <c r="AD32" s="39">
        <f t="shared" si="12"/>
        <v>-0.60840003777777774</v>
      </c>
      <c r="AE32" s="58">
        <v>-4.25</v>
      </c>
      <c r="AF32" s="58">
        <v>-2.3007443563124998</v>
      </c>
      <c r="AG32" s="58">
        <v>0</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G1000"/>
  <sheetViews>
    <sheetView tabSelected="1" workbookViewId="0">
      <pane xSplit="2" ySplit="3" topLeftCell="C4" activePane="bottomRight" state="frozen"/>
      <selection activeCell="T1" sqref="T1:T2"/>
      <selection pane="topRight" activeCell="T1" sqref="T1:T2"/>
      <selection pane="bottomLeft" activeCell="T1" sqref="T1:T2"/>
      <selection pane="bottomRight" activeCell="T1" sqref="T1:T2"/>
    </sheetView>
  </sheetViews>
  <sheetFormatPr baseColWidth="10" defaultColWidth="14.5" defaultRowHeight="15" customHeight="1" x14ac:dyDescent="0.2"/>
  <cols>
    <col min="1" max="1" width="15.33203125" customWidth="1"/>
    <col min="2" max="2" width="23.5" customWidth="1"/>
    <col min="3" max="3" width="9.1640625" customWidth="1"/>
    <col min="4" max="4" width="6.5" customWidth="1"/>
    <col min="5" max="5" width="10.5" customWidth="1"/>
    <col min="6" max="6" width="10.33203125" customWidth="1"/>
    <col min="7" max="7" width="11.5" customWidth="1"/>
    <col min="8" max="8" width="10.33203125" customWidth="1"/>
    <col min="9" max="10" width="13.5" customWidth="1"/>
    <col min="11" max="12" width="10" customWidth="1"/>
    <col min="13" max="13" width="11" customWidth="1"/>
    <col min="14" max="14" width="5.5" customWidth="1"/>
    <col min="15" max="15" width="11" customWidth="1"/>
    <col min="16" max="16" width="9.5" customWidth="1"/>
    <col min="17" max="17" width="8.5" customWidth="1"/>
    <col min="18" max="18" width="8.5" style="48" customWidth="1"/>
    <col min="19" max="19" width="8.33203125" customWidth="1"/>
    <col min="20" max="20" width="12.83203125" customWidth="1"/>
    <col min="21" max="21" width="15.5" customWidth="1"/>
    <col min="22" max="22" width="17.1640625" customWidth="1"/>
    <col min="23" max="23" width="8.83203125" customWidth="1"/>
    <col min="24" max="24" width="8.6640625" customWidth="1"/>
    <col min="25" max="25" width="9.33203125" customWidth="1"/>
    <col min="26" max="26" width="12.83203125" customWidth="1"/>
    <col min="27" max="27" width="17.5" customWidth="1"/>
    <col min="28" max="28" width="11.1640625" customWidth="1"/>
    <col min="29" max="29" width="8.1640625" customWidth="1"/>
    <col min="30" max="30" width="12.5" customWidth="1"/>
    <col min="31" max="31" width="8.1640625" customWidth="1"/>
    <col min="32" max="32" width="11.5" customWidth="1"/>
    <col min="33" max="33" width="10.1640625" customWidth="1"/>
  </cols>
  <sheetData>
    <row r="1" spans="1:33" ht="18.75" customHeight="1" x14ac:dyDescent="0.2">
      <c r="A1" s="78" t="str">
        <f ca="1">IFERROR(__xludf.DUMMYFUNCTION("IFERROR(VLOOKUP(B2,IMPORTRANGE(""https://docs.google.com/spreadsheets/d/1x0DhHglkXKoEBOD2MBsuK_EyIr1ouxD2ftIpqOYFa-k/edit?usp=sharing"",""Ubiquitty-SKU-Specific Info!B1:BJ5000""),3,FALSE),"""")"),"10 Ft Power Cords for TV Computer or Monitor, 2 Pack - 18/3 Right Angle Replacement Power Cables, Black")</f>
        <v>10 Ft Power Cords for TV Computer or Monitor, 2 Pack - 18/3 Right Angle Replacement Power Cables, Black</v>
      </c>
      <c r="B1" s="61"/>
      <c r="C1" s="79" t="s">
        <v>0</v>
      </c>
      <c r="D1" s="65" t="s">
        <v>1</v>
      </c>
      <c r="E1" s="65" t="s">
        <v>2</v>
      </c>
      <c r="F1" s="74" t="s">
        <v>3</v>
      </c>
      <c r="G1" s="74" t="s">
        <v>4</v>
      </c>
      <c r="H1" s="75" t="s">
        <v>5</v>
      </c>
      <c r="I1" s="67" t="s">
        <v>6</v>
      </c>
      <c r="J1" s="67" t="s">
        <v>7</v>
      </c>
      <c r="K1" s="67" t="s">
        <v>8</v>
      </c>
      <c r="L1" s="67" t="s">
        <v>9</v>
      </c>
      <c r="M1" s="72" t="s">
        <v>10</v>
      </c>
      <c r="N1" s="73" t="s">
        <v>11</v>
      </c>
      <c r="O1" s="65" t="s">
        <v>12</v>
      </c>
      <c r="P1" s="65" t="s">
        <v>13</v>
      </c>
      <c r="Q1" s="67" t="s">
        <v>14</v>
      </c>
      <c r="R1" s="67" t="s">
        <v>933</v>
      </c>
      <c r="S1" s="69" t="s">
        <v>15</v>
      </c>
      <c r="T1" s="59" t="s">
        <v>967</v>
      </c>
      <c r="U1" s="59" t="s">
        <v>16</v>
      </c>
      <c r="V1" s="59" t="s">
        <v>17</v>
      </c>
      <c r="W1" s="59" t="s">
        <v>18</v>
      </c>
      <c r="X1" s="59" t="s">
        <v>19</v>
      </c>
      <c r="Y1" s="59" t="s">
        <v>20</v>
      </c>
      <c r="Z1" s="59" t="s">
        <v>21</v>
      </c>
      <c r="AA1" s="59" t="s">
        <v>22</v>
      </c>
      <c r="AB1" s="59" t="s">
        <v>23</v>
      </c>
      <c r="AC1" s="59" t="s">
        <v>24</v>
      </c>
      <c r="AD1" s="64" t="s">
        <v>25</v>
      </c>
      <c r="AE1" s="62" t="s">
        <v>26</v>
      </c>
      <c r="AF1" s="63" t="s">
        <v>27</v>
      </c>
      <c r="AG1" s="62" t="s">
        <v>28</v>
      </c>
    </row>
    <row r="2" spans="1:33" ht="15.75" customHeight="1" x14ac:dyDescent="0.2">
      <c r="A2" s="2" t="str">
        <f ca="1">IFERROR(__xludf.DUMMYFUNCTION("IFERROR(VLOOKUP(B2,IMPORTRANGE(""https://docs.google.com/spreadsheets/d/1x0DhHglkXKoEBOD2MBsuK_EyIr1ouxD2ftIpqOYFa-k/edit?usp=sharing"",""Ubiquitty-SKU-Specific Info!B1:BJ5000""),2,FALSE),"""")"),"B08NLX6GCC")</f>
        <v>B08NLX6GCC</v>
      </c>
      <c r="B2" s="3" t="s">
        <v>927</v>
      </c>
      <c r="C2" s="68"/>
      <c r="D2" s="68"/>
      <c r="E2" s="66"/>
      <c r="F2" s="68"/>
      <c r="G2" s="68"/>
      <c r="H2" s="71"/>
      <c r="I2" s="68"/>
      <c r="J2" s="68"/>
      <c r="K2" s="71"/>
      <c r="L2" s="71"/>
      <c r="M2" s="71"/>
      <c r="N2" s="68"/>
      <c r="O2" s="68"/>
      <c r="P2" s="66"/>
      <c r="Q2" s="68"/>
      <c r="R2" s="68"/>
      <c r="S2" s="70"/>
      <c r="T2" s="61"/>
      <c r="U2" s="60"/>
      <c r="V2" s="60"/>
      <c r="W2" s="61"/>
      <c r="X2" s="61"/>
      <c r="Y2" s="61"/>
      <c r="Z2" s="61"/>
      <c r="AA2" s="60"/>
      <c r="AB2" s="60"/>
      <c r="AC2" s="60"/>
      <c r="AD2" s="60"/>
      <c r="AE2" s="61"/>
      <c r="AF2" s="61"/>
      <c r="AG2" s="61"/>
    </row>
    <row r="3" spans="1:33" ht="82.5" customHeight="1" x14ac:dyDescent="0.2">
      <c r="A3" s="76" t="s">
        <v>30</v>
      </c>
      <c r="B3" s="77"/>
      <c r="C3" s="47">
        <f>((AE32+AF32)/0.85)*-1</f>
        <v>9.4617821759823535</v>
      </c>
      <c r="D3" s="5">
        <f>SUM(D4:D99765)</f>
        <v>128</v>
      </c>
      <c r="E3" s="5"/>
      <c r="F3" s="6">
        <f t="shared" ref="F3:G3" si="0">SUM(F4:F99765)</f>
        <v>1388.1699999999998</v>
      </c>
      <c r="G3" s="6">
        <f t="shared" si="0"/>
        <v>-432.54999999999995</v>
      </c>
      <c r="H3" s="7">
        <f>G3/F3*-1</f>
        <v>0.31159728275355325</v>
      </c>
      <c r="I3" s="8">
        <f>J3/F3</f>
        <v>-0.22991178029320505</v>
      </c>
      <c r="J3" s="6">
        <f>SUM(J4:J99765)</f>
        <v>-319.15663604961844</v>
      </c>
      <c r="K3" s="6">
        <f>J3/D3</f>
        <v>-2.4934112191376441</v>
      </c>
      <c r="L3" s="5"/>
      <c r="M3" s="9"/>
      <c r="N3" s="10"/>
      <c r="O3" s="5" t="str">
        <f ca="1">IFERROR(__xludf.DUMMYFUNCTION("VLOOKUP(B2,IMPORTRANGE(""https://docs.google.com/spreadsheets/d/1N8jvpEHDVkurDv7NrPxwI3eH6hQsvtb1QltGNCalRjU/edit#gid=865736387"",""Compiled Sheet!a1:g5000""),2,FALSE)")," - March
 - April
 - May
 - June
 - July
 - Aug
 - Sept
 - Oct
 - Nov
 - Dec
 - Jan
 - Feb")</f>
        <v xml:space="preserve"> - March
 - April
 - May
 - June
 - July
 - Aug
 - Sept
 - Oct
 - Nov
 - Dec
 - Jan
 - Feb</v>
      </c>
      <c r="P3" s="5"/>
      <c r="Q3" s="11"/>
      <c r="R3" s="11"/>
      <c r="S3" s="12"/>
      <c r="T3" s="13" t="str">
        <f ca="1">IFERROR(__xludf.DUMMYFUNCTION("CONCATENATE(""Del QTY"", ""-"",iferror(VLOOKUP($B$2,IMPORTRANGE(""https://docs.google.com/spreadsheets/d/1_esbIR7_dYaLQXq3pOe98A6enPdKY7UPO5aCcj2tn1I/edit#gid=973934429"",""Inventory Input!A1:AD5000""),2,FALSE),""""))"),"Del QTY-")</f>
        <v>Del QTY-</v>
      </c>
      <c r="U3" s="13" t="str">
        <f ca="1">IFERROR(__xludf.DUMMYFUNCTION("CONCATENATE(""US QTY"", ""-"",iferror(VLOOKUP($B$2,IMPORTRANGE(""https://docs.google.com/spreadsheets/d/11afDUGgwIurytGWIAj1e7JPdtkZEoccxCski0CJdjqQ/edit#gid=1950799886"",""US Storage!a1:AD5000""),2,FALSE),""""))"),"US QTY-")</f>
        <v>US QTY-</v>
      </c>
      <c r="V3" s="13" t="str">
        <f ca="1">IFERROR(__xludf.DUMMYFUNCTION("CONCATENATE(""In Transit"", ""-"",IFERROR(VLOOKUP($B$2,IMPORTRANGE(""https://docs.google.com/spreadsheets/d/11afDUGgwIurytGWIAj1e7JPdtkZEoccxCski0CJdjqQ/edit#gid=1950799886"",""US Storage!a1:AD5000""),3,FALSE),""""))"),"In Transit-")</f>
        <v>In Transit-</v>
      </c>
      <c r="W3" s="5">
        <f>SUM(W4:W99765)</f>
        <v>48</v>
      </c>
      <c r="X3" s="7">
        <f>W3/D3</f>
        <v>0.375</v>
      </c>
      <c r="Y3" s="6"/>
      <c r="Z3" s="5"/>
      <c r="AA3" s="5"/>
      <c r="AB3" s="5"/>
      <c r="AC3" s="5"/>
      <c r="AD3" s="6">
        <f>SUM(AD4:AD99765)</f>
        <v>-10.218780208333332</v>
      </c>
      <c r="AE3" s="4"/>
      <c r="AF3" s="6">
        <f ca="1">IFERROR(__xludf.DUMMYFUNCTION("IFERROR(IFERROR(IFERROR(VLOOKUP($B$2,IMPORTRANGE(""https://docs.google.com/spreadsheets/d/1x0DhHglkXKoEBOD2MBsuK_EyIr1ouxD2ftIpqOYFa-k/edit#gid=2093395059"",""Ubiquitty-SKU-Specific Info!B2:BZ7000""),51,FALSE),VLOOKUP($B$2,IMPORTRANGE(""https://docs.googl"&amp;"e.com/spreadsheets/d/1x0DhHglkXKoEBOD2MBsuK_EyIr1ouxD2ftIpqOYFa-k/edit#gid=2093395059"",""OllieShops-SKU-Specific Info!B2:BZ7000""),36,FALSE)),VLOOKUP($B$2,IMPORTRANGE(""https://docs.google.com/spreadsheets/d/1x0DhHglkXKoEBOD2MBsuK_EyIr1ouxD2ftIpqOYFa-k/e"&amp;"dit#gid=2093395059"",""SecondStar-SKU-Specific Info!B2:BZ7000""),37,FALSE)),"""")*-1"),-3.092514849585)</f>
        <v>-3.0925148495850001</v>
      </c>
      <c r="AG3" s="6">
        <f>SUM(AG4:AG99765)</f>
        <v>-17</v>
      </c>
    </row>
    <row r="4" spans="1:33" ht="15.75" hidden="1" customHeight="1" x14ac:dyDescent="0.2">
      <c r="A4" s="14"/>
      <c r="B4" s="14"/>
      <c r="C4" s="15"/>
      <c r="D4" s="16"/>
      <c r="E4" s="16"/>
      <c r="F4" s="17"/>
      <c r="G4" s="17"/>
      <c r="H4" s="18"/>
      <c r="I4" s="18"/>
      <c r="J4" s="17"/>
      <c r="K4" s="17"/>
      <c r="L4" s="16"/>
      <c r="M4" s="19"/>
      <c r="N4" s="16"/>
      <c r="O4" s="20"/>
      <c r="P4" s="20"/>
      <c r="Q4" s="16"/>
      <c r="R4" s="16"/>
      <c r="S4" s="21"/>
      <c r="T4" s="14"/>
      <c r="U4" s="22"/>
      <c r="V4" s="23"/>
      <c r="W4" s="14"/>
      <c r="X4" s="24"/>
      <c r="Y4" s="25"/>
      <c r="Z4" s="14"/>
      <c r="AA4" s="2"/>
      <c r="AB4" s="26"/>
      <c r="AC4" s="27"/>
      <c r="AD4" s="25"/>
      <c r="AE4" s="25"/>
      <c r="AF4" s="25"/>
      <c r="AG4" s="25"/>
    </row>
    <row r="5" spans="1:33" ht="15.75" hidden="1" customHeight="1" x14ac:dyDescent="0.2">
      <c r="A5" s="28"/>
      <c r="B5" s="28"/>
      <c r="C5" s="15"/>
      <c r="D5" s="29"/>
      <c r="E5" s="29"/>
      <c r="F5" s="30"/>
      <c r="G5" s="30"/>
      <c r="H5" s="31"/>
      <c r="I5" s="31"/>
      <c r="J5" s="32"/>
      <c r="K5" s="32"/>
      <c r="L5" s="29"/>
      <c r="M5" s="33"/>
      <c r="N5" s="29"/>
      <c r="O5" s="34"/>
      <c r="P5" s="34"/>
      <c r="Q5" s="29"/>
      <c r="R5" s="29"/>
      <c r="S5" s="35"/>
      <c r="T5" s="28"/>
      <c r="U5" s="36"/>
      <c r="V5" s="37"/>
      <c r="W5" s="28"/>
      <c r="X5" s="38"/>
      <c r="Y5" s="39"/>
      <c r="Z5" s="28"/>
      <c r="AA5" s="28"/>
      <c r="AB5" s="40"/>
      <c r="AC5" s="41"/>
      <c r="AD5" s="39"/>
      <c r="AE5" s="39"/>
      <c r="AF5" s="39"/>
      <c r="AG5" s="39"/>
    </row>
    <row r="6" spans="1:33" ht="15.75" hidden="1" customHeight="1" x14ac:dyDescent="0.2">
      <c r="A6" s="28"/>
      <c r="B6" s="28"/>
      <c r="C6" s="15"/>
      <c r="D6" s="29"/>
      <c r="E6" s="29"/>
      <c r="F6" s="30"/>
      <c r="G6" s="30"/>
      <c r="H6" s="31"/>
      <c r="I6" s="31"/>
      <c r="J6" s="32"/>
      <c r="K6" s="32"/>
      <c r="L6" s="29"/>
      <c r="M6" s="33"/>
      <c r="N6" s="29"/>
      <c r="O6" s="34"/>
      <c r="P6" s="34"/>
      <c r="Q6" s="29"/>
      <c r="R6" s="29"/>
      <c r="S6" s="35"/>
      <c r="T6" s="28"/>
      <c r="U6" s="36"/>
      <c r="V6" s="37"/>
      <c r="W6" s="28"/>
      <c r="X6" s="38"/>
      <c r="Y6" s="39"/>
      <c r="Z6" s="28"/>
      <c r="AA6" s="28"/>
      <c r="AB6" s="40"/>
      <c r="AC6" s="41"/>
      <c r="AD6" s="39"/>
      <c r="AE6" s="39"/>
      <c r="AF6" s="39"/>
      <c r="AG6" s="39"/>
    </row>
    <row r="7" spans="1:33" ht="15.75" hidden="1" customHeight="1" x14ac:dyDescent="0.2">
      <c r="A7" s="28"/>
      <c r="B7" s="28"/>
      <c r="C7" s="15"/>
      <c r="D7" s="29"/>
      <c r="E7" s="29"/>
      <c r="F7" s="30"/>
      <c r="G7" s="30"/>
      <c r="H7" s="31"/>
      <c r="I7" s="31"/>
      <c r="J7" s="32"/>
      <c r="K7" s="32"/>
      <c r="L7" s="29"/>
      <c r="M7" s="33"/>
      <c r="N7" s="29"/>
      <c r="O7" s="34"/>
      <c r="P7" s="34"/>
      <c r="Q7" s="29"/>
      <c r="R7" s="29"/>
      <c r="S7" s="35"/>
      <c r="T7" s="28"/>
      <c r="U7" s="36"/>
      <c r="V7" s="37"/>
      <c r="W7" s="28"/>
      <c r="X7" s="38"/>
      <c r="Y7" s="39"/>
      <c r="Z7" s="28"/>
      <c r="AA7" s="28"/>
      <c r="AB7" s="40"/>
      <c r="AC7" s="41"/>
      <c r="AD7" s="39"/>
      <c r="AE7" s="39"/>
      <c r="AF7" s="39"/>
      <c r="AG7" s="39"/>
    </row>
    <row r="8" spans="1:33" ht="15.75" hidden="1" customHeight="1" x14ac:dyDescent="0.2">
      <c r="A8" s="28"/>
      <c r="B8" s="28"/>
      <c r="C8" s="15"/>
      <c r="D8" s="29"/>
      <c r="E8" s="29"/>
      <c r="F8" s="30"/>
      <c r="G8" s="30"/>
      <c r="H8" s="31"/>
      <c r="I8" s="31"/>
      <c r="J8" s="32"/>
      <c r="K8" s="32"/>
      <c r="L8" s="29"/>
      <c r="M8" s="33"/>
      <c r="N8" s="29"/>
      <c r="O8" s="34"/>
      <c r="P8" s="34"/>
      <c r="Q8" s="29"/>
      <c r="R8" s="29"/>
      <c r="S8" s="35"/>
      <c r="T8" s="28"/>
      <c r="U8" s="36"/>
      <c r="V8" s="37"/>
      <c r="W8" s="28"/>
      <c r="X8" s="38"/>
      <c r="Y8" s="39"/>
      <c r="Z8" s="28"/>
      <c r="AA8" s="28"/>
      <c r="AB8" s="40"/>
      <c r="AC8" s="41"/>
      <c r="AD8" s="39"/>
      <c r="AE8" s="39"/>
      <c r="AF8" s="39"/>
      <c r="AG8" s="39"/>
    </row>
    <row r="9" spans="1:33" ht="15.75" hidden="1" customHeight="1" x14ac:dyDescent="0.2">
      <c r="A9" s="28"/>
      <c r="B9" s="28"/>
      <c r="C9" s="15"/>
      <c r="D9" s="29"/>
      <c r="E9" s="29"/>
      <c r="F9" s="30"/>
      <c r="G9" s="30"/>
      <c r="H9" s="31"/>
      <c r="I9" s="31"/>
      <c r="J9" s="32"/>
      <c r="K9" s="32"/>
      <c r="L9" s="29"/>
      <c r="M9" s="33"/>
      <c r="N9" s="29"/>
      <c r="O9" s="34"/>
      <c r="P9" s="34"/>
      <c r="Q9" s="29"/>
      <c r="R9" s="29"/>
      <c r="S9" s="35"/>
      <c r="T9" s="28"/>
      <c r="U9" s="36"/>
      <c r="V9" s="37"/>
      <c r="W9" s="28"/>
      <c r="X9" s="38"/>
      <c r="Y9" s="39"/>
      <c r="Z9" s="28"/>
      <c r="AA9" s="28"/>
      <c r="AB9" s="40"/>
      <c r="AC9" s="41"/>
      <c r="AD9" s="39"/>
      <c r="AE9" s="39"/>
      <c r="AF9" s="39"/>
      <c r="AG9" s="39"/>
    </row>
    <row r="10" spans="1:33" ht="15.75" hidden="1" customHeight="1" x14ac:dyDescent="0.2">
      <c r="A10" s="28"/>
      <c r="B10" s="28"/>
      <c r="C10" s="15"/>
      <c r="D10" s="29"/>
      <c r="E10" s="29"/>
      <c r="F10" s="30"/>
      <c r="G10" s="30"/>
      <c r="H10" s="31"/>
      <c r="I10" s="31"/>
      <c r="J10" s="32"/>
      <c r="K10" s="32"/>
      <c r="L10" s="29"/>
      <c r="M10" s="33"/>
      <c r="N10" s="29"/>
      <c r="O10" s="34"/>
      <c r="P10" s="34"/>
      <c r="Q10" s="29"/>
      <c r="R10" s="29"/>
      <c r="S10" s="35"/>
      <c r="T10" s="28"/>
      <c r="U10" s="36"/>
      <c r="V10" s="37"/>
      <c r="W10" s="28"/>
      <c r="X10" s="38"/>
      <c r="Y10" s="39"/>
      <c r="Z10" s="28"/>
      <c r="AA10" s="28"/>
      <c r="AB10" s="40"/>
      <c r="AC10" s="41"/>
      <c r="AD10" s="39"/>
      <c r="AE10" s="39"/>
      <c r="AF10" s="39"/>
      <c r="AG10" s="39"/>
    </row>
    <row r="11" spans="1:33" ht="15.75" hidden="1" customHeight="1" x14ac:dyDescent="0.2">
      <c r="A11" s="28"/>
      <c r="B11" s="28"/>
      <c r="C11" s="15"/>
      <c r="D11" s="29"/>
      <c r="E11" s="29"/>
      <c r="F11" s="30"/>
      <c r="G11" s="30"/>
      <c r="H11" s="31"/>
      <c r="I11" s="31"/>
      <c r="J11" s="32"/>
      <c r="K11" s="32"/>
      <c r="L11" s="29"/>
      <c r="M11" s="33"/>
      <c r="N11" s="29"/>
      <c r="O11" s="34"/>
      <c r="P11" s="34"/>
      <c r="Q11" s="29"/>
      <c r="R11" s="29"/>
      <c r="S11" s="35"/>
      <c r="T11" s="28"/>
      <c r="U11" s="36"/>
      <c r="V11" s="37"/>
      <c r="W11" s="28"/>
      <c r="X11" s="38"/>
      <c r="Y11" s="39"/>
      <c r="Z11" s="28"/>
      <c r="AA11" s="28"/>
      <c r="AB11" s="40"/>
      <c r="AC11" s="41"/>
      <c r="AD11" s="39"/>
      <c r="AE11" s="39"/>
      <c r="AF11" s="39"/>
      <c r="AG11" s="39"/>
    </row>
    <row r="12" spans="1:33" ht="15.75" hidden="1" customHeight="1" x14ac:dyDescent="0.2">
      <c r="A12" s="28"/>
      <c r="B12" s="28"/>
      <c r="C12" s="15"/>
      <c r="D12" s="29"/>
      <c r="E12" s="29"/>
      <c r="F12" s="30"/>
      <c r="G12" s="30"/>
      <c r="H12" s="31"/>
      <c r="I12" s="31"/>
      <c r="J12" s="32"/>
      <c r="K12" s="32"/>
      <c r="L12" s="29"/>
      <c r="M12" s="33"/>
      <c r="N12" s="29"/>
      <c r="O12" s="34"/>
      <c r="P12" s="34"/>
      <c r="Q12" s="29"/>
      <c r="R12" s="29"/>
      <c r="S12" s="35"/>
      <c r="T12" s="28"/>
      <c r="U12" s="36"/>
      <c r="V12" s="37"/>
      <c r="W12" s="28"/>
      <c r="X12" s="38"/>
      <c r="Y12" s="39"/>
      <c r="Z12" s="28"/>
      <c r="AA12" s="28"/>
      <c r="AB12" s="40"/>
      <c r="AC12" s="41"/>
      <c r="AD12" s="39"/>
      <c r="AE12" s="39"/>
      <c r="AF12" s="39"/>
      <c r="AG12" s="39"/>
    </row>
    <row r="13" spans="1:33" ht="15.75" hidden="1" customHeight="1" x14ac:dyDescent="0.2">
      <c r="A13" s="28"/>
      <c r="B13" s="28"/>
      <c r="C13" s="15"/>
      <c r="D13" s="29"/>
      <c r="E13" s="29"/>
      <c r="F13" s="32"/>
      <c r="G13" s="30"/>
      <c r="H13" s="31"/>
      <c r="I13" s="31"/>
      <c r="J13" s="32"/>
      <c r="K13" s="32"/>
      <c r="L13" s="29"/>
      <c r="M13" s="33"/>
      <c r="N13" s="29"/>
      <c r="O13" s="34"/>
      <c r="P13" s="34"/>
      <c r="Q13" s="29"/>
      <c r="R13" s="29"/>
      <c r="S13" s="35"/>
      <c r="T13" s="28"/>
      <c r="U13" s="36"/>
      <c r="V13" s="37"/>
      <c r="W13" s="28"/>
      <c r="X13" s="38"/>
      <c r="Y13" s="39"/>
      <c r="Z13" s="28"/>
      <c r="AA13" s="28"/>
      <c r="AB13" s="40"/>
      <c r="AC13" s="41"/>
      <c r="AD13" s="39"/>
      <c r="AE13" s="39"/>
      <c r="AF13" s="39"/>
      <c r="AG13" s="39"/>
    </row>
    <row r="14" spans="1:33" ht="15.75" hidden="1" customHeight="1" x14ac:dyDescent="0.2">
      <c r="A14" s="28"/>
      <c r="B14" s="28"/>
      <c r="C14" s="15"/>
      <c r="D14" s="29"/>
      <c r="E14" s="29"/>
      <c r="F14" s="32"/>
      <c r="G14" s="30"/>
      <c r="H14" s="31"/>
      <c r="I14" s="31"/>
      <c r="J14" s="32"/>
      <c r="K14" s="32"/>
      <c r="L14" s="29"/>
      <c r="M14" s="33"/>
      <c r="N14" s="29"/>
      <c r="O14" s="34"/>
      <c r="P14" s="34"/>
      <c r="Q14" s="29"/>
      <c r="R14" s="29"/>
      <c r="S14" s="35"/>
      <c r="T14" s="28"/>
      <c r="U14" s="36"/>
      <c r="V14" s="37"/>
      <c r="W14" s="28"/>
      <c r="X14" s="38"/>
      <c r="Y14" s="39"/>
      <c r="Z14" s="28"/>
      <c r="AA14" s="28"/>
      <c r="AB14" s="40"/>
      <c r="AC14" s="41"/>
      <c r="AD14" s="39"/>
      <c r="AE14" s="39"/>
      <c r="AF14" s="39"/>
      <c r="AG14" s="39"/>
    </row>
    <row r="15" spans="1:33" ht="15.75" hidden="1" customHeight="1" x14ac:dyDescent="0.2">
      <c r="A15" s="28"/>
      <c r="B15" s="28"/>
      <c r="C15" s="15"/>
      <c r="D15" s="29"/>
      <c r="E15" s="29"/>
      <c r="F15" s="32"/>
      <c r="G15" s="30"/>
      <c r="H15" s="31"/>
      <c r="I15" s="31"/>
      <c r="J15" s="32"/>
      <c r="K15" s="32"/>
      <c r="L15" s="29"/>
      <c r="M15" s="33"/>
      <c r="N15" s="29"/>
      <c r="O15" s="34"/>
      <c r="P15" s="34"/>
      <c r="Q15" s="29"/>
      <c r="R15" s="29"/>
      <c r="S15" s="35"/>
      <c r="T15" s="28"/>
      <c r="U15" s="36"/>
      <c r="V15" s="37"/>
      <c r="W15" s="28"/>
      <c r="X15" s="38"/>
      <c r="Y15" s="39"/>
      <c r="Z15" s="28"/>
      <c r="AA15" s="28"/>
      <c r="AB15" s="40"/>
      <c r="AC15" s="41"/>
      <c r="AD15" s="39"/>
      <c r="AE15" s="39"/>
      <c r="AF15" s="39"/>
      <c r="AG15" s="39"/>
    </row>
    <row r="16" spans="1:33" ht="15.75" hidden="1" customHeight="1" x14ac:dyDescent="0.2">
      <c r="A16" s="28"/>
      <c r="B16" s="28"/>
      <c r="C16" s="15"/>
      <c r="D16" s="29"/>
      <c r="E16" s="29"/>
      <c r="F16" s="32"/>
      <c r="G16" s="30"/>
      <c r="H16" s="31"/>
      <c r="I16" s="31"/>
      <c r="J16" s="32"/>
      <c r="K16" s="32"/>
      <c r="L16" s="29"/>
      <c r="M16" s="33"/>
      <c r="N16" s="29"/>
      <c r="O16" s="34"/>
      <c r="P16" s="34"/>
      <c r="Q16" s="29"/>
      <c r="R16" s="29"/>
      <c r="S16" s="35"/>
      <c r="T16" s="28"/>
      <c r="U16" s="36"/>
      <c r="V16" s="37"/>
      <c r="W16" s="28"/>
      <c r="X16" s="38"/>
      <c r="Y16" s="39"/>
      <c r="Z16" s="28"/>
      <c r="AA16" s="28"/>
      <c r="AB16" s="40"/>
      <c r="AC16" s="41"/>
      <c r="AD16" s="39"/>
      <c r="AE16" s="39"/>
      <c r="AF16" s="39"/>
      <c r="AG16" s="39"/>
    </row>
    <row r="17" spans="1:33" ht="15.75" hidden="1" customHeight="1" x14ac:dyDescent="0.2">
      <c r="A17" s="28"/>
      <c r="B17" s="28"/>
      <c r="C17" s="15"/>
      <c r="D17" s="29"/>
      <c r="E17" s="29"/>
      <c r="F17" s="32"/>
      <c r="G17" s="30"/>
      <c r="H17" s="31"/>
      <c r="I17" s="31"/>
      <c r="J17" s="32"/>
      <c r="K17" s="32"/>
      <c r="L17" s="29"/>
      <c r="M17" s="33"/>
      <c r="N17" s="29"/>
      <c r="O17" s="34"/>
      <c r="P17" s="34"/>
      <c r="Q17" s="29"/>
      <c r="R17" s="29"/>
      <c r="S17" s="35"/>
      <c r="T17" s="28"/>
      <c r="U17" s="36"/>
      <c r="V17" s="37"/>
      <c r="W17" s="28"/>
      <c r="X17" s="38"/>
      <c r="Y17" s="39"/>
      <c r="Z17" s="28"/>
      <c r="AA17" s="28"/>
      <c r="AB17" s="40"/>
      <c r="AC17" s="41"/>
      <c r="AD17" s="39"/>
      <c r="AE17" s="39"/>
      <c r="AF17" s="39"/>
      <c r="AG17" s="39"/>
    </row>
    <row r="18" spans="1:33" ht="15.75" hidden="1" customHeight="1" x14ac:dyDescent="0.2">
      <c r="A18" s="28"/>
      <c r="B18" s="28"/>
      <c r="C18" s="15"/>
      <c r="D18" s="29"/>
      <c r="E18" s="29"/>
      <c r="F18" s="32"/>
      <c r="G18" s="30"/>
      <c r="H18" s="31"/>
      <c r="I18" s="31"/>
      <c r="J18" s="32"/>
      <c r="K18" s="32"/>
      <c r="L18" s="29"/>
      <c r="M18" s="33"/>
      <c r="N18" s="29"/>
      <c r="O18" s="34"/>
      <c r="P18" s="34"/>
      <c r="Q18" s="29"/>
      <c r="R18" s="29"/>
      <c r="S18" s="35"/>
      <c r="T18" s="28"/>
      <c r="U18" s="36"/>
      <c r="V18" s="37"/>
      <c r="W18" s="28"/>
      <c r="X18" s="38"/>
      <c r="Y18" s="39"/>
      <c r="Z18" s="28"/>
      <c r="AA18" s="28"/>
      <c r="AB18" s="40"/>
      <c r="AC18" s="41"/>
      <c r="AD18" s="39"/>
      <c r="AE18" s="39"/>
      <c r="AF18" s="39"/>
      <c r="AG18" s="39"/>
    </row>
    <row r="19" spans="1:33" ht="15.75" hidden="1" customHeight="1" x14ac:dyDescent="0.2">
      <c r="A19" s="28"/>
      <c r="B19" s="28"/>
      <c r="C19" s="15"/>
      <c r="D19" s="29"/>
      <c r="E19" s="29"/>
      <c r="F19" s="32"/>
      <c r="G19" s="30"/>
      <c r="H19" s="31"/>
      <c r="I19" s="31"/>
      <c r="J19" s="32"/>
      <c r="K19" s="32"/>
      <c r="L19" s="29"/>
      <c r="M19" s="33"/>
      <c r="N19" s="29"/>
      <c r="O19" s="34"/>
      <c r="P19" s="34"/>
      <c r="Q19" s="29"/>
      <c r="R19" s="29"/>
      <c r="S19" s="35"/>
      <c r="T19" s="28"/>
      <c r="U19" s="36"/>
      <c r="V19" s="37"/>
      <c r="W19" s="28"/>
      <c r="X19" s="38"/>
      <c r="Y19" s="39"/>
      <c r="Z19" s="28"/>
      <c r="AA19" s="28"/>
      <c r="AB19" s="40"/>
      <c r="AC19" s="41"/>
      <c r="AD19" s="39"/>
      <c r="AE19" s="39"/>
      <c r="AF19" s="39"/>
      <c r="AG19" s="39"/>
    </row>
    <row r="20" spans="1:33" ht="15.75" hidden="1" customHeight="1" x14ac:dyDescent="0.2">
      <c r="A20" s="28"/>
      <c r="B20" s="28"/>
      <c r="C20" s="15"/>
      <c r="D20" s="29"/>
      <c r="E20" s="29"/>
      <c r="F20" s="32"/>
      <c r="G20" s="30"/>
      <c r="H20" s="31"/>
      <c r="I20" s="31"/>
      <c r="J20" s="32"/>
      <c r="K20" s="32"/>
      <c r="L20" s="29"/>
      <c r="M20" s="33"/>
      <c r="N20" s="29"/>
      <c r="O20" s="34"/>
      <c r="P20" s="34"/>
      <c r="Q20" s="29"/>
      <c r="R20" s="29"/>
      <c r="S20" s="35"/>
      <c r="T20" s="28"/>
      <c r="U20" s="36"/>
      <c r="V20" s="37"/>
      <c r="W20" s="28"/>
      <c r="X20" s="38"/>
      <c r="Y20" s="39"/>
      <c r="Z20" s="28"/>
      <c r="AA20" s="28"/>
      <c r="AB20" s="40"/>
      <c r="AC20" s="41"/>
      <c r="AD20" s="39"/>
      <c r="AE20" s="39"/>
      <c r="AF20" s="39"/>
      <c r="AG20" s="39"/>
    </row>
    <row r="21" spans="1:33" ht="15.75" customHeight="1" x14ac:dyDescent="0.2">
      <c r="A21" s="28" t="s">
        <v>59</v>
      </c>
      <c r="B21" s="28" t="s">
        <v>928</v>
      </c>
      <c r="C21" s="15">
        <f t="shared" ref="C21:C32" si="1">IFERROR(F21/D21," - ")</f>
        <v>14.99</v>
      </c>
      <c r="D21" s="29">
        <v>3</v>
      </c>
      <c r="E21" s="29">
        <v>0</v>
      </c>
      <c r="F21" s="32">
        <v>44.97</v>
      </c>
      <c r="G21" s="30">
        <v>-27.509999999999994</v>
      </c>
      <c r="H21" s="31">
        <f t="shared" ref="H21:H32" si="2">G21/F21*-1</f>
        <v>0.6117411607738491</v>
      </c>
      <c r="I21" s="31">
        <f t="shared" ref="I21:I32" si="3">J21/F21</f>
        <v>-0.3359521106663701</v>
      </c>
      <c r="J21" s="32">
        <f t="shared" ref="J21:J32" si="4">F21*0.85+G21+AF21*D21+D21*AE21+AG21+AD21</f>
        <v>-15.107766416666662</v>
      </c>
      <c r="K21" s="32">
        <f t="shared" ref="K21:K32" si="5">J21/D21</f>
        <v>-5.0359221388888873</v>
      </c>
      <c r="L21" s="29">
        <v>4</v>
      </c>
      <c r="M21" s="33">
        <f t="shared" ref="M21:M32" si="6">IFERROR(D21/L21,"-")</f>
        <v>0.75</v>
      </c>
      <c r="N21" s="29">
        <v>271</v>
      </c>
      <c r="O21" s="34">
        <f t="shared" ref="O21:P21" si="7">D21/7</f>
        <v>0.42857142857142855</v>
      </c>
      <c r="P21" s="34">
        <f t="shared" si="7"/>
        <v>0</v>
      </c>
      <c r="Q21" s="29">
        <f t="shared" ref="Q21:Q32" si="8">ROUNDDOWN(N21/(O21+P21),0)</f>
        <v>632</v>
      </c>
      <c r="R21" s="29"/>
      <c r="S21" s="35">
        <v>4.8582995951416998E-2</v>
      </c>
      <c r="T21" s="28">
        <v>400</v>
      </c>
      <c r="U21" s="36" t="s">
        <v>33</v>
      </c>
      <c r="V21" s="37" t="s">
        <v>33</v>
      </c>
      <c r="W21" s="28">
        <v>2</v>
      </c>
      <c r="X21" s="38">
        <f t="shared" ref="X21:X32" si="9">IFERROR(W21/D21,0)</f>
        <v>0.66666666666666663</v>
      </c>
      <c r="Y21" s="39">
        <f t="shared" ref="Y21:Y32" si="10">IFERROR(G21/(W21+Z21)*-1,0)</f>
        <v>13.754999999999997</v>
      </c>
      <c r="Z21" s="28">
        <v>0</v>
      </c>
      <c r="AA21" s="28" t="s">
        <v>34</v>
      </c>
      <c r="AB21" s="40">
        <f t="shared" ref="AB21:AB32" si="11">IF(OR(AA21="UsLargeStandardSize",AA21="UsSmallStandardSize"),-0.69,-0.48)</f>
        <v>-0.69</v>
      </c>
      <c r="AC21" s="41">
        <v>4.6296296296296294E-3</v>
      </c>
      <c r="AD21" s="39">
        <f t="shared" ref="AD21:AD32" si="12">IFERROR(AB21*AC21*D21*2,0)</f>
        <v>-1.9166666666666665E-2</v>
      </c>
      <c r="AE21" s="39">
        <v>-5.42</v>
      </c>
      <c r="AF21" s="39">
        <v>-3.1810332500000005</v>
      </c>
      <c r="AG21" s="39">
        <v>0</v>
      </c>
    </row>
    <row r="22" spans="1:33" ht="15.75" customHeight="1" x14ac:dyDescent="0.2">
      <c r="A22" s="28" t="s">
        <v>60</v>
      </c>
      <c r="B22" s="28" t="s">
        <v>929</v>
      </c>
      <c r="C22" s="15">
        <f t="shared" si="1"/>
        <v>15.135</v>
      </c>
      <c r="D22" s="29">
        <v>6</v>
      </c>
      <c r="E22" s="29">
        <v>0</v>
      </c>
      <c r="F22" s="30">
        <v>90.81</v>
      </c>
      <c r="G22" s="30">
        <v>-24.61</v>
      </c>
      <c r="H22" s="31">
        <f t="shared" si="2"/>
        <v>0.27100539588151085</v>
      </c>
      <c r="I22" s="31">
        <f t="shared" si="3"/>
        <v>3.9673153287082881E-2</v>
      </c>
      <c r="J22" s="32">
        <f t="shared" si="4"/>
        <v>3.6027190499999966</v>
      </c>
      <c r="K22" s="32">
        <f t="shared" si="5"/>
        <v>0.6004531749999994</v>
      </c>
      <c r="L22" s="29">
        <v>15</v>
      </c>
      <c r="M22" s="33">
        <f t="shared" si="6"/>
        <v>0.4</v>
      </c>
      <c r="N22" s="29">
        <v>216</v>
      </c>
      <c r="O22" s="34">
        <f t="shared" ref="O22:P22" si="13">D22/7</f>
        <v>0.8571428571428571</v>
      </c>
      <c r="P22" s="34">
        <f t="shared" si="13"/>
        <v>0</v>
      </c>
      <c r="Q22" s="29">
        <f t="shared" si="8"/>
        <v>252</v>
      </c>
      <c r="R22" s="29"/>
      <c r="S22" s="35">
        <v>0.11009174311926601</v>
      </c>
      <c r="T22" s="28">
        <v>400</v>
      </c>
      <c r="U22" s="36" t="s">
        <v>33</v>
      </c>
      <c r="V22" s="37" t="s">
        <v>33</v>
      </c>
      <c r="W22" s="28">
        <v>1</v>
      </c>
      <c r="X22" s="38">
        <f t="shared" si="9"/>
        <v>0.16666666666666666</v>
      </c>
      <c r="Y22" s="39">
        <f t="shared" si="10"/>
        <v>12.305</v>
      </c>
      <c r="Z22" s="28">
        <v>1</v>
      </c>
      <c r="AA22" s="28" t="s">
        <v>34</v>
      </c>
      <c r="AB22" s="40">
        <f t="shared" si="11"/>
        <v>-0.69</v>
      </c>
      <c r="AC22" s="41">
        <v>5.9128194444444442E-2</v>
      </c>
      <c r="AD22" s="39">
        <f t="shared" si="12"/>
        <v>-0.48958144999999997</v>
      </c>
      <c r="AE22" s="39">
        <v>-4.9000000000000004</v>
      </c>
      <c r="AF22" s="39">
        <v>-3.1810332500000005</v>
      </c>
      <c r="AG22" s="39">
        <v>0</v>
      </c>
    </row>
    <row r="23" spans="1:33" ht="15.75" customHeight="1" x14ac:dyDescent="0.2">
      <c r="A23" s="28" t="s">
        <v>62</v>
      </c>
      <c r="B23" s="28" t="s">
        <v>930</v>
      </c>
      <c r="C23" s="15">
        <f t="shared" si="1"/>
        <v>13.55</v>
      </c>
      <c r="D23" s="29">
        <v>11</v>
      </c>
      <c r="E23" s="29">
        <v>0</v>
      </c>
      <c r="F23" s="32">
        <v>149.05000000000001</v>
      </c>
      <c r="G23" s="30">
        <v>-36.790000000000006</v>
      </c>
      <c r="H23" s="31">
        <f t="shared" si="2"/>
        <v>0.24682992284468303</v>
      </c>
      <c r="I23" s="31">
        <f t="shared" si="3"/>
        <v>7.6194738901928251E-4</v>
      </c>
      <c r="J23" s="32">
        <f t="shared" si="4"/>
        <v>0.11356825833332407</v>
      </c>
      <c r="K23" s="32">
        <f t="shared" si="5"/>
        <v>1.032438712121128E-2</v>
      </c>
      <c r="L23" s="29">
        <v>25</v>
      </c>
      <c r="M23" s="33">
        <f t="shared" si="6"/>
        <v>0.44</v>
      </c>
      <c r="N23" s="29">
        <v>178</v>
      </c>
      <c r="O23" s="34">
        <f t="shared" ref="O23:P23" si="14">D23/7</f>
        <v>1.5714285714285714</v>
      </c>
      <c r="P23" s="34">
        <f t="shared" si="14"/>
        <v>0</v>
      </c>
      <c r="Q23" s="29">
        <f t="shared" si="8"/>
        <v>113</v>
      </c>
      <c r="R23" s="29"/>
      <c r="S23" s="35">
        <v>0.28888888888888797</v>
      </c>
      <c r="T23" s="28">
        <v>400</v>
      </c>
      <c r="U23" s="36" t="s">
        <v>33</v>
      </c>
      <c r="V23" s="37" t="s">
        <v>33</v>
      </c>
      <c r="W23" s="28">
        <v>7</v>
      </c>
      <c r="X23" s="38">
        <f t="shared" si="9"/>
        <v>0.63636363636363635</v>
      </c>
      <c r="Y23" s="39">
        <f t="shared" si="10"/>
        <v>3.0658333333333339</v>
      </c>
      <c r="Z23" s="28">
        <v>5</v>
      </c>
      <c r="AA23" s="28" t="s">
        <v>34</v>
      </c>
      <c r="AB23" s="40">
        <f t="shared" si="11"/>
        <v>-0.69</v>
      </c>
      <c r="AC23" s="41">
        <v>5.9128194444444442E-2</v>
      </c>
      <c r="AD23" s="39">
        <f t="shared" si="12"/>
        <v>-0.89756599166666662</v>
      </c>
      <c r="AE23" s="39">
        <v>-4.9000000000000004</v>
      </c>
      <c r="AF23" s="39">
        <v>-3.1810332500000005</v>
      </c>
      <c r="AG23" s="39">
        <v>0</v>
      </c>
    </row>
    <row r="24" spans="1:33" ht="15.75" customHeight="1" x14ac:dyDescent="0.2">
      <c r="A24" s="28" t="s">
        <v>64</v>
      </c>
      <c r="B24" s="28" t="s">
        <v>931</v>
      </c>
      <c r="C24" s="15">
        <f t="shared" si="1"/>
        <v>12.39875</v>
      </c>
      <c r="D24" s="29">
        <v>8</v>
      </c>
      <c r="E24" s="29">
        <v>0</v>
      </c>
      <c r="F24" s="32">
        <v>99.19</v>
      </c>
      <c r="G24" s="32">
        <v>-44.86</v>
      </c>
      <c r="H24" s="31">
        <f t="shared" si="2"/>
        <v>0.45226333299727794</v>
      </c>
      <c r="I24" s="31">
        <f t="shared" si="3"/>
        <v>-0.26060632389017718</v>
      </c>
      <c r="J24" s="32">
        <f t="shared" si="4"/>
        <v>-25.849541266666677</v>
      </c>
      <c r="K24" s="32">
        <f t="shared" si="5"/>
        <v>-3.2311926583333346</v>
      </c>
      <c r="L24" s="29">
        <v>15</v>
      </c>
      <c r="M24" s="33">
        <f t="shared" si="6"/>
        <v>0.53333333333333333</v>
      </c>
      <c r="N24" s="29">
        <v>172</v>
      </c>
      <c r="O24" s="34">
        <f t="shared" ref="O24:P24" si="15">D24/7</f>
        <v>1.1428571428571428</v>
      </c>
      <c r="P24" s="34">
        <f t="shared" si="15"/>
        <v>0</v>
      </c>
      <c r="Q24" s="29">
        <f t="shared" si="8"/>
        <v>150</v>
      </c>
      <c r="R24" s="29"/>
      <c r="S24" s="35">
        <v>0.60115606936416099</v>
      </c>
      <c r="T24" s="28">
        <v>400</v>
      </c>
      <c r="U24" s="36" t="s">
        <v>33</v>
      </c>
      <c r="V24" s="37" t="s">
        <v>33</v>
      </c>
      <c r="W24" s="28">
        <v>0</v>
      </c>
      <c r="X24" s="38">
        <f t="shared" si="9"/>
        <v>0</v>
      </c>
      <c r="Y24" s="39">
        <f t="shared" si="10"/>
        <v>22.43</v>
      </c>
      <c r="Z24" s="28">
        <v>2</v>
      </c>
      <c r="AA24" s="28" t="s">
        <v>34</v>
      </c>
      <c r="AB24" s="40">
        <f t="shared" si="11"/>
        <v>-0.69</v>
      </c>
      <c r="AC24" s="41">
        <v>5.9128194444444442E-2</v>
      </c>
      <c r="AD24" s="39">
        <f t="shared" si="12"/>
        <v>-0.65277526666666663</v>
      </c>
      <c r="AE24" s="39">
        <v>-4.9000000000000004</v>
      </c>
      <c r="AF24" s="39">
        <v>-3.1810332500000005</v>
      </c>
      <c r="AG24" s="39">
        <v>0</v>
      </c>
    </row>
    <row r="25" spans="1:33" ht="15.75" customHeight="1" x14ac:dyDescent="0.2">
      <c r="A25" s="28" t="s">
        <v>65</v>
      </c>
      <c r="B25" s="14"/>
      <c r="C25" s="15">
        <f t="shared" si="1"/>
        <v>10.450000000000001</v>
      </c>
      <c r="D25" s="29">
        <v>11</v>
      </c>
      <c r="E25" s="29">
        <v>1</v>
      </c>
      <c r="F25" s="32">
        <v>114.95</v>
      </c>
      <c r="G25" s="32">
        <v>-31.49</v>
      </c>
      <c r="H25" s="31">
        <f t="shared" si="2"/>
        <v>0.27394519356241842</v>
      </c>
      <c r="I25" s="31">
        <f t="shared" si="3"/>
        <v>-0.20495925177613464</v>
      </c>
      <c r="J25" s="32">
        <f t="shared" si="4"/>
        <v>-23.560065991666676</v>
      </c>
      <c r="K25" s="32">
        <f t="shared" si="5"/>
        <v>-2.1418241810606067</v>
      </c>
      <c r="L25" s="29">
        <v>26</v>
      </c>
      <c r="M25" s="33">
        <f t="shared" si="6"/>
        <v>0.42307692307692307</v>
      </c>
      <c r="N25" s="29">
        <v>157</v>
      </c>
      <c r="O25" s="34">
        <f t="shared" ref="O25:P25" si="16">D25/7</f>
        <v>1.5714285714285714</v>
      </c>
      <c r="P25" s="34">
        <f t="shared" si="16"/>
        <v>0.14285714285714285</v>
      </c>
      <c r="Q25" s="29">
        <f t="shared" si="8"/>
        <v>91</v>
      </c>
      <c r="R25" s="29"/>
      <c r="S25" s="35">
        <v>0.3583535108958838</v>
      </c>
      <c r="T25" s="28">
        <v>400</v>
      </c>
      <c r="U25" s="36" t="s">
        <v>33</v>
      </c>
      <c r="V25" s="37" t="s">
        <v>33</v>
      </c>
      <c r="W25" s="14">
        <v>3</v>
      </c>
      <c r="X25" s="38">
        <f t="shared" si="9"/>
        <v>0.27272727272727271</v>
      </c>
      <c r="Y25" s="39">
        <f t="shared" si="10"/>
        <v>10.496666666666666</v>
      </c>
      <c r="Z25" s="14">
        <v>0</v>
      </c>
      <c r="AA25" s="28" t="s">
        <v>34</v>
      </c>
      <c r="AB25" s="40">
        <f t="shared" si="11"/>
        <v>-0.69</v>
      </c>
      <c r="AC25" s="41">
        <v>5.9128194444444442E-2</v>
      </c>
      <c r="AD25" s="39">
        <f t="shared" si="12"/>
        <v>-0.89756599166666662</v>
      </c>
      <c r="AE25" s="39">
        <v>-4.9000000000000004</v>
      </c>
      <c r="AF25" s="39">
        <v>-3.18</v>
      </c>
      <c r="AG25" s="39">
        <v>0</v>
      </c>
    </row>
    <row r="26" spans="1:33" ht="15.75" customHeight="1" x14ac:dyDescent="0.2">
      <c r="A26" s="14" t="s">
        <v>67</v>
      </c>
      <c r="B26" s="14" t="s">
        <v>932</v>
      </c>
      <c r="C26" s="15">
        <f t="shared" si="1"/>
        <v>9.9499999999999993</v>
      </c>
      <c r="D26" s="16">
        <v>10</v>
      </c>
      <c r="E26" s="16">
        <v>0</v>
      </c>
      <c r="F26" s="17">
        <v>99.5</v>
      </c>
      <c r="G26" s="17">
        <v>-34.31</v>
      </c>
      <c r="H26" s="31">
        <f t="shared" si="2"/>
        <v>0.34482412060301509</v>
      </c>
      <c r="I26" s="31">
        <f t="shared" si="3"/>
        <v>-0.32142654857621444</v>
      </c>
      <c r="J26" s="32">
        <f t="shared" si="4"/>
        <v>-31.981941583333334</v>
      </c>
      <c r="K26" s="32">
        <f t="shared" si="5"/>
        <v>-3.1981941583333335</v>
      </c>
      <c r="L26" s="16">
        <v>33</v>
      </c>
      <c r="M26" s="33">
        <f t="shared" si="6"/>
        <v>0.30303030303030304</v>
      </c>
      <c r="N26" s="16">
        <v>178</v>
      </c>
      <c r="O26" s="34">
        <f t="shared" ref="O26:P26" si="17">D26/7</f>
        <v>1.4285714285714286</v>
      </c>
      <c r="P26" s="34">
        <f t="shared" si="17"/>
        <v>0</v>
      </c>
      <c r="Q26" s="29">
        <f t="shared" si="8"/>
        <v>124</v>
      </c>
      <c r="R26" s="29"/>
      <c r="S26" s="21">
        <v>0.46231155778894473</v>
      </c>
      <c r="T26" s="28">
        <v>400</v>
      </c>
      <c r="U26" s="36" t="s">
        <v>33</v>
      </c>
      <c r="V26" s="37" t="s">
        <v>33</v>
      </c>
      <c r="W26" s="14">
        <v>2</v>
      </c>
      <c r="X26" s="38">
        <f t="shared" si="9"/>
        <v>0.2</v>
      </c>
      <c r="Y26" s="39">
        <f t="shared" si="10"/>
        <v>5.7183333333333337</v>
      </c>
      <c r="Z26" s="14">
        <v>4</v>
      </c>
      <c r="AA26" s="28" t="s">
        <v>34</v>
      </c>
      <c r="AB26" s="40">
        <f t="shared" si="11"/>
        <v>-0.69</v>
      </c>
      <c r="AC26" s="41">
        <v>5.9128194444444442E-2</v>
      </c>
      <c r="AD26" s="39">
        <f t="shared" si="12"/>
        <v>-0.81596908333333329</v>
      </c>
      <c r="AE26" s="25">
        <v>-4.95</v>
      </c>
      <c r="AF26" s="25">
        <v>-3.1930972500000001</v>
      </c>
      <c r="AG26" s="25">
        <v>0</v>
      </c>
    </row>
    <row r="27" spans="1:33" ht="15.75" customHeight="1" x14ac:dyDescent="0.2">
      <c r="A27" s="14" t="s">
        <v>69</v>
      </c>
      <c r="B27" s="14" t="s">
        <v>864</v>
      </c>
      <c r="C27" s="15">
        <f t="shared" si="1"/>
        <v>9.9500000000000011</v>
      </c>
      <c r="D27" s="16">
        <v>19</v>
      </c>
      <c r="E27" s="16">
        <v>0</v>
      </c>
      <c r="F27" s="17">
        <v>189.05</v>
      </c>
      <c r="G27" s="17">
        <v>-61.2</v>
      </c>
      <c r="H27" s="31">
        <f t="shared" si="2"/>
        <v>0.32372388257074847</v>
      </c>
      <c r="I27" s="31">
        <f t="shared" si="3"/>
        <v>-0.33735355201445827</v>
      </c>
      <c r="J27" s="32">
        <f t="shared" si="4"/>
        <v>-63.776689008333342</v>
      </c>
      <c r="K27" s="32">
        <f t="shared" si="5"/>
        <v>-3.3566678425438603</v>
      </c>
      <c r="L27" s="16">
        <v>32</v>
      </c>
      <c r="M27" s="33">
        <f t="shared" si="6"/>
        <v>0.59375</v>
      </c>
      <c r="N27" s="16">
        <v>157</v>
      </c>
      <c r="O27" s="34">
        <f t="shared" ref="O27:P27" si="18">D27/7</f>
        <v>2.7142857142857144</v>
      </c>
      <c r="P27" s="34">
        <f t="shared" si="18"/>
        <v>0</v>
      </c>
      <c r="Q27" s="29">
        <f t="shared" si="8"/>
        <v>57</v>
      </c>
      <c r="R27" s="29"/>
      <c r="S27" s="21">
        <v>0.70930232558139539</v>
      </c>
      <c r="T27" s="28">
        <v>400</v>
      </c>
      <c r="U27" s="36" t="s">
        <v>33</v>
      </c>
      <c r="V27" s="37" t="s">
        <v>33</v>
      </c>
      <c r="W27" s="14">
        <v>10</v>
      </c>
      <c r="X27" s="38">
        <f t="shared" si="9"/>
        <v>0.52631578947368418</v>
      </c>
      <c r="Y27" s="39">
        <f t="shared" si="10"/>
        <v>3.2210526315789476</v>
      </c>
      <c r="Z27" s="14">
        <v>9</v>
      </c>
      <c r="AA27" s="28" t="s">
        <v>34</v>
      </c>
      <c r="AB27" s="40">
        <f t="shared" si="11"/>
        <v>-0.69</v>
      </c>
      <c r="AC27" s="41">
        <v>5.9128194444444442E-2</v>
      </c>
      <c r="AD27" s="39">
        <f t="shared" si="12"/>
        <v>-1.5503412583333334</v>
      </c>
      <c r="AE27" s="25">
        <v>-4.95</v>
      </c>
      <c r="AF27" s="25">
        <v>-3.1930972500000001</v>
      </c>
      <c r="AG27" s="25">
        <v>-7</v>
      </c>
    </row>
    <row r="28" spans="1:33" ht="15.75" customHeight="1" x14ac:dyDescent="0.2">
      <c r="A28" s="14" t="s">
        <v>71</v>
      </c>
      <c r="B28" s="14" t="s">
        <v>82</v>
      </c>
      <c r="C28" s="15">
        <f t="shared" si="1"/>
        <v>10.084444444444445</v>
      </c>
      <c r="D28" s="16">
        <v>18</v>
      </c>
      <c r="E28" s="16">
        <v>0</v>
      </c>
      <c r="F28" s="17">
        <v>181.52</v>
      </c>
      <c r="G28" s="17">
        <v>-69.169999999999987</v>
      </c>
      <c r="H28" s="31">
        <f t="shared" si="2"/>
        <v>0.38105993829880996</v>
      </c>
      <c r="I28" s="31">
        <f t="shared" si="3"/>
        <v>-0.34664221490744818</v>
      </c>
      <c r="J28" s="32">
        <f t="shared" si="4"/>
        <v>-62.92249485</v>
      </c>
      <c r="K28" s="32">
        <f t="shared" si="5"/>
        <v>-3.4956941583333334</v>
      </c>
      <c r="L28" s="16">
        <v>33</v>
      </c>
      <c r="M28" s="33">
        <f t="shared" si="6"/>
        <v>0.54545454545454541</v>
      </c>
      <c r="N28" s="16">
        <v>138</v>
      </c>
      <c r="O28" s="34">
        <f t="shared" ref="O28:P28" si="19">D28/7</f>
        <v>2.5714285714285716</v>
      </c>
      <c r="P28" s="34">
        <f t="shared" si="19"/>
        <v>0</v>
      </c>
      <c r="Q28" s="29">
        <f t="shared" si="8"/>
        <v>53</v>
      </c>
      <c r="R28" s="29"/>
      <c r="S28" s="21">
        <v>0.98136645962732916</v>
      </c>
      <c r="T28" s="28">
        <v>400</v>
      </c>
      <c r="U28" s="36" t="s">
        <v>33</v>
      </c>
      <c r="V28" s="37" t="s">
        <v>33</v>
      </c>
      <c r="W28" s="14">
        <v>12</v>
      </c>
      <c r="X28" s="38">
        <f t="shared" si="9"/>
        <v>0.66666666666666663</v>
      </c>
      <c r="Y28" s="39">
        <f t="shared" si="10"/>
        <v>3.8427777777777772</v>
      </c>
      <c r="Z28" s="14">
        <v>6</v>
      </c>
      <c r="AA28" s="28" t="s">
        <v>34</v>
      </c>
      <c r="AB28" s="40">
        <f t="shared" si="11"/>
        <v>-0.69</v>
      </c>
      <c r="AC28" s="41">
        <v>5.9128194444444442E-2</v>
      </c>
      <c r="AD28" s="39">
        <f t="shared" si="12"/>
        <v>-1.4687443499999999</v>
      </c>
      <c r="AE28" s="25">
        <v>-4.95</v>
      </c>
      <c r="AF28" s="25">
        <v>-3.1930972500000001</v>
      </c>
      <c r="AG28" s="25">
        <v>0</v>
      </c>
    </row>
    <row r="29" spans="1:33" ht="15.75" customHeight="1" x14ac:dyDescent="0.2">
      <c r="A29" s="28" t="s">
        <v>72</v>
      </c>
      <c r="B29" s="28" t="s">
        <v>441</v>
      </c>
      <c r="C29" s="15">
        <f t="shared" si="1"/>
        <v>10.000952380952381</v>
      </c>
      <c r="D29" s="29">
        <v>21</v>
      </c>
      <c r="E29" s="29">
        <v>0</v>
      </c>
      <c r="F29" s="32">
        <v>210.02</v>
      </c>
      <c r="G29" s="32">
        <v>-94.32</v>
      </c>
      <c r="H29" s="31">
        <f t="shared" si="2"/>
        <v>0.4491000857061232</v>
      </c>
      <c r="I29" s="31">
        <f t="shared" si="3"/>
        <v>-0.4214911785782306</v>
      </c>
      <c r="J29" s="32">
        <f t="shared" si="4"/>
        <v>-88.521577324999996</v>
      </c>
      <c r="K29" s="32">
        <f t="shared" si="5"/>
        <v>-4.2153132059523806</v>
      </c>
      <c r="L29" s="29">
        <v>44</v>
      </c>
      <c r="M29" s="33">
        <f t="shared" si="6"/>
        <v>0.47727272727272729</v>
      </c>
      <c r="N29" s="16">
        <v>119</v>
      </c>
      <c r="O29" s="34">
        <f t="shared" ref="O29:P29" si="20">D29/7</f>
        <v>3</v>
      </c>
      <c r="P29" s="34">
        <f t="shared" si="20"/>
        <v>0</v>
      </c>
      <c r="Q29" s="29">
        <f t="shared" si="8"/>
        <v>39</v>
      </c>
      <c r="R29" s="29"/>
      <c r="S29" s="21">
        <v>0.77467411545623832</v>
      </c>
      <c r="T29" s="28">
        <v>400</v>
      </c>
      <c r="U29" s="36" t="s">
        <v>33</v>
      </c>
      <c r="V29" s="37" t="s">
        <v>33</v>
      </c>
      <c r="W29" s="14">
        <v>10</v>
      </c>
      <c r="X29" s="38">
        <f t="shared" si="9"/>
        <v>0.47619047619047616</v>
      </c>
      <c r="Y29" s="39">
        <f t="shared" si="10"/>
        <v>6.7371428571428567</v>
      </c>
      <c r="Z29" s="14">
        <v>4</v>
      </c>
      <c r="AA29" s="28" t="s">
        <v>34</v>
      </c>
      <c r="AB29" s="40">
        <f t="shared" si="11"/>
        <v>-0.69</v>
      </c>
      <c r="AC29" s="41">
        <v>5.9128194444444442E-2</v>
      </c>
      <c r="AD29" s="39">
        <f t="shared" si="12"/>
        <v>-1.7135350749999998</v>
      </c>
      <c r="AE29" s="39">
        <v>-4.95</v>
      </c>
      <c r="AF29" s="25">
        <v>-3.1930972500000001</v>
      </c>
      <c r="AG29" s="39">
        <v>0</v>
      </c>
    </row>
    <row r="30" spans="1:33" ht="15.75" customHeight="1" x14ac:dyDescent="0.2">
      <c r="A30" s="14" t="s">
        <v>74</v>
      </c>
      <c r="B30" s="14" t="s">
        <v>82</v>
      </c>
      <c r="C30" s="15">
        <f t="shared" si="1"/>
        <v>9.9499999999999993</v>
      </c>
      <c r="D30" s="16">
        <v>5</v>
      </c>
      <c r="E30" s="16">
        <v>0</v>
      </c>
      <c r="F30" s="17">
        <v>49.75</v>
      </c>
      <c r="G30" s="17">
        <v>-1.25</v>
      </c>
      <c r="H30" s="31">
        <f t="shared" si="2"/>
        <v>2.5125628140703519E-2</v>
      </c>
      <c r="I30" s="31">
        <f t="shared" si="3"/>
        <v>-3.1820277177721942E-2</v>
      </c>
      <c r="J30" s="32">
        <f t="shared" si="4"/>
        <v>-1.5830587895916666</v>
      </c>
      <c r="K30" s="32">
        <f t="shared" si="5"/>
        <v>-0.31661175791833329</v>
      </c>
      <c r="L30" s="16">
        <v>14</v>
      </c>
      <c r="M30" s="33">
        <f t="shared" si="6"/>
        <v>0.35714285714285715</v>
      </c>
      <c r="N30" s="16">
        <v>112</v>
      </c>
      <c r="O30" s="34">
        <f t="shared" ref="O30:P30" si="21">D30/7</f>
        <v>0.7142857142857143</v>
      </c>
      <c r="P30" s="34">
        <f t="shared" si="21"/>
        <v>0</v>
      </c>
      <c r="Q30" s="29">
        <f t="shared" si="8"/>
        <v>156</v>
      </c>
      <c r="R30" s="29"/>
      <c r="S30" s="21">
        <v>0.8571428571428571</v>
      </c>
      <c r="T30" s="28">
        <v>400</v>
      </c>
      <c r="U30" s="36" t="s">
        <v>33</v>
      </c>
      <c r="V30" s="37" t="s">
        <v>33</v>
      </c>
      <c r="W30" s="14">
        <v>1</v>
      </c>
      <c r="X30" s="38">
        <f t="shared" si="9"/>
        <v>0.2</v>
      </c>
      <c r="Y30" s="39">
        <f t="shared" si="10"/>
        <v>1.25</v>
      </c>
      <c r="Z30" s="14">
        <v>0</v>
      </c>
      <c r="AA30" s="28" t="s">
        <v>34</v>
      </c>
      <c r="AB30" s="40">
        <f t="shared" si="11"/>
        <v>-0.69</v>
      </c>
      <c r="AC30" s="41">
        <v>5.9128194444444442E-2</v>
      </c>
      <c r="AD30" s="39">
        <f t="shared" si="12"/>
        <v>-0.40798454166666664</v>
      </c>
      <c r="AE30" s="25">
        <v>-4.95</v>
      </c>
      <c r="AF30" s="25">
        <v>-3.0925148495850001</v>
      </c>
      <c r="AG30" s="25">
        <v>-2</v>
      </c>
    </row>
    <row r="31" spans="1:33" ht="15.75" customHeight="1" x14ac:dyDescent="0.2">
      <c r="A31" s="14" t="s">
        <v>75</v>
      </c>
      <c r="B31" s="48" t="s">
        <v>167</v>
      </c>
      <c r="C31" s="15">
        <f t="shared" si="1"/>
        <v>9.9499999999999993</v>
      </c>
      <c r="D31" s="16">
        <v>5</v>
      </c>
      <c r="E31" s="16">
        <v>0</v>
      </c>
      <c r="F31" s="17">
        <v>49.75</v>
      </c>
      <c r="G31" s="42">
        <v>0</v>
      </c>
      <c r="H31" s="31">
        <f t="shared" si="2"/>
        <v>0</v>
      </c>
      <c r="I31" s="31">
        <f t="shared" si="3"/>
        <v>-2.6795151549581238E-2</v>
      </c>
      <c r="J31" s="32">
        <f t="shared" si="4"/>
        <v>-1.3330587895916666</v>
      </c>
      <c r="K31" s="32">
        <f t="shared" si="5"/>
        <v>-0.2666117579183333</v>
      </c>
      <c r="L31" s="16">
        <v>8</v>
      </c>
      <c r="M31" s="33">
        <f t="shared" si="6"/>
        <v>0.625</v>
      </c>
      <c r="N31" s="16">
        <v>106</v>
      </c>
      <c r="O31" s="34">
        <f t="shared" ref="O31:P32" si="22">D31/7</f>
        <v>0.7142857142857143</v>
      </c>
      <c r="P31" s="34">
        <f t="shared" si="22"/>
        <v>0</v>
      </c>
      <c r="Q31" s="29">
        <f t="shared" si="8"/>
        <v>148</v>
      </c>
      <c r="R31" s="29"/>
      <c r="S31" s="21">
        <v>0.92184368737474898</v>
      </c>
      <c r="T31" s="14" t="s">
        <v>33</v>
      </c>
      <c r="U31" s="22" t="s">
        <v>33</v>
      </c>
      <c r="V31" s="1" t="s">
        <v>936</v>
      </c>
      <c r="W31" s="14">
        <v>0</v>
      </c>
      <c r="X31" s="38">
        <f t="shared" si="9"/>
        <v>0</v>
      </c>
      <c r="Y31" s="39">
        <f t="shared" si="10"/>
        <v>0</v>
      </c>
      <c r="Z31" s="14">
        <v>0</v>
      </c>
      <c r="AA31" s="14" t="s">
        <v>34</v>
      </c>
      <c r="AB31" s="40">
        <f t="shared" si="11"/>
        <v>-0.69</v>
      </c>
      <c r="AC31" s="27">
        <v>5.9128194444444442E-2</v>
      </c>
      <c r="AD31" s="39">
        <f t="shared" si="12"/>
        <v>-0.40798454166666664</v>
      </c>
      <c r="AE31" s="43">
        <v>-4.95</v>
      </c>
      <c r="AF31" s="43">
        <v>-3.0925148495850001</v>
      </c>
      <c r="AG31" s="25">
        <v>-3</v>
      </c>
    </row>
    <row r="32" spans="1:33" s="51" customFormat="1" ht="15.75" customHeight="1" x14ac:dyDescent="0.2">
      <c r="A32" s="51" t="s">
        <v>934</v>
      </c>
      <c r="C32" s="15">
        <f t="shared" si="1"/>
        <v>9.9645454545454548</v>
      </c>
      <c r="D32" s="52">
        <v>11</v>
      </c>
      <c r="E32" s="52">
        <v>0</v>
      </c>
      <c r="F32" s="53">
        <v>109.61</v>
      </c>
      <c r="G32" s="53">
        <v>-7.04</v>
      </c>
      <c r="H32" s="31">
        <f t="shared" si="2"/>
        <v>6.4227716449229089E-2</v>
      </c>
      <c r="I32" s="31">
        <f t="shared" si="3"/>
        <v>-7.5145783569945127E-2</v>
      </c>
      <c r="J32" s="32">
        <f t="shared" si="4"/>
        <v>-8.2367293371016856</v>
      </c>
      <c r="K32" s="32">
        <f t="shared" si="5"/>
        <v>-0.74879357610015329</v>
      </c>
      <c r="L32" s="52">
        <v>14</v>
      </c>
      <c r="M32" s="33">
        <f t="shared" si="6"/>
        <v>0.7857142857142857</v>
      </c>
      <c r="N32" s="52">
        <v>71</v>
      </c>
      <c r="O32" s="34">
        <f t="shared" si="22"/>
        <v>1.5714285714285714</v>
      </c>
      <c r="P32" s="34">
        <f t="shared" si="22"/>
        <v>0</v>
      </c>
      <c r="Q32" s="29">
        <f t="shared" si="8"/>
        <v>45</v>
      </c>
      <c r="R32" s="29" t="str">
        <f ca="1">IFERROR(VLOOKUP($B$2,IMPORTRANGE("https://docs.google.com/spreadsheets/d/1KiWZV1ko8G7lnRucBRBd29jj3Be6ltMfljMDqzOkQmI/edit#gid=1381463014","Lookup!A:F"),6,FALSE),"")</f>
        <v/>
      </c>
      <c r="S32" s="54">
        <v>1.2795969773299749</v>
      </c>
      <c r="T32" s="51">
        <f ca="1">IFERROR(__xludf.DUMMYFUNCTION("IFERROR(VLOOKUP($B$2,IMPORTRANGE(""https://docs.google.com/spreadsheets/d/1KiWZV1ko8G7lnRucBRBd29jj3Be6ltMfljMDqzOkQmI/edit#gid=1381463014"",""Lookup!A:D""),4,FALSE),"""")"),554)</f>
        <v>554</v>
      </c>
      <c r="U32" s="55" t="str">
        <f ca="1">IFERROR(__xludf.DUMMYFUNCTION("IFERROR(VLOOKUP($B$2,IMPORTRANGE(""https://docs.google.com/spreadsheets/d/1KiWZV1ko8G7lnRucBRBd29jj3Be6ltMfljMDqzOkQmI/edit#gid=1381463014"",""Lookup!A:D""),3,FALSE),"""")"),"")</f>
        <v/>
      </c>
      <c r="V32" s="56" t="str">
        <f ca="1">IFERROR(__xludf.DUMMYFUNCTION("IFERROR(VLOOKUP($B$2,IMPORTRANGE(""https://docs.google.com/spreadsheets/d/1KiWZV1ko8G7lnRucBRBd29jj3Be6ltMfljMDqzOkQmI/edit#gid=1381463014"",""Lookup!A:D""),2,FALSE),"""")"),"No Transit, But 554 At Factory 50-75 days from Earliest Arrival")</f>
        <v>No Transit, But 554 At Factory 50-75 days from Earliest Arrival</v>
      </c>
      <c r="W32" s="51">
        <v>0</v>
      </c>
      <c r="X32" s="38">
        <f t="shared" si="9"/>
        <v>0</v>
      </c>
      <c r="Y32" s="39">
        <f t="shared" si="10"/>
        <v>0</v>
      </c>
      <c r="Z32" s="51">
        <v>0</v>
      </c>
      <c r="AA32" s="51" t="s">
        <v>34</v>
      </c>
      <c r="AB32" s="40">
        <f t="shared" si="11"/>
        <v>-0.69</v>
      </c>
      <c r="AC32" s="57">
        <v>5.9128194444444442E-2</v>
      </c>
      <c r="AD32" s="39">
        <f t="shared" si="12"/>
        <v>-0.89756599166666662</v>
      </c>
      <c r="AE32" s="58">
        <v>-4.95</v>
      </c>
      <c r="AF32" s="58">
        <v>-3.0925148495850001</v>
      </c>
      <c r="AG32" s="58">
        <v>-5</v>
      </c>
    </row>
    <row r="33" spans="1:33" ht="15.75" customHeight="1" x14ac:dyDescent="0.2">
      <c r="A33" s="14"/>
      <c r="B33" s="14"/>
      <c r="C33" s="44"/>
      <c r="D33" s="16"/>
      <c r="E33" s="16"/>
      <c r="F33" s="17"/>
      <c r="G33" s="17"/>
      <c r="H33" s="17"/>
      <c r="I33" s="16"/>
      <c r="J33" s="16"/>
      <c r="K33" s="16"/>
      <c r="L33" s="16"/>
      <c r="M33" s="19"/>
      <c r="N33" s="16"/>
      <c r="O33" s="16"/>
      <c r="P33" s="16"/>
      <c r="Q33" s="16"/>
      <c r="R33" s="16"/>
      <c r="S33" s="35"/>
      <c r="T33" s="14"/>
      <c r="U33" s="22"/>
      <c r="V33" s="1"/>
      <c r="W33" s="14"/>
      <c r="X33" s="14"/>
      <c r="Y33" s="14"/>
      <c r="Z33" s="14"/>
      <c r="AA33" s="2"/>
      <c r="AB33" s="14"/>
      <c r="AC33" s="14"/>
      <c r="AD33" s="14"/>
      <c r="AE33" s="25"/>
      <c r="AF33" s="25"/>
      <c r="AG33" s="25"/>
    </row>
    <row r="34" spans="1:33" ht="15.75" customHeight="1" x14ac:dyDescent="0.2">
      <c r="A34" s="14"/>
      <c r="B34" s="14"/>
      <c r="C34" s="44"/>
      <c r="D34" s="16"/>
      <c r="E34" s="16"/>
      <c r="F34" s="17"/>
      <c r="G34" s="17"/>
      <c r="H34" s="17"/>
      <c r="I34" s="16"/>
      <c r="J34" s="16"/>
      <c r="K34" s="16"/>
      <c r="L34" s="16"/>
      <c r="M34" s="19"/>
      <c r="N34" s="16"/>
      <c r="O34" s="16"/>
      <c r="P34" s="16"/>
      <c r="Q34" s="16"/>
      <c r="R34" s="16"/>
      <c r="S34" s="35"/>
      <c r="T34" s="14"/>
      <c r="U34" s="22"/>
      <c r="V34" s="1"/>
      <c r="W34" s="14"/>
      <c r="X34" s="14"/>
      <c r="Y34" s="14"/>
      <c r="Z34" s="14"/>
      <c r="AA34" s="2"/>
      <c r="AB34" s="14"/>
      <c r="AC34" s="14"/>
      <c r="AD34" s="14"/>
      <c r="AE34" s="25"/>
      <c r="AF34" s="25"/>
      <c r="AG34" s="25"/>
    </row>
    <row r="35" spans="1:33" ht="15.75" customHeight="1" x14ac:dyDescent="0.2">
      <c r="A35" s="14"/>
      <c r="B35" s="14"/>
      <c r="C35" s="44"/>
      <c r="D35" s="16"/>
      <c r="E35" s="16"/>
      <c r="F35" s="17"/>
      <c r="G35" s="17"/>
      <c r="H35" s="17"/>
      <c r="I35" s="16"/>
      <c r="J35" s="16"/>
      <c r="K35" s="16"/>
      <c r="L35" s="16"/>
      <c r="M35" s="19"/>
      <c r="N35" s="16"/>
      <c r="O35" s="16"/>
      <c r="P35" s="16"/>
      <c r="Q35" s="16"/>
      <c r="R35" s="16"/>
      <c r="S35" s="35"/>
      <c r="T35" s="14"/>
      <c r="U35" s="22"/>
      <c r="V35" s="1"/>
      <c r="W35" s="14"/>
      <c r="X35" s="14"/>
      <c r="Y35" s="14"/>
      <c r="Z35" s="14"/>
      <c r="AA35" s="2"/>
      <c r="AB35" s="14"/>
      <c r="AC35" s="14"/>
      <c r="AD35" s="14"/>
      <c r="AE35" s="25"/>
      <c r="AF35" s="25"/>
      <c r="AG35" s="25"/>
    </row>
    <row r="36" spans="1:33" ht="15.75" customHeight="1" x14ac:dyDescent="0.2">
      <c r="A36" s="14"/>
      <c r="B36" s="14"/>
      <c r="C36" s="44"/>
      <c r="D36" s="16"/>
      <c r="E36" s="16"/>
      <c r="F36" s="17"/>
      <c r="G36" s="17"/>
      <c r="H36" s="17"/>
      <c r="I36" s="16"/>
      <c r="J36" s="16"/>
      <c r="K36" s="16"/>
      <c r="L36" s="16"/>
      <c r="M36" s="19"/>
      <c r="N36" s="16"/>
      <c r="O36" s="16"/>
      <c r="P36" s="16"/>
      <c r="Q36" s="16"/>
      <c r="R36" s="16"/>
      <c r="S36" s="35"/>
      <c r="T36" s="14"/>
      <c r="U36" s="22"/>
      <c r="V36" s="1"/>
      <c r="W36" s="14"/>
      <c r="X36" s="14"/>
      <c r="Y36" s="14"/>
      <c r="Z36" s="14"/>
      <c r="AA36" s="2"/>
      <c r="AB36" s="14"/>
      <c r="AC36" s="14"/>
      <c r="AD36" s="14"/>
      <c r="AE36" s="25"/>
      <c r="AF36" s="25"/>
      <c r="AG36" s="25"/>
    </row>
    <row r="37" spans="1:33" ht="15.75" customHeight="1" x14ac:dyDescent="0.2">
      <c r="A37" s="14"/>
      <c r="B37" s="14"/>
      <c r="C37" s="44"/>
      <c r="D37" s="16"/>
      <c r="E37" s="16"/>
      <c r="F37" s="17"/>
      <c r="G37" s="17"/>
      <c r="H37" s="17"/>
      <c r="I37" s="16"/>
      <c r="J37" s="16"/>
      <c r="K37" s="16"/>
      <c r="L37" s="16"/>
      <c r="M37" s="19"/>
      <c r="N37" s="16"/>
      <c r="O37" s="16"/>
      <c r="P37" s="16"/>
      <c r="Q37" s="16"/>
      <c r="R37" s="16"/>
      <c r="S37" s="35"/>
      <c r="T37" s="14"/>
      <c r="U37" s="22"/>
      <c r="V37" s="1"/>
      <c r="W37" s="14"/>
      <c r="X37" s="14"/>
      <c r="Y37" s="14"/>
      <c r="Z37" s="14"/>
      <c r="AA37" s="2"/>
      <c r="AB37" s="14"/>
      <c r="AC37" s="14"/>
      <c r="AD37" s="14"/>
      <c r="AE37" s="25"/>
      <c r="AF37" s="25"/>
      <c r="AG37" s="25"/>
    </row>
    <row r="38" spans="1:33" ht="15.75" customHeight="1" x14ac:dyDescent="0.2">
      <c r="A38" s="14"/>
      <c r="B38" s="14"/>
      <c r="C38" s="44"/>
      <c r="D38" s="16"/>
      <c r="E38" s="16"/>
      <c r="F38" s="17"/>
      <c r="G38" s="17"/>
      <c r="H38" s="17"/>
      <c r="I38" s="16"/>
      <c r="J38" s="16"/>
      <c r="K38" s="16"/>
      <c r="L38" s="16"/>
      <c r="M38" s="19"/>
      <c r="N38" s="16"/>
      <c r="O38" s="16"/>
      <c r="P38" s="16"/>
      <c r="Q38" s="16"/>
      <c r="R38" s="16"/>
      <c r="S38" s="35"/>
      <c r="T38" s="14"/>
      <c r="U38" s="22"/>
      <c r="V38" s="1"/>
      <c r="W38" s="14"/>
      <c r="X38" s="14"/>
      <c r="Y38" s="14"/>
      <c r="Z38" s="14"/>
      <c r="AA38" s="2"/>
      <c r="AB38" s="14"/>
      <c r="AC38" s="14"/>
      <c r="AD38" s="14"/>
      <c r="AE38" s="25"/>
      <c r="AF38" s="25"/>
      <c r="AG38" s="25"/>
    </row>
    <row r="39" spans="1:33" ht="15.75" customHeight="1" x14ac:dyDescent="0.2">
      <c r="A39" s="14"/>
      <c r="B39" s="14"/>
      <c r="C39" s="44"/>
      <c r="D39" s="16"/>
      <c r="E39" s="16"/>
      <c r="F39" s="17"/>
      <c r="G39" s="17"/>
      <c r="H39" s="17"/>
      <c r="I39" s="16"/>
      <c r="J39" s="16"/>
      <c r="K39" s="16"/>
      <c r="L39" s="16"/>
      <c r="M39" s="19"/>
      <c r="N39" s="16"/>
      <c r="O39" s="16"/>
      <c r="P39" s="16"/>
      <c r="Q39" s="16"/>
      <c r="R39" s="16"/>
      <c r="S39" s="35"/>
      <c r="T39" s="14"/>
      <c r="U39" s="22"/>
      <c r="V39" s="1"/>
      <c r="W39" s="14"/>
      <c r="X39" s="14"/>
      <c r="Y39" s="14"/>
      <c r="Z39" s="14"/>
      <c r="AA39" s="2"/>
      <c r="AB39" s="14"/>
      <c r="AC39" s="14"/>
      <c r="AD39" s="14"/>
      <c r="AE39" s="25"/>
      <c r="AF39" s="25"/>
      <c r="AG39" s="25"/>
    </row>
    <row r="40" spans="1:33" ht="15.75" customHeight="1" x14ac:dyDescent="0.2">
      <c r="A40" s="14"/>
      <c r="B40" s="14"/>
      <c r="C40" s="44"/>
      <c r="D40" s="16"/>
      <c r="E40" s="16"/>
      <c r="F40" s="17"/>
      <c r="G40" s="17"/>
      <c r="H40" s="17"/>
      <c r="I40" s="16"/>
      <c r="J40" s="16"/>
      <c r="K40" s="16"/>
      <c r="L40" s="16"/>
      <c r="M40" s="19"/>
      <c r="N40" s="16"/>
      <c r="O40" s="16"/>
      <c r="P40" s="16"/>
      <c r="Q40" s="16"/>
      <c r="R40" s="16"/>
      <c r="S40" s="35"/>
      <c r="T40" s="14"/>
      <c r="U40" s="22"/>
      <c r="V40" s="1"/>
      <c r="W40" s="14"/>
      <c r="X40" s="14"/>
      <c r="Y40" s="14"/>
      <c r="Z40" s="14"/>
      <c r="AA40" s="2"/>
      <c r="AB40" s="14"/>
      <c r="AC40" s="14"/>
      <c r="AD40" s="14"/>
      <c r="AE40" s="25"/>
      <c r="AF40" s="25"/>
      <c r="AG40" s="25"/>
    </row>
    <row r="41" spans="1:33" ht="15.75" customHeight="1" x14ac:dyDescent="0.2">
      <c r="A41" s="14"/>
      <c r="B41" s="14"/>
      <c r="C41" s="44"/>
      <c r="D41" s="16"/>
      <c r="E41" s="16"/>
      <c r="F41" s="17"/>
      <c r="G41" s="17"/>
      <c r="H41" s="17"/>
      <c r="I41" s="16"/>
      <c r="J41" s="16"/>
      <c r="K41" s="16"/>
      <c r="L41" s="16"/>
      <c r="M41" s="19"/>
      <c r="N41" s="16"/>
      <c r="O41" s="16"/>
      <c r="P41" s="16"/>
      <c r="Q41" s="16"/>
      <c r="R41" s="16"/>
      <c r="S41" s="35"/>
      <c r="T41" s="14"/>
      <c r="U41" s="22"/>
      <c r="V41" s="1"/>
      <c r="W41" s="14"/>
      <c r="X41" s="14"/>
      <c r="Y41" s="14"/>
      <c r="Z41" s="14"/>
      <c r="AA41" s="2"/>
      <c r="AB41" s="14"/>
      <c r="AC41" s="14"/>
      <c r="AD41" s="14"/>
      <c r="AE41" s="25"/>
      <c r="AF41" s="25"/>
      <c r="AG41" s="25"/>
    </row>
    <row r="42" spans="1:33" ht="15.75" customHeight="1" x14ac:dyDescent="0.2">
      <c r="A42" s="14"/>
      <c r="B42" s="14"/>
      <c r="C42" s="44"/>
      <c r="D42" s="16"/>
      <c r="E42" s="16"/>
      <c r="F42" s="17"/>
      <c r="G42" s="17"/>
      <c r="H42" s="17"/>
      <c r="I42" s="16"/>
      <c r="J42" s="16"/>
      <c r="K42" s="16"/>
      <c r="L42" s="16"/>
      <c r="M42" s="19"/>
      <c r="N42" s="16"/>
      <c r="O42" s="16"/>
      <c r="P42" s="16"/>
      <c r="Q42" s="16"/>
      <c r="R42" s="16"/>
      <c r="S42" s="35"/>
      <c r="T42" s="14"/>
      <c r="U42" s="22"/>
      <c r="V42" s="1"/>
      <c r="W42" s="14"/>
      <c r="X42" s="14"/>
      <c r="Y42" s="14"/>
      <c r="Z42" s="14"/>
      <c r="AA42" s="2"/>
      <c r="AB42" s="14"/>
      <c r="AC42" s="14"/>
      <c r="AD42" s="14"/>
      <c r="AE42" s="25"/>
      <c r="AF42" s="25"/>
      <c r="AG42" s="25"/>
    </row>
    <row r="43" spans="1:33" ht="15.75" customHeight="1" x14ac:dyDescent="0.2">
      <c r="A43" s="14"/>
      <c r="B43" s="14"/>
      <c r="C43" s="44"/>
      <c r="D43" s="16"/>
      <c r="E43" s="16"/>
      <c r="F43" s="17"/>
      <c r="G43" s="17"/>
      <c r="H43" s="17"/>
      <c r="I43" s="16"/>
      <c r="J43" s="16"/>
      <c r="K43" s="16"/>
      <c r="L43" s="16"/>
      <c r="M43" s="19"/>
      <c r="N43" s="16"/>
      <c r="O43" s="16"/>
      <c r="P43" s="16"/>
      <c r="Q43" s="16"/>
      <c r="R43" s="16"/>
      <c r="S43" s="35"/>
      <c r="T43" s="14"/>
      <c r="U43" s="22"/>
      <c r="V43" s="1"/>
      <c r="W43" s="14"/>
      <c r="X43" s="14"/>
      <c r="Y43" s="14"/>
      <c r="Z43" s="14"/>
      <c r="AA43" s="2"/>
      <c r="AB43" s="14"/>
      <c r="AC43" s="14"/>
      <c r="AD43" s="14"/>
      <c r="AE43" s="25"/>
      <c r="AF43" s="25"/>
      <c r="AG43" s="25"/>
    </row>
    <row r="44" spans="1:33" ht="15.75" customHeight="1" x14ac:dyDescent="0.2">
      <c r="A44" s="14"/>
      <c r="B44" s="14"/>
      <c r="C44" s="44"/>
      <c r="D44" s="16"/>
      <c r="E44" s="16"/>
      <c r="F44" s="17"/>
      <c r="G44" s="17"/>
      <c r="H44" s="17"/>
      <c r="I44" s="16"/>
      <c r="J44" s="16"/>
      <c r="K44" s="16"/>
      <c r="L44" s="16"/>
      <c r="M44" s="19"/>
      <c r="N44" s="16"/>
      <c r="O44" s="16"/>
      <c r="P44" s="16"/>
      <c r="Q44" s="16"/>
      <c r="R44" s="16"/>
      <c r="S44" s="35"/>
      <c r="T44" s="14"/>
      <c r="U44" s="22"/>
      <c r="V44" s="1"/>
      <c r="W44" s="14"/>
      <c r="X44" s="14"/>
      <c r="Y44" s="14"/>
      <c r="Z44" s="14"/>
      <c r="AA44" s="2"/>
      <c r="AB44" s="14"/>
      <c r="AC44" s="14"/>
      <c r="AD44" s="14"/>
      <c r="AE44" s="25"/>
      <c r="AF44" s="25"/>
      <c r="AG44" s="25"/>
    </row>
    <row r="45" spans="1:33" ht="15.75" customHeight="1" x14ac:dyDescent="0.2">
      <c r="A45" s="14"/>
      <c r="B45" s="14"/>
      <c r="C45" s="44"/>
      <c r="D45" s="16"/>
      <c r="E45" s="16"/>
      <c r="F45" s="17"/>
      <c r="G45" s="17"/>
      <c r="H45" s="17"/>
      <c r="I45" s="16"/>
      <c r="J45" s="16"/>
      <c r="K45" s="16"/>
      <c r="L45" s="16"/>
      <c r="M45" s="19"/>
      <c r="N45" s="16"/>
      <c r="O45" s="16"/>
      <c r="P45" s="16"/>
      <c r="Q45" s="16"/>
      <c r="R45" s="16"/>
      <c r="S45" s="35"/>
      <c r="T45" s="14"/>
      <c r="U45" s="22"/>
      <c r="V45" s="1"/>
      <c r="W45" s="14"/>
      <c r="X45" s="14"/>
      <c r="Y45" s="14"/>
      <c r="Z45" s="14"/>
      <c r="AA45" s="2"/>
      <c r="AB45" s="14"/>
      <c r="AC45" s="14"/>
      <c r="AD45" s="14"/>
      <c r="AE45" s="25"/>
      <c r="AF45" s="25"/>
      <c r="AG45" s="25"/>
    </row>
    <row r="46" spans="1:33" ht="15.75" customHeight="1" x14ac:dyDescent="0.2">
      <c r="A46" s="14"/>
      <c r="B46" s="14"/>
      <c r="C46" s="44"/>
      <c r="D46" s="16"/>
      <c r="E46" s="16"/>
      <c r="F46" s="17"/>
      <c r="G46" s="17"/>
      <c r="H46" s="17"/>
      <c r="I46" s="16"/>
      <c r="J46" s="16"/>
      <c r="K46" s="16"/>
      <c r="L46" s="16"/>
      <c r="M46" s="19"/>
      <c r="N46" s="16"/>
      <c r="O46" s="16"/>
      <c r="P46" s="16"/>
      <c r="Q46" s="16"/>
      <c r="R46" s="16"/>
      <c r="S46" s="35"/>
      <c r="T46" s="14"/>
      <c r="U46" s="22"/>
      <c r="V46" s="1"/>
      <c r="W46" s="14"/>
      <c r="X46" s="14"/>
      <c r="Y46" s="14"/>
      <c r="Z46" s="14"/>
      <c r="AA46" s="2"/>
      <c r="AB46" s="14"/>
      <c r="AC46" s="14"/>
      <c r="AD46" s="14"/>
      <c r="AE46" s="25"/>
      <c r="AF46" s="25"/>
      <c r="AG46" s="25"/>
    </row>
    <row r="47" spans="1:33" ht="15.75" customHeight="1" x14ac:dyDescent="0.2">
      <c r="A47" s="14"/>
      <c r="B47" s="14"/>
      <c r="C47" s="44"/>
      <c r="D47" s="16"/>
      <c r="E47" s="16"/>
      <c r="F47" s="17"/>
      <c r="G47" s="17"/>
      <c r="H47" s="17"/>
      <c r="I47" s="16"/>
      <c r="J47" s="16"/>
      <c r="K47" s="16"/>
      <c r="L47" s="16"/>
      <c r="M47" s="19"/>
      <c r="N47" s="16"/>
      <c r="O47" s="16"/>
      <c r="P47" s="16"/>
      <c r="Q47" s="16"/>
      <c r="R47" s="16"/>
      <c r="S47" s="35"/>
      <c r="T47" s="14"/>
      <c r="U47" s="22"/>
      <c r="V47" s="1"/>
      <c r="W47" s="14"/>
      <c r="X47" s="14"/>
      <c r="Y47" s="14"/>
      <c r="Z47" s="14"/>
      <c r="AA47" s="2"/>
      <c r="AB47" s="14"/>
      <c r="AC47" s="14"/>
      <c r="AD47" s="14"/>
      <c r="AE47" s="25"/>
      <c r="AF47" s="25"/>
      <c r="AG47" s="25"/>
    </row>
    <row r="48" spans="1:33" ht="15.75" customHeight="1" x14ac:dyDescent="0.2">
      <c r="A48" s="14"/>
      <c r="B48" s="14"/>
      <c r="C48" s="44"/>
      <c r="D48" s="16"/>
      <c r="E48" s="16"/>
      <c r="F48" s="17"/>
      <c r="G48" s="17"/>
      <c r="H48" s="17"/>
      <c r="I48" s="16"/>
      <c r="J48" s="16"/>
      <c r="K48" s="16"/>
      <c r="L48" s="16"/>
      <c r="M48" s="19"/>
      <c r="N48" s="16"/>
      <c r="O48" s="16"/>
      <c r="P48" s="16"/>
      <c r="Q48" s="16"/>
      <c r="R48" s="16"/>
      <c r="S48" s="35"/>
      <c r="T48" s="14"/>
      <c r="U48" s="22"/>
      <c r="V48" s="1"/>
      <c r="W48" s="14"/>
      <c r="X48" s="14"/>
      <c r="Y48" s="14"/>
      <c r="Z48" s="14"/>
      <c r="AA48" s="2"/>
      <c r="AB48" s="14"/>
      <c r="AC48" s="14"/>
      <c r="AD48" s="14"/>
      <c r="AE48" s="25"/>
      <c r="AF48" s="25"/>
      <c r="AG48" s="25"/>
    </row>
    <row r="49" spans="1:33" ht="15.75" customHeight="1" x14ac:dyDescent="0.2">
      <c r="A49" s="14"/>
      <c r="B49" s="14"/>
      <c r="C49" s="44"/>
      <c r="D49" s="16"/>
      <c r="E49" s="16"/>
      <c r="F49" s="17"/>
      <c r="G49" s="17"/>
      <c r="H49" s="17"/>
      <c r="I49" s="16"/>
      <c r="J49" s="16"/>
      <c r="K49" s="16"/>
      <c r="L49" s="16"/>
      <c r="M49" s="19"/>
      <c r="N49" s="16"/>
      <c r="O49" s="16"/>
      <c r="P49" s="16"/>
      <c r="Q49" s="16"/>
      <c r="R49" s="16"/>
      <c r="S49" s="35"/>
      <c r="T49" s="14"/>
      <c r="U49" s="22"/>
      <c r="V49" s="1"/>
      <c r="W49" s="14"/>
      <c r="X49" s="14"/>
      <c r="Y49" s="14"/>
      <c r="Z49" s="14"/>
      <c r="AA49" s="2"/>
      <c r="AB49" s="14"/>
      <c r="AC49" s="14"/>
      <c r="AD49" s="14"/>
      <c r="AE49" s="25"/>
      <c r="AF49" s="25"/>
      <c r="AG49" s="25"/>
    </row>
    <row r="50" spans="1:33" ht="15.75" customHeight="1" x14ac:dyDescent="0.2">
      <c r="A50" s="14"/>
      <c r="B50" s="14"/>
      <c r="C50" s="44"/>
      <c r="D50" s="16"/>
      <c r="E50" s="16"/>
      <c r="F50" s="17"/>
      <c r="G50" s="17"/>
      <c r="H50" s="17"/>
      <c r="I50" s="16"/>
      <c r="J50" s="16"/>
      <c r="K50" s="16"/>
      <c r="L50" s="16"/>
      <c r="M50" s="19"/>
      <c r="N50" s="16"/>
      <c r="O50" s="16"/>
      <c r="P50" s="16"/>
      <c r="Q50" s="16"/>
      <c r="R50" s="16"/>
      <c r="S50" s="35"/>
      <c r="T50" s="14"/>
      <c r="U50" s="22"/>
      <c r="V50" s="1"/>
      <c r="W50" s="14"/>
      <c r="X50" s="14"/>
      <c r="Y50" s="14"/>
      <c r="Z50" s="14"/>
      <c r="AA50" s="2"/>
      <c r="AB50" s="14"/>
      <c r="AC50" s="14"/>
      <c r="AD50" s="14"/>
      <c r="AE50" s="25"/>
      <c r="AF50" s="25"/>
      <c r="AG50" s="25"/>
    </row>
    <row r="51" spans="1:33" ht="15.75" customHeight="1" x14ac:dyDescent="0.2">
      <c r="A51" s="14"/>
      <c r="B51" s="14"/>
      <c r="C51" s="44"/>
      <c r="D51" s="16"/>
      <c r="E51" s="16"/>
      <c r="F51" s="17"/>
      <c r="G51" s="17"/>
      <c r="H51" s="17"/>
      <c r="I51" s="16"/>
      <c r="J51" s="16"/>
      <c r="K51" s="16"/>
      <c r="L51" s="16"/>
      <c r="M51" s="19"/>
      <c r="N51" s="16"/>
      <c r="O51" s="16"/>
      <c r="P51" s="16"/>
      <c r="Q51" s="16"/>
      <c r="R51" s="16"/>
      <c r="S51" s="35"/>
      <c r="T51" s="14"/>
      <c r="U51" s="22"/>
      <c r="V51" s="1"/>
      <c r="W51" s="14"/>
      <c r="X51" s="14"/>
      <c r="Y51" s="14"/>
      <c r="Z51" s="14"/>
      <c r="AA51" s="2"/>
      <c r="AB51" s="14"/>
      <c r="AC51" s="14"/>
      <c r="AD51" s="14"/>
      <c r="AE51" s="25"/>
      <c r="AF51" s="25"/>
      <c r="AG51" s="25"/>
    </row>
    <row r="52" spans="1:33" ht="15.75" customHeight="1" x14ac:dyDescent="0.2">
      <c r="A52" s="14"/>
      <c r="B52" s="14"/>
      <c r="C52" s="44"/>
      <c r="D52" s="16"/>
      <c r="E52" s="16"/>
      <c r="F52" s="17"/>
      <c r="G52" s="17"/>
      <c r="H52" s="17"/>
      <c r="I52" s="16"/>
      <c r="J52" s="16"/>
      <c r="K52" s="16"/>
      <c r="L52" s="16"/>
      <c r="M52" s="19"/>
      <c r="N52" s="16"/>
      <c r="O52" s="16"/>
      <c r="P52" s="16"/>
      <c r="Q52" s="16"/>
      <c r="R52" s="16"/>
      <c r="S52" s="35"/>
      <c r="T52" s="14"/>
      <c r="U52" s="22"/>
      <c r="V52" s="1"/>
      <c r="W52" s="14"/>
      <c r="X52" s="14"/>
      <c r="Y52" s="14"/>
      <c r="Z52" s="14"/>
      <c r="AA52" s="2"/>
      <c r="AB52" s="14"/>
      <c r="AC52" s="14"/>
      <c r="AD52" s="14"/>
      <c r="AE52" s="25"/>
      <c r="AF52" s="25"/>
      <c r="AG52" s="25"/>
    </row>
    <row r="53" spans="1:33" ht="15.75" customHeight="1" x14ac:dyDescent="0.2">
      <c r="A53" s="14"/>
      <c r="B53" s="14"/>
      <c r="C53" s="44"/>
      <c r="D53" s="16"/>
      <c r="E53" s="16"/>
      <c r="F53" s="17"/>
      <c r="G53" s="17"/>
      <c r="H53" s="17"/>
      <c r="I53" s="16"/>
      <c r="J53" s="16"/>
      <c r="K53" s="16"/>
      <c r="L53" s="16"/>
      <c r="M53" s="19"/>
      <c r="N53" s="16"/>
      <c r="O53" s="16"/>
      <c r="P53" s="16"/>
      <c r="Q53" s="16"/>
      <c r="R53" s="16"/>
      <c r="S53" s="35"/>
      <c r="T53" s="14"/>
      <c r="U53" s="22"/>
      <c r="V53" s="1"/>
      <c r="W53" s="14"/>
      <c r="X53" s="14"/>
      <c r="Y53" s="14"/>
      <c r="Z53" s="14"/>
      <c r="AA53" s="2"/>
      <c r="AB53" s="14"/>
      <c r="AC53" s="14"/>
      <c r="AD53" s="14"/>
      <c r="AE53" s="25"/>
      <c r="AF53" s="25"/>
      <c r="AG53" s="25"/>
    </row>
    <row r="54" spans="1:33" ht="15.75" customHeight="1" x14ac:dyDescent="0.2">
      <c r="A54" s="14"/>
      <c r="B54" s="14"/>
      <c r="C54" s="44"/>
      <c r="D54" s="16"/>
      <c r="E54" s="16"/>
      <c r="F54" s="17"/>
      <c r="G54" s="17"/>
      <c r="H54" s="17"/>
      <c r="I54" s="16"/>
      <c r="J54" s="16"/>
      <c r="K54" s="16"/>
      <c r="L54" s="16"/>
      <c r="M54" s="19"/>
      <c r="N54" s="16"/>
      <c r="O54" s="16"/>
      <c r="P54" s="16"/>
      <c r="Q54" s="16"/>
      <c r="R54" s="16"/>
      <c r="S54" s="35"/>
      <c r="T54" s="14"/>
      <c r="U54" s="22"/>
      <c r="V54" s="1"/>
      <c r="W54" s="14"/>
      <c r="X54" s="14"/>
      <c r="Y54" s="14"/>
      <c r="Z54" s="14"/>
      <c r="AA54" s="2"/>
      <c r="AB54" s="14"/>
      <c r="AC54" s="14"/>
      <c r="AD54" s="14"/>
      <c r="AE54" s="25"/>
      <c r="AF54" s="25"/>
      <c r="AG54" s="25"/>
    </row>
    <row r="55" spans="1:33" ht="15.75" customHeight="1" x14ac:dyDescent="0.2">
      <c r="A55" s="14"/>
      <c r="B55" s="14"/>
      <c r="C55" s="44"/>
      <c r="D55" s="16"/>
      <c r="E55" s="16"/>
      <c r="F55" s="17"/>
      <c r="G55" s="17"/>
      <c r="H55" s="17"/>
      <c r="I55" s="16"/>
      <c r="J55" s="16"/>
      <c r="K55" s="16"/>
      <c r="L55" s="16"/>
      <c r="M55" s="19"/>
      <c r="N55" s="16"/>
      <c r="O55" s="16"/>
      <c r="P55" s="16"/>
      <c r="Q55" s="16"/>
      <c r="R55" s="16"/>
      <c r="S55" s="35"/>
      <c r="T55" s="14"/>
      <c r="U55" s="22"/>
      <c r="V55" s="1"/>
      <c r="W55" s="14"/>
      <c r="X55" s="14"/>
      <c r="Y55" s="14"/>
      <c r="Z55" s="14"/>
      <c r="AA55" s="2"/>
      <c r="AB55" s="14"/>
      <c r="AC55" s="14"/>
      <c r="AD55" s="14"/>
      <c r="AE55" s="25"/>
      <c r="AF55" s="25"/>
      <c r="AG55" s="25"/>
    </row>
    <row r="56" spans="1:33" ht="15.75" customHeight="1" x14ac:dyDescent="0.2">
      <c r="A56" s="14"/>
      <c r="B56" s="14"/>
      <c r="C56" s="44"/>
      <c r="D56" s="16"/>
      <c r="E56" s="16"/>
      <c r="F56" s="17"/>
      <c r="G56" s="17"/>
      <c r="H56" s="17"/>
      <c r="I56" s="16"/>
      <c r="J56" s="16"/>
      <c r="K56" s="16"/>
      <c r="L56" s="16"/>
      <c r="M56" s="19"/>
      <c r="N56" s="16"/>
      <c r="O56" s="16"/>
      <c r="P56" s="16"/>
      <c r="Q56" s="16"/>
      <c r="R56" s="16"/>
      <c r="S56" s="35"/>
      <c r="T56" s="14"/>
      <c r="U56" s="22"/>
      <c r="V56" s="1"/>
      <c r="W56" s="14"/>
      <c r="X56" s="14"/>
      <c r="Y56" s="14"/>
      <c r="Z56" s="14"/>
      <c r="AA56" s="2"/>
      <c r="AB56" s="14"/>
      <c r="AC56" s="14"/>
      <c r="AD56" s="14"/>
      <c r="AE56" s="25"/>
      <c r="AF56" s="25"/>
      <c r="AG56" s="25"/>
    </row>
    <row r="57" spans="1:33" ht="15.75" customHeight="1" x14ac:dyDescent="0.2">
      <c r="A57" s="14"/>
      <c r="B57" s="14"/>
      <c r="C57" s="44"/>
      <c r="D57" s="16"/>
      <c r="E57" s="16"/>
      <c r="F57" s="17"/>
      <c r="G57" s="17"/>
      <c r="H57" s="17"/>
      <c r="I57" s="16"/>
      <c r="J57" s="16"/>
      <c r="K57" s="16"/>
      <c r="L57" s="16"/>
      <c r="M57" s="19"/>
      <c r="N57" s="16"/>
      <c r="O57" s="16"/>
      <c r="P57" s="16"/>
      <c r="Q57" s="16"/>
      <c r="R57" s="16"/>
      <c r="S57" s="35"/>
      <c r="T57" s="14"/>
      <c r="U57" s="22"/>
      <c r="V57" s="1"/>
      <c r="W57" s="14"/>
      <c r="X57" s="14"/>
      <c r="Y57" s="14"/>
      <c r="Z57" s="14"/>
      <c r="AA57" s="2"/>
      <c r="AB57" s="14"/>
      <c r="AC57" s="14"/>
      <c r="AD57" s="14"/>
      <c r="AE57" s="25"/>
      <c r="AF57" s="25"/>
      <c r="AG57" s="25"/>
    </row>
    <row r="58" spans="1:33" ht="15.75" customHeight="1" x14ac:dyDescent="0.2">
      <c r="A58" s="14"/>
      <c r="B58" s="14"/>
      <c r="C58" s="44"/>
      <c r="D58" s="16"/>
      <c r="E58" s="16"/>
      <c r="F58" s="17"/>
      <c r="G58" s="17"/>
      <c r="H58" s="17"/>
      <c r="I58" s="16"/>
      <c r="J58" s="16"/>
      <c r="K58" s="16"/>
      <c r="L58" s="16"/>
      <c r="M58" s="19"/>
      <c r="N58" s="16"/>
      <c r="O58" s="16"/>
      <c r="P58" s="16"/>
      <c r="Q58" s="16"/>
      <c r="R58" s="16"/>
      <c r="S58" s="35"/>
      <c r="T58" s="14"/>
      <c r="U58" s="22"/>
      <c r="V58" s="1"/>
      <c r="W58" s="14"/>
      <c r="X58" s="14"/>
      <c r="Y58" s="14"/>
      <c r="Z58" s="14"/>
      <c r="AA58" s="2"/>
      <c r="AB58" s="14"/>
      <c r="AC58" s="14"/>
      <c r="AD58" s="14"/>
      <c r="AE58" s="25"/>
      <c r="AF58" s="25"/>
      <c r="AG58" s="25"/>
    </row>
    <row r="59" spans="1:33" ht="15.75" customHeight="1" x14ac:dyDescent="0.2">
      <c r="A59" s="14"/>
      <c r="B59" s="14"/>
      <c r="C59" s="44"/>
      <c r="D59" s="16"/>
      <c r="E59" s="16"/>
      <c r="F59" s="17"/>
      <c r="G59" s="17"/>
      <c r="H59" s="17"/>
      <c r="I59" s="16"/>
      <c r="J59" s="16"/>
      <c r="K59" s="16"/>
      <c r="L59" s="16"/>
      <c r="M59" s="19"/>
      <c r="N59" s="16"/>
      <c r="O59" s="16"/>
      <c r="P59" s="16"/>
      <c r="Q59" s="16"/>
      <c r="R59" s="16"/>
      <c r="S59" s="35"/>
      <c r="T59" s="14"/>
      <c r="U59" s="22"/>
      <c r="V59" s="1"/>
      <c r="W59" s="14"/>
      <c r="X59" s="14"/>
      <c r="Y59" s="14"/>
      <c r="Z59" s="14"/>
      <c r="AA59" s="2"/>
      <c r="AB59" s="14"/>
      <c r="AC59" s="14"/>
      <c r="AD59" s="14"/>
      <c r="AE59" s="25"/>
      <c r="AF59" s="25"/>
      <c r="AG59" s="25"/>
    </row>
    <row r="60" spans="1:33" ht="15.75" customHeight="1" x14ac:dyDescent="0.2">
      <c r="A60" s="14"/>
      <c r="B60" s="14"/>
      <c r="C60" s="44"/>
      <c r="D60" s="16"/>
      <c r="E60" s="16"/>
      <c r="F60" s="17"/>
      <c r="G60" s="17"/>
      <c r="H60" s="17"/>
      <c r="I60" s="16"/>
      <c r="J60" s="16"/>
      <c r="K60" s="16"/>
      <c r="L60" s="16"/>
      <c r="M60" s="19"/>
      <c r="N60" s="16"/>
      <c r="O60" s="16"/>
      <c r="P60" s="16"/>
      <c r="Q60" s="16"/>
      <c r="R60" s="16"/>
      <c r="S60" s="35"/>
      <c r="T60" s="14"/>
      <c r="U60" s="22"/>
      <c r="V60" s="1"/>
      <c r="W60" s="14"/>
      <c r="X60" s="14"/>
      <c r="Y60" s="14"/>
      <c r="Z60" s="14"/>
      <c r="AA60" s="2"/>
      <c r="AB60" s="14"/>
      <c r="AC60" s="14"/>
      <c r="AD60" s="14"/>
      <c r="AE60" s="25"/>
      <c r="AF60" s="25"/>
      <c r="AG60" s="25"/>
    </row>
    <row r="61" spans="1:33" ht="15.75" customHeight="1" x14ac:dyDescent="0.2">
      <c r="A61" s="14"/>
      <c r="B61" s="14"/>
      <c r="C61" s="44"/>
      <c r="D61" s="16"/>
      <c r="E61" s="16"/>
      <c r="F61" s="17"/>
      <c r="G61" s="17"/>
      <c r="H61" s="17"/>
      <c r="I61" s="16"/>
      <c r="J61" s="16"/>
      <c r="K61" s="16"/>
      <c r="L61" s="16"/>
      <c r="M61" s="19"/>
      <c r="N61" s="16"/>
      <c r="O61" s="16"/>
      <c r="P61" s="16"/>
      <c r="Q61" s="16"/>
      <c r="R61" s="16"/>
      <c r="S61" s="35"/>
      <c r="T61" s="14"/>
      <c r="U61" s="22"/>
      <c r="V61" s="1"/>
      <c r="W61" s="14"/>
      <c r="X61" s="14"/>
      <c r="Y61" s="14"/>
      <c r="Z61" s="14"/>
      <c r="AA61" s="2"/>
      <c r="AB61" s="14"/>
      <c r="AC61" s="14"/>
      <c r="AD61" s="14"/>
      <c r="AE61" s="25"/>
      <c r="AF61" s="25"/>
      <c r="AG61" s="25"/>
    </row>
    <row r="62" spans="1:33" ht="15.75" customHeight="1" x14ac:dyDescent="0.2">
      <c r="A62" s="14"/>
      <c r="B62" s="14"/>
      <c r="C62" s="44"/>
      <c r="D62" s="16"/>
      <c r="E62" s="16"/>
      <c r="F62" s="17"/>
      <c r="G62" s="17"/>
      <c r="H62" s="17"/>
      <c r="I62" s="16"/>
      <c r="J62" s="16"/>
      <c r="K62" s="16"/>
      <c r="L62" s="16"/>
      <c r="M62" s="19"/>
      <c r="N62" s="16"/>
      <c r="O62" s="16"/>
      <c r="P62" s="16"/>
      <c r="Q62" s="16"/>
      <c r="R62" s="16"/>
      <c r="S62" s="35"/>
      <c r="T62" s="14"/>
      <c r="U62" s="22"/>
      <c r="V62" s="1"/>
      <c r="W62" s="14"/>
      <c r="X62" s="14"/>
      <c r="Y62" s="14"/>
      <c r="Z62" s="14"/>
      <c r="AA62" s="2"/>
      <c r="AB62" s="14"/>
      <c r="AC62" s="14"/>
      <c r="AD62" s="14"/>
      <c r="AE62" s="25"/>
      <c r="AF62" s="25"/>
      <c r="AG62" s="25"/>
    </row>
    <row r="63" spans="1:33" ht="15.75" customHeight="1" x14ac:dyDescent="0.2">
      <c r="A63" s="14"/>
      <c r="B63" s="14"/>
      <c r="C63" s="44"/>
      <c r="D63" s="16"/>
      <c r="E63" s="16"/>
      <c r="F63" s="17"/>
      <c r="G63" s="17"/>
      <c r="H63" s="17"/>
      <c r="I63" s="16"/>
      <c r="J63" s="16"/>
      <c r="K63" s="16"/>
      <c r="L63" s="16"/>
      <c r="M63" s="19"/>
      <c r="N63" s="16"/>
      <c r="O63" s="16"/>
      <c r="P63" s="16"/>
      <c r="Q63" s="16"/>
      <c r="R63" s="16"/>
      <c r="S63" s="35"/>
      <c r="T63" s="14"/>
      <c r="U63" s="22"/>
      <c r="V63" s="1"/>
      <c r="W63" s="14"/>
      <c r="X63" s="14"/>
      <c r="Y63" s="14"/>
      <c r="Z63" s="14"/>
      <c r="AA63" s="2"/>
      <c r="AB63" s="14"/>
      <c r="AC63" s="14"/>
      <c r="AD63" s="14"/>
      <c r="AE63" s="25"/>
      <c r="AF63" s="25"/>
      <c r="AG63" s="25"/>
    </row>
    <row r="64" spans="1:33" ht="15.75" customHeight="1" x14ac:dyDescent="0.2">
      <c r="A64" s="14"/>
      <c r="B64" s="14"/>
      <c r="C64" s="44"/>
      <c r="D64" s="16"/>
      <c r="E64" s="16"/>
      <c r="F64" s="17"/>
      <c r="G64" s="17"/>
      <c r="H64" s="17"/>
      <c r="I64" s="16"/>
      <c r="J64" s="16"/>
      <c r="K64" s="16"/>
      <c r="L64" s="16"/>
      <c r="M64" s="19"/>
      <c r="N64" s="16"/>
      <c r="O64" s="16"/>
      <c r="P64" s="16"/>
      <c r="Q64" s="16"/>
      <c r="R64" s="16"/>
      <c r="S64" s="35"/>
      <c r="T64" s="14"/>
      <c r="U64" s="22"/>
      <c r="V64" s="1"/>
      <c r="W64" s="14"/>
      <c r="X64" s="14"/>
      <c r="Y64" s="14"/>
      <c r="Z64" s="14"/>
      <c r="AA64" s="2"/>
      <c r="AB64" s="14"/>
      <c r="AC64" s="14"/>
      <c r="AD64" s="14"/>
      <c r="AE64" s="25"/>
      <c r="AF64" s="25"/>
      <c r="AG64" s="25"/>
    </row>
    <row r="65" spans="1:33" ht="15.75" customHeight="1" x14ac:dyDescent="0.2">
      <c r="A65" s="14"/>
      <c r="B65" s="14"/>
      <c r="C65" s="44"/>
      <c r="D65" s="16"/>
      <c r="E65" s="16"/>
      <c r="F65" s="17"/>
      <c r="G65" s="17"/>
      <c r="H65" s="17"/>
      <c r="I65" s="16"/>
      <c r="J65" s="16"/>
      <c r="K65" s="16"/>
      <c r="L65" s="16"/>
      <c r="M65" s="19"/>
      <c r="N65" s="16"/>
      <c r="O65" s="16"/>
      <c r="P65" s="16"/>
      <c r="Q65" s="16"/>
      <c r="R65" s="16"/>
      <c r="S65" s="35"/>
      <c r="T65" s="14"/>
      <c r="U65" s="22"/>
      <c r="V65" s="1"/>
      <c r="W65" s="14"/>
      <c r="X65" s="14"/>
      <c r="Y65" s="14"/>
      <c r="Z65" s="14"/>
      <c r="AA65" s="2"/>
      <c r="AB65" s="14"/>
      <c r="AC65" s="14"/>
      <c r="AD65" s="14"/>
      <c r="AE65" s="25"/>
      <c r="AF65" s="25"/>
      <c r="AG65" s="25"/>
    </row>
    <row r="66" spans="1:33" ht="15.75" customHeight="1" x14ac:dyDescent="0.2">
      <c r="A66" s="14"/>
      <c r="B66" s="14"/>
      <c r="C66" s="44"/>
      <c r="D66" s="16"/>
      <c r="E66" s="16"/>
      <c r="F66" s="17"/>
      <c r="G66" s="17"/>
      <c r="H66" s="17"/>
      <c r="I66" s="16"/>
      <c r="J66" s="16"/>
      <c r="K66" s="16"/>
      <c r="L66" s="16"/>
      <c r="M66" s="19"/>
      <c r="N66" s="16"/>
      <c r="O66" s="16"/>
      <c r="P66" s="16"/>
      <c r="Q66" s="16"/>
      <c r="R66" s="16"/>
      <c r="S66" s="35"/>
      <c r="T66" s="14"/>
      <c r="U66" s="22"/>
      <c r="V66" s="1"/>
      <c r="W66" s="14"/>
      <c r="X66" s="14"/>
      <c r="Y66" s="14"/>
      <c r="Z66" s="14"/>
      <c r="AA66" s="2"/>
      <c r="AB66" s="14"/>
      <c r="AC66" s="14"/>
      <c r="AD66" s="14"/>
      <c r="AE66" s="25"/>
      <c r="AF66" s="25"/>
      <c r="AG66" s="25"/>
    </row>
    <row r="67" spans="1:33" ht="15.75" customHeight="1" x14ac:dyDescent="0.2">
      <c r="A67" s="14"/>
      <c r="B67" s="14"/>
      <c r="C67" s="44"/>
      <c r="D67" s="16"/>
      <c r="E67" s="16"/>
      <c r="F67" s="17"/>
      <c r="G67" s="17"/>
      <c r="H67" s="17"/>
      <c r="I67" s="16"/>
      <c r="J67" s="16"/>
      <c r="K67" s="16"/>
      <c r="L67" s="16"/>
      <c r="M67" s="19"/>
      <c r="N67" s="16"/>
      <c r="O67" s="16"/>
      <c r="P67" s="16"/>
      <c r="Q67" s="16"/>
      <c r="R67" s="16"/>
      <c r="S67" s="35"/>
      <c r="T67" s="14"/>
      <c r="U67" s="22"/>
      <c r="V67" s="1"/>
      <c r="W67" s="14"/>
      <c r="X67" s="14"/>
      <c r="Y67" s="14"/>
      <c r="Z67" s="14"/>
      <c r="AA67" s="2"/>
      <c r="AB67" s="14"/>
      <c r="AC67" s="14"/>
      <c r="AD67" s="14"/>
      <c r="AE67" s="25"/>
      <c r="AF67" s="25"/>
      <c r="AG67" s="25"/>
    </row>
    <row r="68" spans="1:33" ht="15.75" customHeight="1" x14ac:dyDescent="0.2">
      <c r="A68" s="14"/>
      <c r="B68" s="14"/>
      <c r="C68" s="44"/>
      <c r="D68" s="16"/>
      <c r="E68" s="16"/>
      <c r="F68" s="17"/>
      <c r="G68" s="17"/>
      <c r="H68" s="17"/>
      <c r="I68" s="16"/>
      <c r="J68" s="16"/>
      <c r="K68" s="16"/>
      <c r="L68" s="16"/>
      <c r="M68" s="19"/>
      <c r="N68" s="16"/>
      <c r="O68" s="16"/>
      <c r="P68" s="16"/>
      <c r="Q68" s="16"/>
      <c r="R68" s="16"/>
      <c r="S68" s="35"/>
      <c r="T68" s="14"/>
      <c r="U68" s="22"/>
      <c r="V68" s="1"/>
      <c r="W68" s="14"/>
      <c r="X68" s="14"/>
      <c r="Y68" s="14"/>
      <c r="Z68" s="14"/>
      <c r="AA68" s="2"/>
      <c r="AB68" s="14"/>
      <c r="AC68" s="14"/>
      <c r="AD68" s="14"/>
      <c r="AE68" s="25"/>
      <c r="AF68" s="25"/>
      <c r="AG68" s="25"/>
    </row>
    <row r="69" spans="1:33" ht="15.75" customHeight="1" x14ac:dyDescent="0.2">
      <c r="A69" s="14"/>
      <c r="B69" s="14"/>
      <c r="C69" s="44"/>
      <c r="D69" s="16"/>
      <c r="E69" s="16"/>
      <c r="F69" s="17"/>
      <c r="G69" s="17"/>
      <c r="H69" s="17"/>
      <c r="I69" s="16"/>
      <c r="J69" s="16"/>
      <c r="K69" s="16"/>
      <c r="L69" s="16"/>
      <c r="M69" s="19"/>
      <c r="N69" s="16"/>
      <c r="O69" s="16"/>
      <c r="P69" s="16"/>
      <c r="Q69" s="16"/>
      <c r="R69" s="16"/>
      <c r="S69" s="35"/>
      <c r="T69" s="14"/>
      <c r="U69" s="22"/>
      <c r="V69" s="1"/>
      <c r="W69" s="14"/>
      <c r="X69" s="14"/>
      <c r="Y69" s="14"/>
      <c r="Z69" s="14"/>
      <c r="AA69" s="2"/>
      <c r="AB69" s="14"/>
      <c r="AC69" s="14"/>
      <c r="AD69" s="14"/>
      <c r="AE69" s="25"/>
      <c r="AF69" s="25"/>
      <c r="AG69" s="25"/>
    </row>
    <row r="70" spans="1:33" ht="15.75" customHeight="1" x14ac:dyDescent="0.2">
      <c r="A70" s="14"/>
      <c r="B70" s="14"/>
      <c r="C70" s="44"/>
      <c r="D70" s="16"/>
      <c r="E70" s="16"/>
      <c r="F70" s="17"/>
      <c r="G70" s="17"/>
      <c r="H70" s="17"/>
      <c r="I70" s="16"/>
      <c r="J70" s="16"/>
      <c r="K70" s="16"/>
      <c r="L70" s="16"/>
      <c r="M70" s="19"/>
      <c r="N70" s="16"/>
      <c r="O70" s="16"/>
      <c r="P70" s="16"/>
      <c r="Q70" s="16"/>
      <c r="R70" s="16"/>
      <c r="S70" s="35"/>
      <c r="T70" s="14"/>
      <c r="U70" s="22"/>
      <c r="V70" s="1"/>
      <c r="W70" s="14"/>
      <c r="X70" s="14"/>
      <c r="Y70" s="14"/>
      <c r="Z70" s="14"/>
      <c r="AA70" s="2"/>
      <c r="AB70" s="14"/>
      <c r="AC70" s="14"/>
      <c r="AD70" s="14"/>
      <c r="AE70" s="25"/>
      <c r="AF70" s="25"/>
      <c r="AG70" s="25"/>
    </row>
    <row r="71" spans="1:33" ht="15.75" customHeight="1" x14ac:dyDescent="0.2">
      <c r="A71" s="14"/>
      <c r="B71" s="14"/>
      <c r="C71" s="44"/>
      <c r="D71" s="16"/>
      <c r="E71" s="16"/>
      <c r="F71" s="17"/>
      <c r="G71" s="17"/>
      <c r="H71" s="17"/>
      <c r="I71" s="16"/>
      <c r="J71" s="16"/>
      <c r="K71" s="16"/>
      <c r="L71" s="16"/>
      <c r="M71" s="19"/>
      <c r="N71" s="16"/>
      <c r="O71" s="16"/>
      <c r="P71" s="16"/>
      <c r="Q71" s="16"/>
      <c r="R71" s="16"/>
      <c r="S71" s="35"/>
      <c r="T71" s="14"/>
      <c r="U71" s="22"/>
      <c r="V71" s="1"/>
      <c r="W71" s="14"/>
      <c r="X71" s="14"/>
      <c r="Y71" s="14"/>
      <c r="Z71" s="14"/>
      <c r="AA71" s="2"/>
      <c r="AB71" s="14"/>
      <c r="AC71" s="14"/>
      <c r="AD71" s="14"/>
      <c r="AE71" s="25"/>
      <c r="AF71" s="25"/>
      <c r="AG71" s="25"/>
    </row>
    <row r="72" spans="1:33" ht="15.75" customHeight="1" x14ac:dyDescent="0.2">
      <c r="A72" s="14"/>
      <c r="B72" s="14"/>
      <c r="C72" s="44"/>
      <c r="D72" s="16"/>
      <c r="E72" s="16"/>
      <c r="F72" s="17"/>
      <c r="G72" s="17"/>
      <c r="H72" s="17"/>
      <c r="I72" s="16"/>
      <c r="J72" s="16"/>
      <c r="K72" s="16"/>
      <c r="L72" s="16"/>
      <c r="M72" s="19"/>
      <c r="N72" s="16"/>
      <c r="O72" s="16"/>
      <c r="P72" s="16"/>
      <c r="Q72" s="16"/>
      <c r="R72" s="16"/>
      <c r="S72" s="35"/>
      <c r="T72" s="14"/>
      <c r="U72" s="22"/>
      <c r="V72" s="1"/>
      <c r="W72" s="14"/>
      <c r="X72" s="14"/>
      <c r="Y72" s="14"/>
      <c r="Z72" s="14"/>
      <c r="AA72" s="2"/>
      <c r="AB72" s="14"/>
      <c r="AC72" s="14"/>
      <c r="AD72" s="14"/>
      <c r="AE72" s="25"/>
      <c r="AF72" s="25"/>
      <c r="AG72" s="25"/>
    </row>
    <row r="73" spans="1:33" ht="15.75" customHeight="1" x14ac:dyDescent="0.2">
      <c r="A73" s="14"/>
      <c r="B73" s="14"/>
      <c r="C73" s="44"/>
      <c r="D73" s="16"/>
      <c r="E73" s="16"/>
      <c r="F73" s="17"/>
      <c r="G73" s="17"/>
      <c r="H73" s="17"/>
      <c r="I73" s="16"/>
      <c r="J73" s="16"/>
      <c r="K73" s="16"/>
      <c r="L73" s="16"/>
      <c r="M73" s="19"/>
      <c r="N73" s="16"/>
      <c r="O73" s="16"/>
      <c r="P73" s="16"/>
      <c r="Q73" s="16"/>
      <c r="R73" s="16"/>
      <c r="S73" s="35"/>
      <c r="T73" s="14"/>
      <c r="U73" s="22"/>
      <c r="V73" s="1"/>
      <c r="W73" s="14"/>
      <c r="X73" s="14"/>
      <c r="Y73" s="14"/>
      <c r="Z73" s="14"/>
      <c r="AA73" s="2"/>
      <c r="AB73" s="14"/>
      <c r="AC73" s="14"/>
      <c r="AD73" s="14"/>
      <c r="AE73" s="25"/>
      <c r="AF73" s="25"/>
      <c r="AG73" s="25"/>
    </row>
    <row r="74" spans="1:33" ht="15.75" customHeight="1" x14ac:dyDescent="0.2">
      <c r="A74" s="14"/>
      <c r="B74" s="14"/>
      <c r="C74" s="44"/>
      <c r="D74" s="16"/>
      <c r="E74" s="16"/>
      <c r="F74" s="17"/>
      <c r="G74" s="17"/>
      <c r="H74" s="17"/>
      <c r="I74" s="16"/>
      <c r="J74" s="16"/>
      <c r="K74" s="16"/>
      <c r="L74" s="16"/>
      <c r="M74" s="19"/>
      <c r="N74" s="16"/>
      <c r="O74" s="16"/>
      <c r="P74" s="16"/>
      <c r="Q74" s="16"/>
      <c r="R74" s="16"/>
      <c r="S74" s="35"/>
      <c r="T74" s="14"/>
      <c r="U74" s="22"/>
      <c r="V74" s="1"/>
      <c r="W74" s="14"/>
      <c r="X74" s="14"/>
      <c r="Y74" s="14"/>
      <c r="Z74" s="14"/>
      <c r="AA74" s="2"/>
      <c r="AB74" s="14"/>
      <c r="AC74" s="14"/>
      <c r="AD74" s="14"/>
      <c r="AE74" s="25"/>
      <c r="AF74" s="25"/>
      <c r="AG74" s="25"/>
    </row>
    <row r="75" spans="1:33" ht="15.75" customHeight="1" x14ac:dyDescent="0.2">
      <c r="A75" s="14"/>
      <c r="B75" s="14"/>
      <c r="C75" s="44"/>
      <c r="D75" s="16"/>
      <c r="E75" s="16"/>
      <c r="F75" s="17"/>
      <c r="G75" s="17"/>
      <c r="H75" s="17"/>
      <c r="I75" s="16"/>
      <c r="J75" s="16"/>
      <c r="K75" s="16"/>
      <c r="L75" s="16"/>
      <c r="M75" s="19"/>
      <c r="N75" s="16"/>
      <c r="O75" s="16"/>
      <c r="P75" s="16"/>
      <c r="Q75" s="16"/>
      <c r="R75" s="16"/>
      <c r="S75" s="35"/>
      <c r="T75" s="14"/>
      <c r="U75" s="22"/>
      <c r="V75" s="1"/>
      <c r="W75" s="14"/>
      <c r="X75" s="14"/>
      <c r="Y75" s="14"/>
      <c r="Z75" s="14"/>
      <c r="AA75" s="2"/>
      <c r="AB75" s="14"/>
      <c r="AC75" s="14"/>
      <c r="AD75" s="14"/>
      <c r="AE75" s="25"/>
      <c r="AF75" s="25"/>
      <c r="AG75" s="25"/>
    </row>
    <row r="76" spans="1:33" ht="15.75" customHeight="1" x14ac:dyDescent="0.2">
      <c r="A76" s="14"/>
      <c r="B76" s="14"/>
      <c r="C76" s="44"/>
      <c r="D76" s="16"/>
      <c r="E76" s="16"/>
      <c r="F76" s="17"/>
      <c r="G76" s="17"/>
      <c r="H76" s="17"/>
      <c r="I76" s="16"/>
      <c r="J76" s="16"/>
      <c r="K76" s="16"/>
      <c r="L76" s="16"/>
      <c r="M76" s="19"/>
      <c r="N76" s="16"/>
      <c r="O76" s="16"/>
      <c r="P76" s="16"/>
      <c r="Q76" s="16"/>
      <c r="R76" s="16"/>
      <c r="S76" s="35"/>
      <c r="T76" s="14"/>
      <c r="U76" s="22"/>
      <c r="V76" s="1"/>
      <c r="W76" s="14"/>
      <c r="X76" s="14"/>
      <c r="Y76" s="14"/>
      <c r="Z76" s="14"/>
      <c r="AA76" s="2"/>
      <c r="AB76" s="14"/>
      <c r="AC76" s="14"/>
      <c r="AD76" s="14"/>
      <c r="AE76" s="25"/>
      <c r="AF76" s="25"/>
      <c r="AG76" s="25"/>
    </row>
    <row r="77" spans="1:33" ht="15.75" customHeight="1" x14ac:dyDescent="0.2">
      <c r="A77" s="14"/>
      <c r="B77" s="14"/>
      <c r="C77" s="44"/>
      <c r="D77" s="16"/>
      <c r="E77" s="16"/>
      <c r="F77" s="17"/>
      <c r="G77" s="17"/>
      <c r="H77" s="17"/>
      <c r="I77" s="16"/>
      <c r="J77" s="16"/>
      <c r="K77" s="16"/>
      <c r="L77" s="16"/>
      <c r="M77" s="19"/>
      <c r="N77" s="16"/>
      <c r="O77" s="16"/>
      <c r="P77" s="16"/>
      <c r="Q77" s="16"/>
      <c r="R77" s="16"/>
      <c r="S77" s="35"/>
      <c r="T77" s="14"/>
      <c r="U77" s="22"/>
      <c r="V77" s="1"/>
      <c r="W77" s="14"/>
      <c r="X77" s="14"/>
      <c r="Y77" s="14"/>
      <c r="Z77" s="14"/>
      <c r="AA77" s="2"/>
      <c r="AB77" s="14"/>
      <c r="AC77" s="14"/>
      <c r="AD77" s="14"/>
      <c r="AE77" s="25"/>
      <c r="AF77" s="25"/>
      <c r="AG77" s="25"/>
    </row>
    <row r="78" spans="1:33" ht="15.75" customHeight="1" x14ac:dyDescent="0.2">
      <c r="A78" s="14"/>
      <c r="B78" s="14"/>
      <c r="C78" s="44"/>
      <c r="D78" s="16"/>
      <c r="E78" s="16"/>
      <c r="F78" s="17"/>
      <c r="G78" s="17"/>
      <c r="H78" s="17"/>
      <c r="I78" s="16"/>
      <c r="J78" s="16"/>
      <c r="K78" s="16"/>
      <c r="L78" s="16"/>
      <c r="M78" s="19"/>
      <c r="N78" s="16"/>
      <c r="O78" s="16"/>
      <c r="P78" s="16"/>
      <c r="Q78" s="16"/>
      <c r="R78" s="16"/>
      <c r="S78" s="35"/>
      <c r="T78" s="14"/>
      <c r="U78" s="22"/>
      <c r="V78" s="1"/>
      <c r="W78" s="14"/>
      <c r="X78" s="14"/>
      <c r="Y78" s="14"/>
      <c r="Z78" s="14"/>
      <c r="AA78" s="2"/>
      <c r="AB78" s="14"/>
      <c r="AC78" s="14"/>
      <c r="AD78" s="14"/>
      <c r="AE78" s="25"/>
      <c r="AF78" s="25"/>
      <c r="AG78" s="25"/>
    </row>
    <row r="79" spans="1:33" ht="15.75" customHeight="1" x14ac:dyDescent="0.2">
      <c r="A79" s="14"/>
      <c r="B79" s="14"/>
      <c r="C79" s="44"/>
      <c r="D79" s="16"/>
      <c r="E79" s="16"/>
      <c r="F79" s="17"/>
      <c r="G79" s="17"/>
      <c r="H79" s="17"/>
      <c r="I79" s="16"/>
      <c r="J79" s="16"/>
      <c r="K79" s="16"/>
      <c r="L79" s="16"/>
      <c r="M79" s="19"/>
      <c r="N79" s="16"/>
      <c r="O79" s="16"/>
      <c r="P79" s="16"/>
      <c r="Q79" s="16"/>
      <c r="R79" s="16"/>
      <c r="S79" s="35"/>
      <c r="T79" s="14"/>
      <c r="U79" s="22"/>
      <c r="V79" s="1"/>
      <c r="W79" s="14"/>
      <c r="X79" s="14"/>
      <c r="Y79" s="14"/>
      <c r="Z79" s="14"/>
      <c r="AA79" s="2"/>
      <c r="AB79" s="14"/>
      <c r="AC79" s="14"/>
      <c r="AD79" s="14"/>
      <c r="AE79" s="25"/>
      <c r="AF79" s="25"/>
      <c r="AG79" s="25"/>
    </row>
    <row r="80" spans="1:33" ht="15.75" customHeight="1" x14ac:dyDescent="0.2">
      <c r="A80" s="14"/>
      <c r="B80" s="14"/>
      <c r="C80" s="44"/>
      <c r="D80" s="16"/>
      <c r="E80" s="16"/>
      <c r="F80" s="17"/>
      <c r="G80" s="17"/>
      <c r="H80" s="17"/>
      <c r="I80" s="16"/>
      <c r="J80" s="16"/>
      <c r="K80" s="16"/>
      <c r="L80" s="16"/>
      <c r="M80" s="19"/>
      <c r="N80" s="16"/>
      <c r="O80" s="16"/>
      <c r="P80" s="16"/>
      <c r="Q80" s="16"/>
      <c r="R80" s="16"/>
      <c r="S80" s="35"/>
      <c r="T80" s="14"/>
      <c r="U80" s="22"/>
      <c r="V80" s="1"/>
      <c r="W80" s="14"/>
      <c r="X80" s="14"/>
      <c r="Y80" s="14"/>
      <c r="Z80" s="14"/>
      <c r="AA80" s="2"/>
      <c r="AB80" s="14"/>
      <c r="AC80" s="14"/>
      <c r="AD80" s="14"/>
      <c r="AE80" s="25"/>
      <c r="AF80" s="25"/>
      <c r="AG80" s="25"/>
    </row>
    <row r="81" spans="1:33" ht="15.75" customHeight="1" x14ac:dyDescent="0.2">
      <c r="A81" s="14"/>
      <c r="B81" s="14"/>
      <c r="C81" s="44"/>
      <c r="D81" s="16"/>
      <c r="E81" s="16"/>
      <c r="F81" s="17"/>
      <c r="G81" s="17"/>
      <c r="H81" s="17"/>
      <c r="I81" s="16"/>
      <c r="J81" s="16"/>
      <c r="K81" s="16"/>
      <c r="L81" s="16"/>
      <c r="M81" s="19"/>
      <c r="N81" s="16"/>
      <c r="O81" s="16"/>
      <c r="P81" s="16"/>
      <c r="Q81" s="16"/>
      <c r="R81" s="16"/>
      <c r="S81" s="35"/>
      <c r="T81" s="14"/>
      <c r="U81" s="22"/>
      <c r="V81" s="1"/>
      <c r="W81" s="14"/>
      <c r="X81" s="14"/>
      <c r="Y81" s="14"/>
      <c r="Z81" s="14"/>
      <c r="AA81" s="2"/>
      <c r="AB81" s="14"/>
      <c r="AC81" s="14"/>
      <c r="AD81" s="14"/>
      <c r="AE81" s="25"/>
      <c r="AF81" s="25"/>
      <c r="AG81" s="25"/>
    </row>
    <row r="82" spans="1:33" ht="15.75" customHeight="1" x14ac:dyDescent="0.2">
      <c r="A82" s="14"/>
      <c r="B82" s="14"/>
      <c r="C82" s="44"/>
      <c r="D82" s="16"/>
      <c r="E82" s="16"/>
      <c r="F82" s="17"/>
      <c r="G82" s="17"/>
      <c r="H82" s="17"/>
      <c r="I82" s="16"/>
      <c r="J82" s="16"/>
      <c r="K82" s="16"/>
      <c r="L82" s="16"/>
      <c r="M82" s="19"/>
      <c r="N82" s="16"/>
      <c r="O82" s="16"/>
      <c r="P82" s="16"/>
      <c r="Q82" s="16"/>
      <c r="R82" s="16"/>
      <c r="S82" s="35"/>
      <c r="T82" s="14"/>
      <c r="U82" s="22"/>
      <c r="V82" s="1"/>
      <c r="W82" s="14"/>
      <c r="X82" s="14"/>
      <c r="Y82" s="14"/>
      <c r="Z82" s="14"/>
      <c r="AA82" s="2"/>
      <c r="AB82" s="14"/>
      <c r="AC82" s="14"/>
      <c r="AD82" s="14"/>
      <c r="AE82" s="25"/>
      <c r="AF82" s="25"/>
      <c r="AG82" s="25"/>
    </row>
    <row r="83" spans="1:33" ht="15.75" customHeight="1" x14ac:dyDescent="0.2">
      <c r="A83" s="14"/>
      <c r="B83" s="14"/>
      <c r="C83" s="44"/>
      <c r="D83" s="16"/>
      <c r="E83" s="16"/>
      <c r="F83" s="17"/>
      <c r="G83" s="17"/>
      <c r="H83" s="17"/>
      <c r="I83" s="16"/>
      <c r="J83" s="16"/>
      <c r="K83" s="16"/>
      <c r="L83" s="16"/>
      <c r="M83" s="19"/>
      <c r="N83" s="16"/>
      <c r="O83" s="16"/>
      <c r="P83" s="16"/>
      <c r="Q83" s="16"/>
      <c r="R83" s="16"/>
      <c r="S83" s="35"/>
      <c r="T83" s="14"/>
      <c r="U83" s="22"/>
      <c r="V83" s="1"/>
      <c r="W83" s="14"/>
      <c r="X83" s="14"/>
      <c r="Y83" s="14"/>
      <c r="Z83" s="14"/>
      <c r="AA83" s="2"/>
      <c r="AB83" s="14"/>
      <c r="AC83" s="14"/>
      <c r="AD83" s="14"/>
      <c r="AE83" s="25"/>
      <c r="AF83" s="25"/>
      <c r="AG83" s="25"/>
    </row>
    <row r="84" spans="1:33" ht="15.75" customHeight="1" x14ac:dyDescent="0.2">
      <c r="A84" s="14"/>
      <c r="B84" s="14"/>
      <c r="C84" s="44"/>
      <c r="D84" s="16"/>
      <c r="E84" s="16"/>
      <c r="F84" s="17"/>
      <c r="G84" s="17"/>
      <c r="H84" s="17"/>
      <c r="I84" s="16"/>
      <c r="J84" s="16"/>
      <c r="K84" s="16"/>
      <c r="L84" s="16"/>
      <c r="M84" s="19"/>
      <c r="N84" s="16"/>
      <c r="O84" s="16"/>
      <c r="P84" s="16"/>
      <c r="Q84" s="16"/>
      <c r="R84" s="16"/>
      <c r="S84" s="35"/>
      <c r="T84" s="14"/>
      <c r="U84" s="22"/>
      <c r="V84" s="1"/>
      <c r="W84" s="14"/>
      <c r="X84" s="14"/>
      <c r="Y84" s="14"/>
      <c r="Z84" s="14"/>
      <c r="AA84" s="2"/>
      <c r="AB84" s="14"/>
      <c r="AC84" s="14"/>
      <c r="AD84" s="14"/>
      <c r="AE84" s="25"/>
      <c r="AF84" s="25"/>
      <c r="AG84" s="25"/>
    </row>
    <row r="85" spans="1:33" ht="15.75" customHeight="1" x14ac:dyDescent="0.2">
      <c r="A85" s="14"/>
      <c r="B85" s="14"/>
      <c r="C85" s="44"/>
      <c r="D85" s="16"/>
      <c r="E85" s="16"/>
      <c r="F85" s="17"/>
      <c r="G85" s="17"/>
      <c r="H85" s="17"/>
      <c r="I85" s="16"/>
      <c r="J85" s="16"/>
      <c r="K85" s="16"/>
      <c r="L85" s="16"/>
      <c r="M85" s="19"/>
      <c r="N85" s="16"/>
      <c r="O85" s="16"/>
      <c r="P85" s="16"/>
      <c r="Q85" s="16"/>
      <c r="R85" s="16"/>
      <c r="S85" s="35"/>
      <c r="T85" s="14"/>
      <c r="U85" s="22"/>
      <c r="V85" s="1"/>
      <c r="W85" s="14"/>
      <c r="X85" s="14"/>
      <c r="Y85" s="14"/>
      <c r="Z85" s="14"/>
      <c r="AA85" s="2"/>
      <c r="AB85" s="14"/>
      <c r="AC85" s="14"/>
      <c r="AD85" s="14"/>
      <c r="AE85" s="25"/>
      <c r="AF85" s="25"/>
      <c r="AG85" s="25"/>
    </row>
    <row r="86" spans="1:33" ht="15.75" customHeight="1" x14ac:dyDescent="0.2">
      <c r="A86" s="14"/>
      <c r="B86" s="14"/>
      <c r="C86" s="44"/>
      <c r="D86" s="16"/>
      <c r="E86" s="16"/>
      <c r="F86" s="17"/>
      <c r="G86" s="17"/>
      <c r="H86" s="17"/>
      <c r="I86" s="16"/>
      <c r="J86" s="16"/>
      <c r="K86" s="16"/>
      <c r="L86" s="16"/>
      <c r="M86" s="19"/>
      <c r="N86" s="16"/>
      <c r="O86" s="16"/>
      <c r="P86" s="16"/>
      <c r="Q86" s="16"/>
      <c r="R86" s="16"/>
      <c r="S86" s="35"/>
      <c r="T86" s="14"/>
      <c r="U86" s="22"/>
      <c r="V86" s="1"/>
      <c r="W86" s="14"/>
      <c r="X86" s="14"/>
      <c r="Y86" s="14"/>
      <c r="Z86" s="14"/>
      <c r="AA86" s="2"/>
      <c r="AB86" s="14"/>
      <c r="AC86" s="14"/>
      <c r="AD86" s="14"/>
      <c r="AE86" s="25"/>
      <c r="AF86" s="25"/>
      <c r="AG86" s="25"/>
    </row>
    <row r="87" spans="1:33" ht="15.75" customHeight="1" x14ac:dyDescent="0.2">
      <c r="A87" s="14"/>
      <c r="B87" s="14"/>
      <c r="C87" s="44"/>
      <c r="D87" s="16"/>
      <c r="E87" s="16"/>
      <c r="F87" s="17"/>
      <c r="G87" s="17"/>
      <c r="H87" s="17"/>
      <c r="I87" s="16"/>
      <c r="J87" s="16"/>
      <c r="K87" s="16"/>
      <c r="L87" s="16"/>
      <c r="M87" s="19"/>
      <c r="N87" s="16"/>
      <c r="O87" s="16"/>
      <c r="P87" s="16"/>
      <c r="Q87" s="16"/>
      <c r="R87" s="16"/>
      <c r="S87" s="35"/>
      <c r="T87" s="14"/>
      <c r="U87" s="22"/>
      <c r="V87" s="1"/>
      <c r="W87" s="14"/>
      <c r="X87" s="14"/>
      <c r="Y87" s="14"/>
      <c r="Z87" s="14"/>
      <c r="AA87" s="2"/>
      <c r="AB87" s="14"/>
      <c r="AC87" s="14"/>
      <c r="AD87" s="14"/>
      <c r="AE87" s="25"/>
      <c r="AF87" s="25"/>
      <c r="AG87" s="25"/>
    </row>
    <row r="88" spans="1:33" ht="15.75" customHeight="1" x14ac:dyDescent="0.2">
      <c r="A88" s="14"/>
      <c r="B88" s="14"/>
      <c r="C88" s="44"/>
      <c r="D88" s="16"/>
      <c r="E88" s="16"/>
      <c r="F88" s="17"/>
      <c r="G88" s="17"/>
      <c r="H88" s="17"/>
      <c r="I88" s="16"/>
      <c r="J88" s="16"/>
      <c r="K88" s="16"/>
      <c r="L88" s="16"/>
      <c r="M88" s="19"/>
      <c r="N88" s="16"/>
      <c r="O88" s="16"/>
      <c r="P88" s="16"/>
      <c r="Q88" s="16"/>
      <c r="R88" s="16"/>
      <c r="S88" s="35"/>
      <c r="T88" s="14"/>
      <c r="U88" s="22"/>
      <c r="V88" s="1"/>
      <c r="W88" s="14"/>
      <c r="X88" s="14"/>
      <c r="Y88" s="14"/>
      <c r="Z88" s="14"/>
      <c r="AA88" s="2"/>
      <c r="AB88" s="14"/>
      <c r="AC88" s="14"/>
      <c r="AD88" s="14"/>
      <c r="AE88" s="25"/>
      <c r="AF88" s="25"/>
      <c r="AG88" s="25"/>
    </row>
    <row r="89" spans="1:33" ht="15.75" customHeight="1" x14ac:dyDescent="0.2">
      <c r="A89" s="14"/>
      <c r="B89" s="14"/>
      <c r="C89" s="44"/>
      <c r="D89" s="16"/>
      <c r="E89" s="16"/>
      <c r="F89" s="17"/>
      <c r="G89" s="17"/>
      <c r="H89" s="17"/>
      <c r="I89" s="16"/>
      <c r="J89" s="16"/>
      <c r="K89" s="16"/>
      <c r="L89" s="16"/>
      <c r="M89" s="19"/>
      <c r="N89" s="16"/>
      <c r="O89" s="16"/>
      <c r="P89" s="16"/>
      <c r="Q89" s="16"/>
      <c r="R89" s="16"/>
      <c r="S89" s="35"/>
      <c r="T89" s="14"/>
      <c r="U89" s="22"/>
      <c r="V89" s="1"/>
      <c r="W89" s="14"/>
      <c r="X89" s="14"/>
      <c r="Y89" s="14"/>
      <c r="Z89" s="14"/>
      <c r="AA89" s="2"/>
      <c r="AB89" s="14"/>
      <c r="AC89" s="14"/>
      <c r="AD89" s="14"/>
      <c r="AE89" s="25"/>
      <c r="AF89" s="25"/>
      <c r="AG89" s="25"/>
    </row>
    <row r="90" spans="1:33" ht="15.75" customHeight="1" x14ac:dyDescent="0.2">
      <c r="A90" s="14"/>
      <c r="B90" s="14"/>
      <c r="C90" s="44"/>
      <c r="D90" s="16"/>
      <c r="E90" s="16"/>
      <c r="F90" s="17"/>
      <c r="G90" s="17"/>
      <c r="H90" s="17"/>
      <c r="I90" s="16"/>
      <c r="J90" s="16"/>
      <c r="K90" s="16"/>
      <c r="L90" s="16"/>
      <c r="M90" s="19"/>
      <c r="N90" s="16"/>
      <c r="O90" s="16"/>
      <c r="P90" s="16"/>
      <c r="Q90" s="16"/>
      <c r="R90" s="16"/>
      <c r="S90" s="35"/>
      <c r="T90" s="14"/>
      <c r="U90" s="22"/>
      <c r="V90" s="1"/>
      <c r="W90" s="14"/>
      <c r="X90" s="14"/>
      <c r="Y90" s="14"/>
      <c r="Z90" s="14"/>
      <c r="AA90" s="2"/>
      <c r="AB90" s="14"/>
      <c r="AC90" s="14"/>
      <c r="AD90" s="14"/>
      <c r="AE90" s="25"/>
      <c r="AF90" s="25"/>
      <c r="AG90" s="25"/>
    </row>
    <row r="91" spans="1:33" ht="15.75" customHeight="1" x14ac:dyDescent="0.2">
      <c r="A91" s="14"/>
      <c r="B91" s="14"/>
      <c r="C91" s="44"/>
      <c r="D91" s="16"/>
      <c r="E91" s="16"/>
      <c r="F91" s="17"/>
      <c r="G91" s="17"/>
      <c r="H91" s="17"/>
      <c r="I91" s="16"/>
      <c r="J91" s="16"/>
      <c r="K91" s="16"/>
      <c r="L91" s="16"/>
      <c r="M91" s="19"/>
      <c r="N91" s="16"/>
      <c r="O91" s="16"/>
      <c r="P91" s="16"/>
      <c r="Q91" s="16"/>
      <c r="R91" s="16"/>
      <c r="S91" s="35"/>
      <c r="T91" s="14"/>
      <c r="U91" s="22"/>
      <c r="V91" s="1"/>
      <c r="W91" s="14"/>
      <c r="X91" s="14"/>
      <c r="Y91" s="14"/>
      <c r="Z91" s="14"/>
      <c r="AA91" s="2"/>
      <c r="AB91" s="14"/>
      <c r="AC91" s="14"/>
      <c r="AD91" s="14"/>
      <c r="AE91" s="25"/>
      <c r="AF91" s="25"/>
      <c r="AG91" s="25"/>
    </row>
    <row r="92" spans="1:33" ht="15.75" customHeight="1" x14ac:dyDescent="0.2">
      <c r="A92" s="14"/>
      <c r="B92" s="14"/>
      <c r="C92" s="44"/>
      <c r="D92" s="16"/>
      <c r="E92" s="16"/>
      <c r="F92" s="17"/>
      <c r="G92" s="17"/>
      <c r="H92" s="17"/>
      <c r="I92" s="16"/>
      <c r="J92" s="16"/>
      <c r="K92" s="16"/>
      <c r="L92" s="16"/>
      <c r="M92" s="19"/>
      <c r="N92" s="16"/>
      <c r="O92" s="16"/>
      <c r="P92" s="16"/>
      <c r="Q92" s="16"/>
      <c r="R92" s="16"/>
      <c r="S92" s="35"/>
      <c r="T92" s="14"/>
      <c r="U92" s="22"/>
      <c r="V92" s="1"/>
      <c r="W92" s="14"/>
      <c r="X92" s="14"/>
      <c r="Y92" s="14"/>
      <c r="Z92" s="14"/>
      <c r="AA92" s="2"/>
      <c r="AB92" s="14"/>
      <c r="AC92" s="14"/>
      <c r="AD92" s="14"/>
      <c r="AE92" s="25"/>
      <c r="AF92" s="25"/>
      <c r="AG92" s="25"/>
    </row>
    <row r="93" spans="1:33" ht="15.75" customHeight="1" x14ac:dyDescent="0.2">
      <c r="A93" s="14"/>
      <c r="B93" s="14"/>
      <c r="C93" s="44"/>
      <c r="D93" s="16"/>
      <c r="E93" s="16"/>
      <c r="F93" s="17"/>
      <c r="G93" s="17"/>
      <c r="H93" s="17"/>
      <c r="I93" s="16"/>
      <c r="J93" s="16"/>
      <c r="K93" s="16"/>
      <c r="L93" s="16"/>
      <c r="M93" s="19"/>
      <c r="N93" s="16"/>
      <c r="O93" s="16"/>
      <c r="P93" s="16"/>
      <c r="Q93" s="16"/>
      <c r="R93" s="16"/>
      <c r="S93" s="35"/>
      <c r="T93" s="14"/>
      <c r="U93" s="22"/>
      <c r="V93" s="1"/>
      <c r="W93" s="14"/>
      <c r="X93" s="14"/>
      <c r="Y93" s="14"/>
      <c r="Z93" s="14"/>
      <c r="AA93" s="2"/>
      <c r="AB93" s="14"/>
      <c r="AC93" s="14"/>
      <c r="AD93" s="14"/>
      <c r="AE93" s="25"/>
      <c r="AF93" s="25"/>
      <c r="AG93" s="25"/>
    </row>
    <row r="94" spans="1:33" ht="15.75" customHeight="1" x14ac:dyDescent="0.2">
      <c r="A94" s="14"/>
      <c r="B94" s="14"/>
      <c r="C94" s="44"/>
      <c r="D94" s="16"/>
      <c r="E94" s="16"/>
      <c r="F94" s="17"/>
      <c r="G94" s="17"/>
      <c r="H94" s="17"/>
      <c r="I94" s="16"/>
      <c r="J94" s="16"/>
      <c r="K94" s="16"/>
      <c r="L94" s="16"/>
      <c r="M94" s="19"/>
      <c r="N94" s="16"/>
      <c r="O94" s="16"/>
      <c r="P94" s="16"/>
      <c r="Q94" s="16"/>
      <c r="R94" s="16"/>
      <c r="S94" s="35"/>
      <c r="T94" s="14"/>
      <c r="U94" s="22"/>
      <c r="V94" s="1"/>
      <c r="W94" s="14"/>
      <c r="X94" s="14"/>
      <c r="Y94" s="14"/>
      <c r="Z94" s="14"/>
      <c r="AA94" s="2"/>
      <c r="AB94" s="14"/>
      <c r="AC94" s="14"/>
      <c r="AD94" s="14"/>
      <c r="AE94" s="25"/>
      <c r="AF94" s="25"/>
      <c r="AG94" s="25"/>
    </row>
    <row r="95" spans="1:33" ht="15.75" customHeight="1" x14ac:dyDescent="0.2">
      <c r="A95" s="14"/>
      <c r="B95" s="14"/>
      <c r="C95" s="44"/>
      <c r="D95" s="16"/>
      <c r="E95" s="16"/>
      <c r="F95" s="17"/>
      <c r="G95" s="17"/>
      <c r="H95" s="17"/>
      <c r="I95" s="16"/>
      <c r="J95" s="16"/>
      <c r="K95" s="16"/>
      <c r="L95" s="16"/>
      <c r="M95" s="19"/>
      <c r="N95" s="16"/>
      <c r="O95" s="16"/>
      <c r="P95" s="16"/>
      <c r="Q95" s="16"/>
      <c r="R95" s="16"/>
      <c r="S95" s="35"/>
      <c r="T95" s="14"/>
      <c r="U95" s="22"/>
      <c r="V95" s="1"/>
      <c r="W95" s="14"/>
      <c r="X95" s="14"/>
      <c r="Y95" s="14"/>
      <c r="Z95" s="14"/>
      <c r="AA95" s="2"/>
      <c r="AB95" s="14"/>
      <c r="AC95" s="14"/>
      <c r="AD95" s="14"/>
      <c r="AE95" s="25"/>
      <c r="AF95" s="25"/>
      <c r="AG95" s="25"/>
    </row>
    <row r="96" spans="1:33" ht="15.75" customHeight="1" x14ac:dyDescent="0.2">
      <c r="A96" s="14"/>
      <c r="B96" s="14"/>
      <c r="C96" s="44"/>
      <c r="D96" s="16"/>
      <c r="E96" s="16"/>
      <c r="F96" s="17"/>
      <c r="G96" s="17"/>
      <c r="H96" s="17"/>
      <c r="I96" s="16"/>
      <c r="J96" s="16"/>
      <c r="K96" s="16"/>
      <c r="L96" s="16"/>
      <c r="M96" s="19"/>
      <c r="N96" s="16"/>
      <c r="O96" s="16"/>
      <c r="P96" s="16"/>
      <c r="Q96" s="16"/>
      <c r="R96" s="16"/>
      <c r="S96" s="35"/>
      <c r="T96" s="14"/>
      <c r="U96" s="22"/>
      <c r="V96" s="1"/>
      <c r="W96" s="14"/>
      <c r="X96" s="14"/>
      <c r="Y96" s="14"/>
      <c r="Z96" s="14"/>
      <c r="AA96" s="2"/>
      <c r="AB96" s="14"/>
      <c r="AC96" s="14"/>
      <c r="AD96" s="14"/>
      <c r="AE96" s="25"/>
      <c r="AF96" s="25"/>
      <c r="AG96" s="25"/>
    </row>
    <row r="97" spans="1:33" ht="15.75" customHeight="1" x14ac:dyDescent="0.2">
      <c r="A97" s="14"/>
      <c r="B97" s="14"/>
      <c r="C97" s="16"/>
      <c r="D97" s="16"/>
      <c r="E97" s="16"/>
      <c r="F97" s="16"/>
      <c r="G97" s="16"/>
      <c r="H97" s="16"/>
      <c r="I97" s="16"/>
      <c r="J97" s="16"/>
      <c r="K97" s="16"/>
      <c r="L97" s="16"/>
      <c r="M97" s="16"/>
      <c r="N97" s="16"/>
      <c r="O97" s="16"/>
      <c r="P97" s="16"/>
      <c r="Q97" s="45"/>
      <c r="R97" s="45"/>
      <c r="S97" s="35"/>
      <c r="T97" s="14"/>
      <c r="U97" s="14"/>
      <c r="V97" s="14"/>
      <c r="W97" s="14"/>
      <c r="X97" s="14"/>
      <c r="Y97" s="14"/>
      <c r="Z97" s="14"/>
      <c r="AA97" s="2"/>
      <c r="AB97" s="14"/>
      <c r="AC97" s="14"/>
      <c r="AD97" s="14"/>
      <c r="AE97" s="14"/>
      <c r="AF97" s="14"/>
      <c r="AG97" s="14"/>
    </row>
    <row r="98" spans="1:33" ht="15.75" customHeight="1" x14ac:dyDescent="0.2">
      <c r="A98" s="14"/>
      <c r="B98" s="14"/>
      <c r="C98" s="16"/>
      <c r="D98" s="16"/>
      <c r="E98" s="16"/>
      <c r="F98" s="16"/>
      <c r="G98" s="16"/>
      <c r="H98" s="16"/>
      <c r="I98" s="16"/>
      <c r="J98" s="16"/>
      <c r="K98" s="16"/>
      <c r="L98" s="16"/>
      <c r="M98" s="16"/>
      <c r="N98" s="16"/>
      <c r="O98" s="16"/>
      <c r="P98" s="16"/>
      <c r="Q98" s="45"/>
      <c r="R98" s="45"/>
      <c r="S98" s="35"/>
      <c r="T98" s="14"/>
      <c r="U98" s="14"/>
      <c r="V98" s="14"/>
      <c r="W98" s="14"/>
      <c r="X98" s="14"/>
      <c r="Y98" s="14"/>
      <c r="Z98" s="14"/>
      <c r="AA98" s="2"/>
      <c r="AB98" s="14"/>
      <c r="AC98" s="14"/>
      <c r="AD98" s="14"/>
      <c r="AE98" s="14"/>
      <c r="AF98" s="14"/>
      <c r="AG98" s="14"/>
    </row>
    <row r="99" spans="1:33" ht="15.75" customHeight="1" x14ac:dyDescent="0.2">
      <c r="A99" s="14"/>
      <c r="B99" s="14"/>
      <c r="C99" s="16"/>
      <c r="D99" s="16"/>
      <c r="E99" s="16"/>
      <c r="F99" s="16"/>
      <c r="G99" s="16"/>
      <c r="H99" s="16"/>
      <c r="I99" s="16"/>
      <c r="J99" s="16"/>
      <c r="K99" s="16"/>
      <c r="L99" s="16"/>
      <c r="M99" s="16"/>
      <c r="N99" s="16"/>
      <c r="O99" s="16"/>
      <c r="P99" s="16"/>
      <c r="Q99" s="45"/>
      <c r="R99" s="45"/>
      <c r="S99" s="35"/>
      <c r="T99" s="14"/>
      <c r="U99" s="14"/>
      <c r="V99" s="14"/>
      <c r="W99" s="14"/>
      <c r="X99" s="14"/>
      <c r="Y99" s="14"/>
      <c r="Z99" s="14"/>
      <c r="AA99" s="2"/>
      <c r="AB99" s="14"/>
      <c r="AC99" s="14"/>
      <c r="AD99" s="14"/>
      <c r="AE99" s="14"/>
      <c r="AF99" s="14"/>
      <c r="AG99" s="14"/>
    </row>
    <row r="100" spans="1:33" ht="15.75" customHeight="1" x14ac:dyDescent="0.2">
      <c r="A100" s="14"/>
      <c r="B100" s="14"/>
      <c r="C100" s="16"/>
      <c r="D100" s="16"/>
      <c r="E100" s="16"/>
      <c r="F100" s="16"/>
      <c r="G100" s="16"/>
      <c r="H100" s="16"/>
      <c r="I100" s="16"/>
      <c r="J100" s="16"/>
      <c r="K100" s="16"/>
      <c r="L100" s="16"/>
      <c r="M100" s="16"/>
      <c r="N100" s="16"/>
      <c r="O100" s="16"/>
      <c r="P100" s="16"/>
      <c r="Q100" s="45"/>
      <c r="R100" s="45"/>
      <c r="S100" s="35"/>
      <c r="T100" s="14"/>
      <c r="U100" s="14"/>
      <c r="V100" s="14"/>
      <c r="W100" s="14"/>
      <c r="X100" s="14"/>
      <c r="Y100" s="14"/>
      <c r="Z100" s="14"/>
      <c r="AA100" s="2"/>
      <c r="AB100" s="14"/>
      <c r="AC100" s="14"/>
      <c r="AD100" s="14"/>
      <c r="AE100" s="14"/>
      <c r="AF100" s="14"/>
      <c r="AG100" s="14"/>
    </row>
    <row r="101" spans="1:33" ht="15.75" customHeight="1" x14ac:dyDescent="0.2">
      <c r="A101" s="14"/>
      <c r="B101" s="14"/>
      <c r="C101" s="16"/>
      <c r="D101" s="16"/>
      <c r="E101" s="16"/>
      <c r="F101" s="16"/>
      <c r="G101" s="16"/>
      <c r="H101" s="16"/>
      <c r="I101" s="16"/>
      <c r="J101" s="16"/>
      <c r="K101" s="16"/>
      <c r="L101" s="16"/>
      <c r="M101" s="16"/>
      <c r="N101" s="16"/>
      <c r="O101" s="16"/>
      <c r="P101" s="16"/>
      <c r="Q101" s="45"/>
      <c r="R101" s="45"/>
      <c r="S101" s="35"/>
      <c r="T101" s="14"/>
      <c r="U101" s="14"/>
      <c r="V101" s="14"/>
      <c r="W101" s="14"/>
      <c r="X101" s="14"/>
      <c r="Y101" s="14"/>
      <c r="Z101" s="14"/>
      <c r="AA101" s="2"/>
      <c r="AB101" s="14"/>
      <c r="AC101" s="14"/>
      <c r="AD101" s="14"/>
      <c r="AE101" s="14"/>
      <c r="AF101" s="14"/>
      <c r="AG101" s="14"/>
    </row>
    <row r="102" spans="1:33" ht="15.75" customHeight="1" x14ac:dyDescent="0.2">
      <c r="A102" s="14"/>
      <c r="B102" s="14"/>
      <c r="C102" s="16"/>
      <c r="D102" s="16"/>
      <c r="E102" s="16"/>
      <c r="F102" s="16"/>
      <c r="G102" s="16"/>
      <c r="H102" s="16"/>
      <c r="I102" s="16"/>
      <c r="J102" s="16"/>
      <c r="K102" s="16"/>
      <c r="L102" s="16"/>
      <c r="M102" s="16"/>
      <c r="N102" s="16"/>
      <c r="O102" s="16"/>
      <c r="P102" s="16"/>
      <c r="Q102" s="45"/>
      <c r="R102" s="45"/>
      <c r="S102" s="35"/>
      <c r="T102" s="14"/>
      <c r="U102" s="14"/>
      <c r="V102" s="14"/>
      <c r="W102" s="14"/>
      <c r="X102" s="14"/>
      <c r="Y102" s="14"/>
      <c r="Z102" s="14"/>
      <c r="AA102" s="2"/>
      <c r="AB102" s="14"/>
      <c r="AC102" s="14"/>
      <c r="AD102" s="14"/>
      <c r="AE102" s="14"/>
      <c r="AF102" s="14"/>
      <c r="AG102" s="14"/>
    </row>
    <row r="103" spans="1:33" ht="15.75" customHeight="1" x14ac:dyDescent="0.2">
      <c r="A103" s="14"/>
      <c r="B103" s="14"/>
      <c r="C103" s="16"/>
      <c r="D103" s="16"/>
      <c r="E103" s="16"/>
      <c r="F103" s="16"/>
      <c r="G103" s="16"/>
      <c r="H103" s="16"/>
      <c r="I103" s="16"/>
      <c r="J103" s="16"/>
      <c r="K103" s="16"/>
      <c r="L103" s="16"/>
      <c r="M103" s="16"/>
      <c r="N103" s="16"/>
      <c r="O103" s="16"/>
      <c r="P103" s="16"/>
      <c r="Q103" s="45"/>
      <c r="R103" s="45"/>
      <c r="S103" s="35"/>
      <c r="T103" s="14"/>
      <c r="U103" s="14"/>
      <c r="V103" s="14"/>
      <c r="W103" s="14"/>
      <c r="X103" s="14"/>
      <c r="Y103" s="14"/>
      <c r="Z103" s="14"/>
      <c r="AA103" s="2"/>
      <c r="AB103" s="14"/>
      <c r="AC103" s="14"/>
      <c r="AD103" s="14"/>
      <c r="AE103" s="14"/>
      <c r="AF103" s="14"/>
      <c r="AG103" s="14"/>
    </row>
    <row r="104" spans="1:33" ht="15.75" customHeight="1" x14ac:dyDescent="0.2">
      <c r="A104" s="14"/>
      <c r="B104" s="14"/>
      <c r="C104" s="16"/>
      <c r="D104" s="16"/>
      <c r="E104" s="16"/>
      <c r="F104" s="16"/>
      <c r="G104" s="16"/>
      <c r="H104" s="16"/>
      <c r="I104" s="16"/>
      <c r="J104" s="16"/>
      <c r="K104" s="16"/>
      <c r="L104" s="16"/>
      <c r="M104" s="16"/>
      <c r="N104" s="16"/>
      <c r="O104" s="16"/>
      <c r="P104" s="16"/>
      <c r="Q104" s="45"/>
      <c r="R104" s="45"/>
      <c r="S104" s="35"/>
      <c r="T104" s="14"/>
      <c r="U104" s="14"/>
      <c r="V104" s="14"/>
      <c r="W104" s="14"/>
      <c r="X104" s="14"/>
      <c r="Y104" s="14"/>
      <c r="Z104" s="14"/>
      <c r="AA104" s="2"/>
      <c r="AB104" s="14"/>
      <c r="AC104" s="14"/>
      <c r="AD104" s="14"/>
      <c r="AE104" s="14"/>
      <c r="AF104" s="14"/>
      <c r="AG104" s="14"/>
    </row>
    <row r="105" spans="1:33" ht="15.75" customHeight="1" x14ac:dyDescent="0.2">
      <c r="A105" s="14"/>
      <c r="B105" s="14"/>
      <c r="C105" s="16"/>
      <c r="D105" s="16"/>
      <c r="E105" s="16"/>
      <c r="F105" s="16"/>
      <c r="G105" s="16"/>
      <c r="H105" s="16"/>
      <c r="I105" s="16"/>
      <c r="J105" s="16"/>
      <c r="K105" s="16"/>
      <c r="L105" s="16"/>
      <c r="M105" s="16"/>
      <c r="N105" s="16"/>
      <c r="O105" s="16"/>
      <c r="P105" s="16"/>
      <c r="Q105" s="45"/>
      <c r="R105" s="45"/>
      <c r="S105" s="35"/>
      <c r="T105" s="14"/>
      <c r="U105" s="14"/>
      <c r="V105" s="14"/>
      <c r="W105" s="14"/>
      <c r="X105" s="14"/>
      <c r="Y105" s="14"/>
      <c r="Z105" s="14"/>
      <c r="AA105" s="2"/>
      <c r="AB105" s="14"/>
      <c r="AC105" s="14"/>
      <c r="AD105" s="14"/>
      <c r="AE105" s="14"/>
      <c r="AF105" s="14"/>
      <c r="AG105" s="14"/>
    </row>
    <row r="106" spans="1:33" ht="15.75" customHeight="1" x14ac:dyDescent="0.2">
      <c r="A106" s="14"/>
      <c r="B106" s="14"/>
      <c r="C106" s="16"/>
      <c r="D106" s="16"/>
      <c r="E106" s="16"/>
      <c r="F106" s="16"/>
      <c r="G106" s="16"/>
      <c r="H106" s="16"/>
      <c r="I106" s="16"/>
      <c r="J106" s="16"/>
      <c r="K106" s="16"/>
      <c r="L106" s="16"/>
      <c r="M106" s="16"/>
      <c r="N106" s="16"/>
      <c r="O106" s="16"/>
      <c r="P106" s="16"/>
      <c r="Q106" s="45"/>
      <c r="R106" s="45"/>
      <c r="S106" s="35"/>
      <c r="T106" s="14"/>
      <c r="U106" s="14"/>
      <c r="V106" s="14"/>
      <c r="W106" s="14"/>
      <c r="X106" s="14"/>
      <c r="Y106" s="14"/>
      <c r="Z106" s="14"/>
      <c r="AA106" s="2"/>
      <c r="AB106" s="14"/>
      <c r="AC106" s="14"/>
      <c r="AD106" s="14"/>
      <c r="AE106" s="14"/>
      <c r="AF106" s="14"/>
      <c r="AG106" s="14"/>
    </row>
    <row r="107" spans="1:33" ht="15.75" customHeight="1" x14ac:dyDescent="0.2">
      <c r="A107" s="14"/>
      <c r="B107" s="14"/>
      <c r="C107" s="16"/>
      <c r="D107" s="16"/>
      <c r="E107" s="16"/>
      <c r="F107" s="16"/>
      <c r="G107" s="16"/>
      <c r="H107" s="16"/>
      <c r="I107" s="16"/>
      <c r="J107" s="16"/>
      <c r="K107" s="16"/>
      <c r="L107" s="16"/>
      <c r="M107" s="16"/>
      <c r="N107" s="16"/>
      <c r="O107" s="16"/>
      <c r="P107" s="16"/>
      <c r="Q107" s="45"/>
      <c r="R107" s="45"/>
      <c r="S107" s="35"/>
      <c r="T107" s="14"/>
      <c r="U107" s="14"/>
      <c r="V107" s="14"/>
      <c r="W107" s="14"/>
      <c r="X107" s="14"/>
      <c r="Y107" s="14"/>
      <c r="Z107" s="14"/>
      <c r="AA107" s="2"/>
      <c r="AB107" s="14"/>
      <c r="AC107" s="14"/>
      <c r="AD107" s="14"/>
      <c r="AE107" s="14"/>
      <c r="AF107" s="14"/>
      <c r="AG107" s="14"/>
    </row>
    <row r="108" spans="1:33" ht="15.75" customHeight="1" x14ac:dyDescent="0.2">
      <c r="A108" s="14"/>
      <c r="B108" s="14"/>
      <c r="C108" s="16"/>
      <c r="D108" s="16"/>
      <c r="E108" s="16"/>
      <c r="F108" s="16"/>
      <c r="G108" s="16"/>
      <c r="H108" s="16"/>
      <c r="I108" s="16"/>
      <c r="J108" s="16"/>
      <c r="K108" s="16"/>
      <c r="L108" s="16"/>
      <c r="M108" s="16"/>
      <c r="N108" s="16"/>
      <c r="O108" s="16"/>
      <c r="P108" s="16"/>
      <c r="Q108" s="45"/>
      <c r="R108" s="45"/>
      <c r="S108" s="35"/>
      <c r="T108" s="14"/>
      <c r="U108" s="14"/>
      <c r="V108" s="14"/>
      <c r="W108" s="14"/>
      <c r="X108" s="14"/>
      <c r="Y108" s="14"/>
      <c r="Z108" s="14"/>
      <c r="AA108" s="2"/>
      <c r="AB108" s="14"/>
      <c r="AC108" s="14"/>
      <c r="AD108" s="14"/>
      <c r="AE108" s="14"/>
      <c r="AF108" s="14"/>
      <c r="AG108" s="14"/>
    </row>
    <row r="109" spans="1:33" ht="15.75" customHeight="1" x14ac:dyDescent="0.2">
      <c r="A109" s="14"/>
      <c r="B109" s="14"/>
      <c r="C109" s="16"/>
      <c r="D109" s="16"/>
      <c r="E109" s="16"/>
      <c r="F109" s="16"/>
      <c r="G109" s="16"/>
      <c r="H109" s="16"/>
      <c r="I109" s="16"/>
      <c r="J109" s="16"/>
      <c r="K109" s="16"/>
      <c r="L109" s="16"/>
      <c r="M109" s="16"/>
      <c r="N109" s="16"/>
      <c r="O109" s="16"/>
      <c r="P109" s="16"/>
      <c r="Q109" s="45"/>
      <c r="R109" s="45"/>
      <c r="S109" s="35"/>
      <c r="T109" s="14"/>
      <c r="U109" s="14"/>
      <c r="V109" s="14"/>
      <c r="W109" s="14"/>
      <c r="X109" s="14"/>
      <c r="Y109" s="14"/>
      <c r="Z109" s="14"/>
      <c r="AA109" s="2"/>
      <c r="AB109" s="14"/>
      <c r="AC109" s="14"/>
      <c r="AD109" s="14"/>
      <c r="AE109" s="14"/>
      <c r="AF109" s="14"/>
      <c r="AG109" s="14"/>
    </row>
    <row r="110" spans="1:33" ht="15.75" customHeight="1" x14ac:dyDescent="0.2">
      <c r="A110" s="14"/>
      <c r="B110" s="14"/>
      <c r="C110" s="16"/>
      <c r="D110" s="16"/>
      <c r="E110" s="16"/>
      <c r="F110" s="16"/>
      <c r="G110" s="16"/>
      <c r="H110" s="16"/>
      <c r="I110" s="16"/>
      <c r="J110" s="16"/>
      <c r="K110" s="16"/>
      <c r="L110" s="16"/>
      <c r="M110" s="16"/>
      <c r="N110" s="16"/>
      <c r="O110" s="16"/>
      <c r="P110" s="16"/>
      <c r="Q110" s="45"/>
      <c r="R110" s="45"/>
      <c r="S110" s="35"/>
      <c r="T110" s="14"/>
      <c r="U110" s="14"/>
      <c r="V110" s="14"/>
      <c r="W110" s="14"/>
      <c r="X110" s="14"/>
      <c r="Y110" s="14"/>
      <c r="Z110" s="14"/>
      <c r="AA110" s="2"/>
      <c r="AB110" s="14"/>
      <c r="AC110" s="14"/>
      <c r="AD110" s="14"/>
      <c r="AE110" s="14"/>
      <c r="AF110" s="14"/>
      <c r="AG110" s="14"/>
    </row>
    <row r="111" spans="1:33" ht="15.75" customHeight="1" x14ac:dyDescent="0.2">
      <c r="A111" s="14"/>
      <c r="B111" s="14"/>
      <c r="C111" s="16"/>
      <c r="D111" s="16"/>
      <c r="E111" s="16"/>
      <c r="F111" s="16"/>
      <c r="G111" s="16"/>
      <c r="H111" s="16"/>
      <c r="I111" s="16"/>
      <c r="J111" s="16"/>
      <c r="K111" s="16"/>
      <c r="L111" s="16"/>
      <c r="M111" s="16"/>
      <c r="N111" s="16"/>
      <c r="O111" s="16"/>
      <c r="P111" s="16"/>
      <c r="Q111" s="45"/>
      <c r="R111" s="45"/>
      <c r="S111" s="35"/>
      <c r="T111" s="14"/>
      <c r="U111" s="14"/>
      <c r="V111" s="14"/>
      <c r="W111" s="14"/>
      <c r="X111" s="14"/>
      <c r="Y111" s="14"/>
      <c r="Z111" s="14"/>
      <c r="AA111" s="2"/>
      <c r="AB111" s="14"/>
      <c r="AC111" s="14"/>
      <c r="AD111" s="14"/>
      <c r="AE111" s="14"/>
      <c r="AF111" s="14"/>
      <c r="AG111" s="14"/>
    </row>
    <row r="112" spans="1:33" ht="15.75" customHeight="1" x14ac:dyDescent="0.2">
      <c r="A112" s="14"/>
      <c r="B112" s="14"/>
      <c r="C112" s="16"/>
      <c r="D112" s="16"/>
      <c r="E112" s="16"/>
      <c r="F112" s="16"/>
      <c r="G112" s="16"/>
      <c r="H112" s="16"/>
      <c r="I112" s="16"/>
      <c r="J112" s="16"/>
      <c r="K112" s="16"/>
      <c r="L112" s="16"/>
      <c r="M112" s="16"/>
      <c r="N112" s="16"/>
      <c r="O112" s="16"/>
      <c r="P112" s="16"/>
      <c r="Q112" s="45"/>
      <c r="R112" s="45"/>
      <c r="S112" s="35"/>
      <c r="T112" s="14"/>
      <c r="U112" s="14"/>
      <c r="V112" s="14"/>
      <c r="W112" s="14"/>
      <c r="X112" s="14"/>
      <c r="Y112" s="14"/>
      <c r="Z112" s="14"/>
      <c r="AA112" s="2"/>
      <c r="AB112" s="14"/>
      <c r="AC112" s="14"/>
      <c r="AD112" s="14"/>
      <c r="AE112" s="14"/>
      <c r="AF112" s="14"/>
      <c r="AG112" s="14"/>
    </row>
    <row r="113" spans="1:33" ht="15.75" customHeight="1" x14ac:dyDescent="0.2">
      <c r="A113" s="14"/>
      <c r="B113" s="14"/>
      <c r="C113" s="16"/>
      <c r="D113" s="16"/>
      <c r="E113" s="16"/>
      <c r="F113" s="16"/>
      <c r="G113" s="16"/>
      <c r="H113" s="16"/>
      <c r="I113" s="16"/>
      <c r="J113" s="16"/>
      <c r="K113" s="16"/>
      <c r="L113" s="16"/>
      <c r="M113" s="16"/>
      <c r="N113" s="16"/>
      <c r="O113" s="16"/>
      <c r="P113" s="16"/>
      <c r="Q113" s="45"/>
      <c r="R113" s="45"/>
      <c r="S113" s="35"/>
      <c r="T113" s="14"/>
      <c r="U113" s="14"/>
      <c r="V113" s="14"/>
      <c r="W113" s="14"/>
      <c r="X113" s="14"/>
      <c r="Y113" s="14"/>
      <c r="Z113" s="14"/>
      <c r="AA113" s="2"/>
      <c r="AB113" s="14"/>
      <c r="AC113" s="14"/>
      <c r="AD113" s="14"/>
      <c r="AE113" s="14"/>
      <c r="AF113" s="14"/>
      <c r="AG113" s="14"/>
    </row>
    <row r="114" spans="1:33" ht="15.75" customHeight="1" x14ac:dyDescent="0.2">
      <c r="A114" s="14"/>
      <c r="B114" s="14"/>
      <c r="C114" s="16"/>
      <c r="D114" s="16"/>
      <c r="E114" s="16"/>
      <c r="F114" s="16"/>
      <c r="G114" s="16"/>
      <c r="H114" s="16"/>
      <c r="I114" s="16"/>
      <c r="J114" s="16"/>
      <c r="K114" s="16"/>
      <c r="L114" s="16"/>
      <c r="M114" s="16"/>
      <c r="N114" s="16"/>
      <c r="O114" s="16"/>
      <c r="P114" s="16"/>
      <c r="Q114" s="45"/>
      <c r="R114" s="45"/>
      <c r="S114" s="35"/>
      <c r="T114" s="14"/>
      <c r="U114" s="14"/>
      <c r="V114" s="14"/>
      <c r="W114" s="14"/>
      <c r="X114" s="14"/>
      <c r="Y114" s="14"/>
      <c r="Z114" s="14"/>
      <c r="AA114" s="2"/>
      <c r="AB114" s="14"/>
      <c r="AC114" s="14"/>
      <c r="AD114" s="14"/>
      <c r="AE114" s="14"/>
      <c r="AF114" s="14"/>
      <c r="AG114" s="14"/>
    </row>
    <row r="115" spans="1:33" ht="15.75" customHeight="1" x14ac:dyDescent="0.2">
      <c r="A115" s="14"/>
      <c r="B115" s="14"/>
      <c r="C115" s="45"/>
      <c r="D115" s="45"/>
      <c r="E115" s="45"/>
      <c r="F115" s="45"/>
      <c r="G115" s="45"/>
      <c r="H115" s="45"/>
      <c r="I115" s="45"/>
      <c r="J115" s="45"/>
      <c r="K115" s="45"/>
      <c r="L115" s="45"/>
      <c r="M115" s="45"/>
      <c r="N115" s="45"/>
      <c r="O115" s="45"/>
      <c r="P115" s="45"/>
      <c r="Q115" s="45"/>
      <c r="R115" s="45"/>
      <c r="S115" s="35"/>
      <c r="T115" s="14"/>
      <c r="U115" s="14"/>
      <c r="V115" s="14"/>
      <c r="W115" s="14"/>
      <c r="X115" s="14"/>
      <c r="Y115" s="14"/>
      <c r="Z115" s="14"/>
      <c r="AA115" s="14"/>
      <c r="AB115" s="14"/>
      <c r="AC115" s="14"/>
      <c r="AD115" s="14"/>
      <c r="AE115" s="14"/>
      <c r="AF115" s="14"/>
      <c r="AG115" s="14"/>
    </row>
    <row r="116" spans="1:33" ht="15.75" customHeight="1" x14ac:dyDescent="0.2">
      <c r="A116" s="14"/>
      <c r="B116" s="14"/>
      <c r="C116" s="45"/>
      <c r="D116" s="45"/>
      <c r="E116" s="45"/>
      <c r="F116" s="45"/>
      <c r="G116" s="45"/>
      <c r="H116" s="45"/>
      <c r="I116" s="45"/>
      <c r="J116" s="45"/>
      <c r="K116" s="45"/>
      <c r="L116" s="45"/>
      <c r="M116" s="45"/>
      <c r="N116" s="45"/>
      <c r="O116" s="45"/>
      <c r="P116" s="45"/>
      <c r="Q116" s="45"/>
      <c r="R116" s="45"/>
      <c r="S116" s="35"/>
      <c r="T116" s="14"/>
      <c r="U116" s="14"/>
      <c r="V116" s="14"/>
      <c r="W116" s="14"/>
      <c r="X116" s="14"/>
      <c r="Y116" s="14"/>
      <c r="Z116" s="14"/>
      <c r="AA116" s="14"/>
      <c r="AB116" s="14"/>
      <c r="AC116" s="14"/>
      <c r="AD116" s="14"/>
      <c r="AE116" s="14"/>
      <c r="AF116" s="14"/>
      <c r="AG116" s="14"/>
    </row>
    <row r="117" spans="1:33" ht="15.75" customHeight="1" x14ac:dyDescent="0.2">
      <c r="A117" s="14"/>
      <c r="B117" s="14"/>
      <c r="C117" s="45"/>
      <c r="D117" s="45"/>
      <c r="E117" s="45"/>
      <c r="F117" s="45"/>
      <c r="G117" s="45"/>
      <c r="H117" s="45"/>
      <c r="I117" s="45"/>
      <c r="J117" s="45"/>
      <c r="K117" s="45"/>
      <c r="L117" s="45"/>
      <c r="M117" s="45"/>
      <c r="N117" s="45"/>
      <c r="O117" s="45"/>
      <c r="P117" s="45"/>
      <c r="Q117" s="45"/>
      <c r="R117" s="45"/>
      <c r="S117" s="35"/>
      <c r="T117" s="14"/>
      <c r="U117" s="14"/>
      <c r="V117" s="14"/>
      <c r="W117" s="14"/>
      <c r="X117" s="14"/>
      <c r="Y117" s="14"/>
      <c r="Z117" s="14"/>
      <c r="AA117" s="14"/>
      <c r="AB117" s="14"/>
      <c r="AC117" s="14"/>
      <c r="AD117" s="14"/>
      <c r="AE117" s="14"/>
      <c r="AF117" s="14"/>
      <c r="AG117" s="14"/>
    </row>
    <row r="118" spans="1:33" ht="15.75" customHeight="1" x14ac:dyDescent="0.2">
      <c r="A118" s="14"/>
      <c r="B118" s="14"/>
      <c r="C118" s="45"/>
      <c r="D118" s="45"/>
      <c r="E118" s="45"/>
      <c r="F118" s="45"/>
      <c r="G118" s="45"/>
      <c r="H118" s="45"/>
      <c r="I118" s="45"/>
      <c r="J118" s="45"/>
      <c r="K118" s="45"/>
      <c r="L118" s="45"/>
      <c r="M118" s="45"/>
      <c r="N118" s="45"/>
      <c r="O118" s="45"/>
      <c r="P118" s="45"/>
      <c r="Q118" s="45"/>
      <c r="R118" s="45"/>
      <c r="S118" s="35"/>
      <c r="T118" s="14"/>
      <c r="U118" s="14"/>
      <c r="V118" s="14"/>
      <c r="W118" s="14"/>
      <c r="X118" s="14"/>
      <c r="Y118" s="14"/>
      <c r="Z118" s="14"/>
      <c r="AA118" s="14"/>
      <c r="AB118" s="14"/>
      <c r="AC118" s="14"/>
      <c r="AD118" s="14"/>
      <c r="AE118" s="14"/>
      <c r="AF118" s="14"/>
      <c r="AG118" s="14"/>
    </row>
    <row r="119" spans="1:33" ht="15.75" customHeight="1" x14ac:dyDescent="0.2">
      <c r="A119" s="14"/>
      <c r="B119" s="14"/>
      <c r="C119" s="45"/>
      <c r="D119" s="45"/>
      <c r="E119" s="45"/>
      <c r="F119" s="45"/>
      <c r="G119" s="45"/>
      <c r="H119" s="45"/>
      <c r="I119" s="45"/>
      <c r="J119" s="45"/>
      <c r="K119" s="45"/>
      <c r="L119" s="45"/>
      <c r="M119" s="45"/>
      <c r="N119" s="45"/>
      <c r="O119" s="45"/>
      <c r="P119" s="45"/>
      <c r="Q119" s="45"/>
      <c r="R119" s="45"/>
      <c r="S119" s="35"/>
      <c r="T119" s="14"/>
      <c r="U119" s="14"/>
      <c r="V119" s="14"/>
      <c r="W119" s="14"/>
      <c r="X119" s="14"/>
      <c r="Y119" s="14"/>
      <c r="Z119" s="14"/>
      <c r="AA119" s="14"/>
      <c r="AB119" s="14"/>
      <c r="AC119" s="14"/>
      <c r="AD119" s="14"/>
      <c r="AE119" s="14"/>
      <c r="AF119" s="14"/>
      <c r="AG119" s="14"/>
    </row>
    <row r="120" spans="1:33" ht="15.75" customHeight="1" x14ac:dyDescent="0.2">
      <c r="A120" s="14"/>
      <c r="B120" s="14"/>
      <c r="C120" s="45"/>
      <c r="D120" s="45"/>
      <c r="E120" s="45"/>
      <c r="F120" s="45"/>
      <c r="G120" s="45"/>
      <c r="H120" s="45"/>
      <c r="I120" s="45"/>
      <c r="J120" s="45"/>
      <c r="K120" s="45"/>
      <c r="L120" s="45"/>
      <c r="M120" s="45"/>
      <c r="N120" s="45"/>
      <c r="O120" s="45"/>
      <c r="P120" s="45"/>
      <c r="Q120" s="45"/>
      <c r="R120" s="45"/>
      <c r="S120" s="35"/>
      <c r="T120" s="14"/>
      <c r="U120" s="14"/>
      <c r="V120" s="14"/>
      <c r="W120" s="14"/>
      <c r="X120" s="14"/>
      <c r="Y120" s="14"/>
      <c r="Z120" s="14"/>
      <c r="AA120" s="14"/>
      <c r="AB120" s="14"/>
      <c r="AC120" s="14"/>
      <c r="AD120" s="14"/>
      <c r="AE120" s="14"/>
      <c r="AF120" s="14"/>
      <c r="AG120" s="14"/>
    </row>
    <row r="121" spans="1:33" ht="15.75" customHeight="1" x14ac:dyDescent="0.2">
      <c r="A121" s="14"/>
      <c r="B121" s="14"/>
      <c r="C121" s="45"/>
      <c r="D121" s="45"/>
      <c r="E121" s="45"/>
      <c r="F121" s="45"/>
      <c r="G121" s="45"/>
      <c r="H121" s="45"/>
      <c r="I121" s="45"/>
      <c r="J121" s="45"/>
      <c r="K121" s="45"/>
      <c r="L121" s="45"/>
      <c r="M121" s="45"/>
      <c r="N121" s="45"/>
      <c r="O121" s="45"/>
      <c r="P121" s="45"/>
      <c r="Q121" s="45"/>
      <c r="R121" s="45"/>
      <c r="S121" s="35"/>
      <c r="T121" s="14"/>
      <c r="U121" s="14"/>
      <c r="V121" s="14"/>
      <c r="W121" s="14"/>
      <c r="X121" s="14"/>
      <c r="Y121" s="14"/>
      <c r="Z121" s="14"/>
      <c r="AA121" s="14"/>
      <c r="AB121" s="14"/>
      <c r="AC121" s="14"/>
      <c r="AD121" s="14"/>
      <c r="AE121" s="14"/>
      <c r="AF121" s="14"/>
      <c r="AG121" s="14"/>
    </row>
    <row r="122" spans="1:33" ht="15.75" customHeight="1" x14ac:dyDescent="0.2">
      <c r="A122" s="14"/>
      <c r="B122" s="14"/>
      <c r="C122" s="45"/>
      <c r="D122" s="45"/>
      <c r="E122" s="45"/>
      <c r="F122" s="45"/>
      <c r="G122" s="45"/>
      <c r="H122" s="45"/>
      <c r="I122" s="45"/>
      <c r="J122" s="45"/>
      <c r="K122" s="45"/>
      <c r="L122" s="45"/>
      <c r="M122" s="45"/>
      <c r="N122" s="45"/>
      <c r="O122" s="45"/>
      <c r="P122" s="45"/>
      <c r="Q122" s="45"/>
      <c r="R122" s="45"/>
      <c r="S122" s="35"/>
      <c r="T122" s="14"/>
      <c r="U122" s="14"/>
      <c r="V122" s="14"/>
      <c r="W122" s="14"/>
      <c r="X122" s="14"/>
      <c r="Y122" s="14"/>
      <c r="Z122" s="14"/>
      <c r="AA122" s="14"/>
      <c r="AB122" s="14"/>
      <c r="AC122" s="14"/>
      <c r="AD122" s="14"/>
      <c r="AE122" s="14"/>
      <c r="AF122" s="14"/>
      <c r="AG122" s="14"/>
    </row>
    <row r="123" spans="1:33" ht="15.75" customHeight="1" x14ac:dyDescent="0.2">
      <c r="A123" s="14"/>
      <c r="B123" s="14"/>
      <c r="C123" s="45"/>
      <c r="D123" s="45"/>
      <c r="E123" s="45"/>
      <c r="F123" s="45"/>
      <c r="G123" s="45"/>
      <c r="H123" s="45"/>
      <c r="I123" s="45"/>
      <c r="J123" s="45"/>
      <c r="K123" s="45"/>
      <c r="L123" s="45"/>
      <c r="M123" s="45"/>
      <c r="N123" s="45"/>
      <c r="O123" s="45"/>
      <c r="P123" s="45"/>
      <c r="Q123" s="45"/>
      <c r="R123" s="45"/>
      <c r="S123" s="35"/>
      <c r="T123" s="14"/>
      <c r="U123" s="14"/>
      <c r="V123" s="14"/>
      <c r="W123" s="14"/>
      <c r="X123" s="14"/>
      <c r="Y123" s="14"/>
      <c r="Z123" s="14"/>
      <c r="AA123" s="14"/>
      <c r="AB123" s="14"/>
      <c r="AC123" s="14"/>
      <c r="AD123" s="14"/>
      <c r="AE123" s="14"/>
      <c r="AF123" s="14"/>
      <c r="AG123" s="14"/>
    </row>
    <row r="124" spans="1:33" ht="15.75" customHeight="1" x14ac:dyDescent="0.2">
      <c r="A124" s="14"/>
      <c r="B124" s="14"/>
      <c r="C124" s="45"/>
      <c r="D124" s="45"/>
      <c r="E124" s="45"/>
      <c r="F124" s="45"/>
      <c r="G124" s="45"/>
      <c r="H124" s="45"/>
      <c r="I124" s="45"/>
      <c r="J124" s="45"/>
      <c r="K124" s="45"/>
      <c r="L124" s="45"/>
      <c r="M124" s="45"/>
      <c r="N124" s="45"/>
      <c r="O124" s="45"/>
      <c r="P124" s="45"/>
      <c r="Q124" s="45"/>
      <c r="R124" s="45"/>
      <c r="S124" s="35"/>
      <c r="T124" s="14"/>
      <c r="U124" s="14"/>
      <c r="V124" s="14"/>
      <c r="W124" s="14"/>
      <c r="X124" s="14"/>
      <c r="Y124" s="14"/>
      <c r="Z124" s="14"/>
      <c r="AA124" s="14"/>
      <c r="AB124" s="14"/>
      <c r="AC124" s="14"/>
      <c r="AD124" s="14"/>
      <c r="AE124" s="14"/>
      <c r="AF124" s="14"/>
      <c r="AG124" s="14"/>
    </row>
    <row r="125" spans="1:33" ht="15.75" customHeight="1" x14ac:dyDescent="0.2">
      <c r="A125" s="14"/>
      <c r="B125" s="14"/>
      <c r="C125" s="45"/>
      <c r="D125" s="45"/>
      <c r="E125" s="45"/>
      <c r="F125" s="45"/>
      <c r="G125" s="45"/>
      <c r="H125" s="45"/>
      <c r="I125" s="45"/>
      <c r="J125" s="45"/>
      <c r="K125" s="45"/>
      <c r="L125" s="45"/>
      <c r="M125" s="45"/>
      <c r="N125" s="45"/>
      <c r="O125" s="45"/>
      <c r="P125" s="45"/>
      <c r="Q125" s="45"/>
      <c r="R125" s="45"/>
      <c r="S125" s="35"/>
      <c r="T125" s="14"/>
      <c r="U125" s="14"/>
      <c r="V125" s="14"/>
      <c r="W125" s="14"/>
      <c r="X125" s="14"/>
      <c r="Y125" s="14"/>
      <c r="Z125" s="14"/>
      <c r="AA125" s="14"/>
      <c r="AB125" s="14"/>
      <c r="AC125" s="14"/>
      <c r="AD125" s="14"/>
      <c r="AE125" s="14"/>
      <c r="AF125" s="14"/>
      <c r="AG125" s="14"/>
    </row>
    <row r="126" spans="1:33" ht="15.75" customHeight="1" x14ac:dyDescent="0.2">
      <c r="A126" s="14"/>
      <c r="B126" s="14"/>
      <c r="C126" s="45"/>
      <c r="D126" s="45"/>
      <c r="E126" s="45"/>
      <c r="F126" s="45"/>
      <c r="G126" s="45"/>
      <c r="H126" s="45"/>
      <c r="I126" s="45"/>
      <c r="J126" s="45"/>
      <c r="K126" s="45"/>
      <c r="L126" s="45"/>
      <c r="M126" s="45"/>
      <c r="N126" s="45"/>
      <c r="O126" s="45"/>
      <c r="P126" s="45"/>
      <c r="Q126" s="45"/>
      <c r="R126" s="45"/>
      <c r="S126" s="35"/>
      <c r="T126" s="14"/>
      <c r="U126" s="14"/>
      <c r="V126" s="14"/>
      <c r="W126" s="14"/>
      <c r="X126" s="14"/>
      <c r="Y126" s="14"/>
      <c r="Z126" s="14"/>
      <c r="AA126" s="14"/>
      <c r="AB126" s="14"/>
      <c r="AC126" s="14"/>
      <c r="AD126" s="14"/>
      <c r="AE126" s="14"/>
      <c r="AF126" s="14"/>
      <c r="AG126" s="14"/>
    </row>
    <row r="127" spans="1:33" ht="15.75" customHeight="1" x14ac:dyDescent="0.2">
      <c r="A127" s="14"/>
      <c r="B127" s="14"/>
      <c r="C127" s="45"/>
      <c r="D127" s="45"/>
      <c r="E127" s="45"/>
      <c r="F127" s="45"/>
      <c r="G127" s="45"/>
      <c r="H127" s="45"/>
      <c r="I127" s="45"/>
      <c r="J127" s="45"/>
      <c r="K127" s="45"/>
      <c r="L127" s="45"/>
      <c r="M127" s="45"/>
      <c r="N127" s="45"/>
      <c r="O127" s="45"/>
      <c r="P127" s="45"/>
      <c r="Q127" s="45"/>
      <c r="R127" s="45"/>
      <c r="S127" s="35"/>
      <c r="T127" s="14"/>
      <c r="U127" s="14"/>
      <c r="V127" s="14"/>
      <c r="W127" s="14"/>
      <c r="X127" s="14"/>
      <c r="Y127" s="14"/>
      <c r="Z127" s="14"/>
      <c r="AA127" s="14"/>
      <c r="AB127" s="14"/>
      <c r="AC127" s="14"/>
      <c r="AD127" s="14"/>
      <c r="AE127" s="14"/>
      <c r="AF127" s="14"/>
      <c r="AG127" s="14"/>
    </row>
    <row r="128" spans="1:33" ht="15.75" customHeight="1" x14ac:dyDescent="0.2">
      <c r="A128" s="14"/>
      <c r="B128" s="14"/>
      <c r="C128" s="45"/>
      <c r="D128" s="45"/>
      <c r="E128" s="45"/>
      <c r="F128" s="45"/>
      <c r="G128" s="45"/>
      <c r="H128" s="45"/>
      <c r="I128" s="45"/>
      <c r="J128" s="45"/>
      <c r="K128" s="45"/>
      <c r="L128" s="45"/>
      <c r="M128" s="45"/>
      <c r="N128" s="45"/>
      <c r="O128" s="45"/>
      <c r="P128" s="45"/>
      <c r="Q128" s="45"/>
      <c r="R128" s="45"/>
      <c r="S128" s="35"/>
      <c r="T128" s="14"/>
      <c r="U128" s="14"/>
      <c r="V128" s="14"/>
      <c r="W128" s="14"/>
      <c r="X128" s="14"/>
      <c r="Y128" s="14"/>
      <c r="Z128" s="14"/>
      <c r="AA128" s="14"/>
      <c r="AB128" s="14"/>
      <c r="AC128" s="14"/>
      <c r="AD128" s="14"/>
      <c r="AE128" s="14"/>
      <c r="AF128" s="14"/>
      <c r="AG128" s="14"/>
    </row>
    <row r="129" spans="1:33" ht="15.75" customHeight="1" x14ac:dyDescent="0.2">
      <c r="A129" s="14"/>
      <c r="B129" s="14"/>
      <c r="C129" s="45"/>
      <c r="D129" s="45"/>
      <c r="E129" s="45"/>
      <c r="F129" s="45"/>
      <c r="G129" s="45"/>
      <c r="H129" s="45"/>
      <c r="I129" s="45"/>
      <c r="J129" s="45"/>
      <c r="K129" s="45"/>
      <c r="L129" s="45"/>
      <c r="M129" s="45"/>
      <c r="N129" s="45"/>
      <c r="O129" s="45"/>
      <c r="P129" s="45"/>
      <c r="Q129" s="45"/>
      <c r="R129" s="45"/>
      <c r="S129" s="35"/>
      <c r="T129" s="14"/>
      <c r="U129" s="14"/>
      <c r="V129" s="14"/>
      <c r="W129" s="14"/>
      <c r="X129" s="14"/>
      <c r="Y129" s="14"/>
      <c r="Z129" s="14"/>
      <c r="AA129" s="14"/>
      <c r="AB129" s="14"/>
      <c r="AC129" s="14"/>
      <c r="AD129" s="14"/>
      <c r="AE129" s="14"/>
      <c r="AF129" s="14"/>
      <c r="AG129" s="14"/>
    </row>
    <row r="130" spans="1:33" ht="15.75" customHeight="1" x14ac:dyDescent="0.2">
      <c r="A130" s="14"/>
      <c r="B130" s="14"/>
      <c r="C130" s="45"/>
      <c r="D130" s="45"/>
      <c r="E130" s="45"/>
      <c r="F130" s="45"/>
      <c r="G130" s="45"/>
      <c r="H130" s="45"/>
      <c r="I130" s="45"/>
      <c r="J130" s="45"/>
      <c r="K130" s="45"/>
      <c r="L130" s="45"/>
      <c r="M130" s="45"/>
      <c r="N130" s="45"/>
      <c r="O130" s="45"/>
      <c r="P130" s="45"/>
      <c r="Q130" s="45"/>
      <c r="R130" s="45"/>
      <c r="S130" s="35"/>
      <c r="T130" s="14"/>
      <c r="U130" s="14"/>
      <c r="V130" s="14"/>
      <c r="W130" s="14"/>
      <c r="X130" s="14"/>
      <c r="Y130" s="14"/>
      <c r="Z130" s="14"/>
      <c r="AA130" s="14"/>
      <c r="AB130" s="14"/>
      <c r="AC130" s="14"/>
      <c r="AD130" s="14"/>
      <c r="AE130" s="14"/>
      <c r="AF130" s="14"/>
      <c r="AG130" s="14"/>
    </row>
    <row r="131" spans="1:33" ht="15.75" customHeight="1" x14ac:dyDescent="0.2">
      <c r="A131" s="14"/>
      <c r="B131" s="14"/>
      <c r="C131" s="45"/>
      <c r="D131" s="45"/>
      <c r="E131" s="45"/>
      <c r="F131" s="45"/>
      <c r="G131" s="45"/>
      <c r="H131" s="45"/>
      <c r="I131" s="45"/>
      <c r="J131" s="45"/>
      <c r="K131" s="45"/>
      <c r="L131" s="45"/>
      <c r="M131" s="45"/>
      <c r="N131" s="45"/>
      <c r="O131" s="45"/>
      <c r="P131" s="45"/>
      <c r="Q131" s="45"/>
      <c r="R131" s="45"/>
      <c r="S131" s="35"/>
      <c r="T131" s="14"/>
      <c r="U131" s="14"/>
      <c r="V131" s="14"/>
      <c r="W131" s="14"/>
      <c r="X131" s="14"/>
      <c r="Y131" s="14"/>
      <c r="Z131" s="14"/>
      <c r="AA131" s="14"/>
      <c r="AB131" s="14"/>
      <c r="AC131" s="14"/>
      <c r="AD131" s="14"/>
      <c r="AE131" s="14"/>
      <c r="AF131" s="14"/>
      <c r="AG131" s="14"/>
    </row>
    <row r="132" spans="1:33" ht="15.75" customHeight="1" x14ac:dyDescent="0.2">
      <c r="A132" s="14"/>
      <c r="B132" s="14"/>
      <c r="C132" s="45"/>
      <c r="D132" s="45"/>
      <c r="E132" s="45"/>
      <c r="F132" s="45"/>
      <c r="G132" s="45"/>
      <c r="H132" s="45"/>
      <c r="I132" s="45"/>
      <c r="J132" s="45"/>
      <c r="K132" s="45"/>
      <c r="L132" s="45"/>
      <c r="M132" s="45"/>
      <c r="N132" s="45"/>
      <c r="O132" s="45"/>
      <c r="P132" s="45"/>
      <c r="Q132" s="45"/>
      <c r="R132" s="45"/>
      <c r="S132" s="35"/>
      <c r="T132" s="14"/>
      <c r="U132" s="14"/>
      <c r="V132" s="14"/>
      <c r="W132" s="14"/>
      <c r="X132" s="14"/>
      <c r="Y132" s="14"/>
      <c r="Z132" s="14"/>
      <c r="AA132" s="14"/>
      <c r="AB132" s="14"/>
      <c r="AC132" s="14"/>
      <c r="AD132" s="14"/>
      <c r="AE132" s="14"/>
      <c r="AF132" s="14"/>
      <c r="AG132" s="14"/>
    </row>
    <row r="133" spans="1:33" ht="15.75" customHeight="1" x14ac:dyDescent="0.2">
      <c r="A133" s="14"/>
      <c r="B133" s="14"/>
      <c r="C133" s="45"/>
      <c r="D133" s="45"/>
      <c r="E133" s="45"/>
      <c r="F133" s="45"/>
      <c r="G133" s="45"/>
      <c r="H133" s="45"/>
      <c r="I133" s="45"/>
      <c r="J133" s="45"/>
      <c r="K133" s="45"/>
      <c r="L133" s="45"/>
      <c r="M133" s="45"/>
      <c r="N133" s="45"/>
      <c r="O133" s="45"/>
      <c r="P133" s="45"/>
      <c r="Q133" s="45"/>
      <c r="R133" s="45"/>
      <c r="S133" s="35"/>
      <c r="T133" s="14"/>
      <c r="U133" s="14"/>
      <c r="V133" s="14"/>
      <c r="W133" s="14"/>
      <c r="X133" s="14"/>
      <c r="Y133" s="14"/>
      <c r="Z133" s="14"/>
      <c r="AA133" s="14"/>
      <c r="AB133" s="14"/>
      <c r="AC133" s="14"/>
      <c r="AD133" s="14"/>
      <c r="AE133" s="14"/>
      <c r="AF133" s="14"/>
      <c r="AG133" s="14"/>
    </row>
    <row r="134" spans="1:33" ht="15.75" customHeight="1" x14ac:dyDescent="0.2">
      <c r="A134" s="14"/>
      <c r="B134" s="14"/>
      <c r="C134" s="45"/>
      <c r="D134" s="45"/>
      <c r="E134" s="45"/>
      <c r="F134" s="45"/>
      <c r="G134" s="45"/>
      <c r="H134" s="45"/>
      <c r="I134" s="45"/>
      <c r="J134" s="45"/>
      <c r="K134" s="45"/>
      <c r="L134" s="45"/>
      <c r="M134" s="45"/>
      <c r="N134" s="45"/>
      <c r="O134" s="45"/>
      <c r="P134" s="45"/>
      <c r="Q134" s="45"/>
      <c r="R134" s="45"/>
      <c r="S134" s="35"/>
      <c r="T134" s="14"/>
      <c r="U134" s="14"/>
      <c r="V134" s="14"/>
      <c r="W134" s="14"/>
      <c r="X134" s="14"/>
      <c r="Y134" s="14"/>
      <c r="Z134" s="14"/>
      <c r="AA134" s="14"/>
      <c r="AB134" s="14"/>
      <c r="AC134" s="14"/>
      <c r="AD134" s="14"/>
      <c r="AE134" s="14"/>
      <c r="AF134" s="14"/>
      <c r="AG134" s="14"/>
    </row>
    <row r="135" spans="1:33" ht="15.75" customHeight="1" x14ac:dyDescent="0.2">
      <c r="A135" s="14"/>
      <c r="B135" s="14"/>
      <c r="C135" s="45"/>
      <c r="D135" s="45"/>
      <c r="E135" s="45"/>
      <c r="F135" s="45"/>
      <c r="G135" s="45"/>
      <c r="H135" s="45"/>
      <c r="I135" s="45"/>
      <c r="J135" s="45"/>
      <c r="K135" s="45"/>
      <c r="L135" s="45"/>
      <c r="M135" s="45"/>
      <c r="N135" s="45"/>
      <c r="O135" s="45"/>
      <c r="P135" s="45"/>
      <c r="Q135" s="45"/>
      <c r="R135" s="45"/>
      <c r="S135" s="35"/>
      <c r="T135" s="14"/>
      <c r="U135" s="14"/>
      <c r="V135" s="14"/>
      <c r="W135" s="14"/>
      <c r="X135" s="14"/>
      <c r="Y135" s="14"/>
      <c r="Z135" s="14"/>
      <c r="AA135" s="14"/>
      <c r="AB135" s="14"/>
      <c r="AC135" s="14"/>
      <c r="AD135" s="14"/>
      <c r="AE135" s="14"/>
      <c r="AF135" s="14"/>
      <c r="AG135" s="14"/>
    </row>
    <row r="136" spans="1:33" ht="15.75" customHeight="1" x14ac:dyDescent="0.2">
      <c r="A136" s="14"/>
      <c r="B136" s="14"/>
      <c r="C136" s="45"/>
      <c r="D136" s="45"/>
      <c r="E136" s="45"/>
      <c r="F136" s="45"/>
      <c r="G136" s="45"/>
      <c r="H136" s="45"/>
      <c r="I136" s="45"/>
      <c r="J136" s="45"/>
      <c r="K136" s="45"/>
      <c r="L136" s="45"/>
      <c r="M136" s="45"/>
      <c r="N136" s="45"/>
      <c r="O136" s="45"/>
      <c r="P136" s="45"/>
      <c r="Q136" s="45"/>
      <c r="R136" s="45"/>
      <c r="S136" s="35"/>
      <c r="T136" s="14"/>
      <c r="U136" s="14"/>
      <c r="V136" s="14"/>
      <c r="W136" s="14"/>
      <c r="X136" s="14"/>
      <c r="Y136" s="14"/>
      <c r="Z136" s="14"/>
      <c r="AA136" s="14"/>
      <c r="AB136" s="14"/>
      <c r="AC136" s="14"/>
      <c r="AD136" s="14"/>
      <c r="AE136" s="14"/>
      <c r="AF136" s="14"/>
      <c r="AG136" s="14"/>
    </row>
    <row r="137" spans="1:33" ht="15.75" customHeight="1" x14ac:dyDescent="0.2">
      <c r="A137" s="14"/>
      <c r="B137" s="14"/>
      <c r="C137" s="45"/>
      <c r="D137" s="45"/>
      <c r="E137" s="45"/>
      <c r="F137" s="45"/>
      <c r="G137" s="45"/>
      <c r="H137" s="45"/>
      <c r="I137" s="45"/>
      <c r="J137" s="45"/>
      <c r="K137" s="45"/>
      <c r="L137" s="45"/>
      <c r="M137" s="45"/>
      <c r="N137" s="45"/>
      <c r="O137" s="45"/>
      <c r="P137" s="45"/>
      <c r="Q137" s="45"/>
      <c r="R137" s="45"/>
      <c r="S137" s="35"/>
      <c r="T137" s="14"/>
      <c r="U137" s="14"/>
      <c r="V137" s="14"/>
      <c r="W137" s="14"/>
      <c r="X137" s="14"/>
      <c r="Y137" s="14"/>
      <c r="Z137" s="14"/>
      <c r="AA137" s="14"/>
      <c r="AB137" s="14"/>
      <c r="AC137" s="14"/>
      <c r="AD137" s="14"/>
      <c r="AE137" s="14"/>
      <c r="AF137" s="14"/>
      <c r="AG137" s="14"/>
    </row>
    <row r="138" spans="1:33" ht="15.75" customHeight="1" x14ac:dyDescent="0.2">
      <c r="A138" s="14"/>
      <c r="B138" s="14"/>
      <c r="C138" s="45"/>
      <c r="D138" s="45"/>
      <c r="E138" s="45"/>
      <c r="F138" s="45"/>
      <c r="G138" s="45"/>
      <c r="H138" s="45"/>
      <c r="I138" s="45"/>
      <c r="J138" s="45"/>
      <c r="K138" s="45"/>
      <c r="L138" s="45"/>
      <c r="M138" s="45"/>
      <c r="N138" s="45"/>
      <c r="O138" s="45"/>
      <c r="P138" s="45"/>
      <c r="Q138" s="45"/>
      <c r="R138" s="45"/>
      <c r="S138" s="35"/>
      <c r="T138" s="14"/>
      <c r="U138" s="14"/>
      <c r="V138" s="14"/>
      <c r="W138" s="14"/>
      <c r="X138" s="14"/>
      <c r="Y138" s="14"/>
      <c r="Z138" s="14"/>
      <c r="AA138" s="14"/>
      <c r="AB138" s="14"/>
      <c r="AC138" s="14"/>
      <c r="AD138" s="14"/>
      <c r="AE138" s="14"/>
      <c r="AF138" s="14"/>
      <c r="AG138" s="14"/>
    </row>
    <row r="139" spans="1:33" ht="15.75" customHeight="1" x14ac:dyDescent="0.2">
      <c r="A139" s="14"/>
      <c r="B139" s="14"/>
      <c r="C139" s="45"/>
      <c r="D139" s="45"/>
      <c r="E139" s="45"/>
      <c r="F139" s="45"/>
      <c r="G139" s="45"/>
      <c r="H139" s="45"/>
      <c r="I139" s="45"/>
      <c r="J139" s="45"/>
      <c r="K139" s="45"/>
      <c r="L139" s="45"/>
      <c r="M139" s="45"/>
      <c r="N139" s="45"/>
      <c r="O139" s="45"/>
      <c r="P139" s="45"/>
      <c r="Q139" s="45"/>
      <c r="R139" s="45"/>
      <c r="S139" s="35"/>
      <c r="T139" s="14"/>
      <c r="U139" s="14"/>
      <c r="V139" s="14"/>
      <c r="W139" s="14"/>
      <c r="X139" s="14"/>
      <c r="Y139" s="14"/>
      <c r="Z139" s="14"/>
      <c r="AA139" s="14"/>
      <c r="AB139" s="14"/>
      <c r="AC139" s="14"/>
      <c r="AD139" s="14"/>
      <c r="AE139" s="14"/>
      <c r="AF139" s="14"/>
      <c r="AG139" s="14"/>
    </row>
    <row r="140" spans="1:33" ht="15.75" customHeight="1" x14ac:dyDescent="0.2">
      <c r="A140" s="14"/>
      <c r="B140" s="14"/>
      <c r="C140" s="45"/>
      <c r="D140" s="45"/>
      <c r="E140" s="45"/>
      <c r="F140" s="45"/>
      <c r="G140" s="45"/>
      <c r="H140" s="45"/>
      <c r="I140" s="45"/>
      <c r="J140" s="45"/>
      <c r="K140" s="45"/>
      <c r="L140" s="45"/>
      <c r="M140" s="45"/>
      <c r="N140" s="45"/>
      <c r="O140" s="45"/>
      <c r="P140" s="45"/>
      <c r="Q140" s="45"/>
      <c r="R140" s="45"/>
      <c r="S140" s="35"/>
      <c r="T140" s="14"/>
      <c r="U140" s="14"/>
      <c r="V140" s="14"/>
      <c r="W140" s="14"/>
      <c r="X140" s="14"/>
      <c r="Y140" s="14"/>
      <c r="Z140" s="14"/>
      <c r="AA140" s="14"/>
      <c r="AB140" s="14"/>
      <c r="AC140" s="14"/>
      <c r="AD140" s="14"/>
      <c r="AE140" s="14"/>
      <c r="AF140" s="14"/>
      <c r="AG140" s="14"/>
    </row>
    <row r="141" spans="1:33" ht="15.75" customHeight="1" x14ac:dyDescent="0.2">
      <c r="A141" s="14"/>
      <c r="B141" s="14"/>
      <c r="C141" s="45"/>
      <c r="D141" s="45"/>
      <c r="E141" s="45"/>
      <c r="F141" s="45"/>
      <c r="G141" s="45"/>
      <c r="H141" s="45"/>
      <c r="I141" s="45"/>
      <c r="J141" s="45"/>
      <c r="K141" s="45"/>
      <c r="L141" s="45"/>
      <c r="M141" s="45"/>
      <c r="N141" s="45"/>
      <c r="O141" s="45"/>
      <c r="P141" s="45"/>
      <c r="Q141" s="45"/>
      <c r="R141" s="45"/>
      <c r="S141" s="35"/>
      <c r="T141" s="14"/>
      <c r="U141" s="14"/>
      <c r="V141" s="14"/>
      <c r="W141" s="14"/>
      <c r="X141" s="14"/>
      <c r="Y141" s="14"/>
      <c r="Z141" s="14"/>
      <c r="AA141" s="14"/>
      <c r="AB141" s="14"/>
      <c r="AC141" s="14"/>
      <c r="AD141" s="14"/>
      <c r="AE141" s="14"/>
      <c r="AF141" s="14"/>
      <c r="AG141" s="14"/>
    </row>
    <row r="142" spans="1:33" ht="15.75" customHeight="1" x14ac:dyDescent="0.2">
      <c r="A142" s="14"/>
      <c r="B142" s="14"/>
      <c r="C142" s="45"/>
      <c r="D142" s="45"/>
      <c r="E142" s="45"/>
      <c r="F142" s="45"/>
      <c r="G142" s="45"/>
      <c r="H142" s="45"/>
      <c r="I142" s="45"/>
      <c r="J142" s="45"/>
      <c r="K142" s="45"/>
      <c r="L142" s="45"/>
      <c r="M142" s="45"/>
      <c r="N142" s="45"/>
      <c r="O142" s="45"/>
      <c r="P142" s="45"/>
      <c r="Q142" s="45"/>
      <c r="R142" s="45"/>
      <c r="S142" s="35"/>
      <c r="T142" s="14"/>
      <c r="U142" s="14"/>
      <c r="V142" s="14"/>
      <c r="W142" s="14"/>
      <c r="X142" s="14"/>
      <c r="Y142" s="14"/>
      <c r="Z142" s="14"/>
      <c r="AA142" s="14"/>
      <c r="AB142" s="14"/>
      <c r="AC142" s="14"/>
      <c r="AD142" s="14"/>
      <c r="AE142" s="14"/>
      <c r="AF142" s="14"/>
      <c r="AG142" s="14"/>
    </row>
    <row r="143" spans="1:33" ht="15.75" customHeight="1" x14ac:dyDescent="0.2">
      <c r="A143" s="14"/>
      <c r="B143" s="14"/>
      <c r="C143" s="45"/>
      <c r="D143" s="45"/>
      <c r="E143" s="45"/>
      <c r="F143" s="45"/>
      <c r="G143" s="45"/>
      <c r="H143" s="45"/>
      <c r="I143" s="45"/>
      <c r="J143" s="45"/>
      <c r="K143" s="45"/>
      <c r="L143" s="45"/>
      <c r="M143" s="45"/>
      <c r="N143" s="45"/>
      <c r="O143" s="45"/>
      <c r="P143" s="45"/>
      <c r="Q143" s="45"/>
      <c r="R143" s="45"/>
      <c r="S143" s="35"/>
      <c r="T143" s="14"/>
      <c r="U143" s="14"/>
      <c r="V143" s="14"/>
      <c r="W143" s="14"/>
      <c r="X143" s="14"/>
      <c r="Y143" s="14"/>
      <c r="Z143" s="14"/>
      <c r="AA143" s="14"/>
      <c r="AB143" s="14"/>
      <c r="AC143" s="14"/>
      <c r="AD143" s="14"/>
      <c r="AE143" s="14"/>
      <c r="AF143" s="14"/>
      <c r="AG143" s="14"/>
    </row>
    <row r="144" spans="1:33" ht="15.75" customHeight="1" x14ac:dyDescent="0.2">
      <c r="A144" s="14"/>
      <c r="B144" s="14"/>
      <c r="C144" s="45"/>
      <c r="D144" s="45"/>
      <c r="E144" s="45"/>
      <c r="F144" s="45"/>
      <c r="G144" s="45"/>
      <c r="H144" s="45"/>
      <c r="I144" s="45"/>
      <c r="J144" s="45"/>
      <c r="K144" s="45"/>
      <c r="L144" s="45"/>
      <c r="M144" s="45"/>
      <c r="N144" s="45"/>
      <c r="O144" s="45"/>
      <c r="P144" s="45"/>
      <c r="Q144" s="45"/>
      <c r="R144" s="45"/>
      <c r="S144" s="35"/>
      <c r="T144" s="14"/>
      <c r="U144" s="14"/>
      <c r="V144" s="14"/>
      <c r="W144" s="14"/>
      <c r="X144" s="14"/>
      <c r="Y144" s="14"/>
      <c r="Z144" s="14"/>
      <c r="AA144" s="14"/>
      <c r="AB144" s="14"/>
      <c r="AC144" s="14"/>
      <c r="AD144" s="14"/>
      <c r="AE144" s="14"/>
      <c r="AF144" s="14"/>
      <c r="AG144" s="14"/>
    </row>
    <row r="145" spans="1:33" ht="15.75" customHeight="1" x14ac:dyDescent="0.2">
      <c r="A145" s="14"/>
      <c r="B145" s="14"/>
      <c r="C145" s="45"/>
      <c r="D145" s="45"/>
      <c r="E145" s="45"/>
      <c r="F145" s="45"/>
      <c r="G145" s="45"/>
      <c r="H145" s="45"/>
      <c r="I145" s="45"/>
      <c r="J145" s="45"/>
      <c r="K145" s="45"/>
      <c r="L145" s="45"/>
      <c r="M145" s="45"/>
      <c r="N145" s="45"/>
      <c r="O145" s="45"/>
      <c r="P145" s="45"/>
      <c r="Q145" s="45"/>
      <c r="R145" s="45"/>
      <c r="S145" s="35"/>
      <c r="T145" s="14"/>
      <c r="U145" s="14"/>
      <c r="V145" s="14"/>
      <c r="W145" s="14"/>
      <c r="X145" s="14"/>
      <c r="Y145" s="14"/>
      <c r="Z145" s="14"/>
      <c r="AA145" s="14"/>
      <c r="AB145" s="14"/>
      <c r="AC145" s="14"/>
      <c r="AD145" s="14"/>
      <c r="AE145" s="14"/>
      <c r="AF145" s="14"/>
      <c r="AG145" s="14"/>
    </row>
    <row r="146" spans="1:33" ht="15.75" customHeight="1" x14ac:dyDescent="0.2">
      <c r="A146" s="14"/>
      <c r="B146" s="14"/>
      <c r="C146" s="45"/>
      <c r="D146" s="45"/>
      <c r="E146" s="45"/>
      <c r="F146" s="45"/>
      <c r="G146" s="45"/>
      <c r="H146" s="45"/>
      <c r="I146" s="45"/>
      <c r="J146" s="45"/>
      <c r="K146" s="45"/>
      <c r="L146" s="45"/>
      <c r="M146" s="45"/>
      <c r="N146" s="45"/>
      <c r="O146" s="45"/>
      <c r="P146" s="45"/>
      <c r="Q146" s="45"/>
      <c r="R146" s="45"/>
      <c r="S146" s="35"/>
      <c r="T146" s="14"/>
      <c r="U146" s="14"/>
      <c r="V146" s="14"/>
      <c r="W146" s="14"/>
      <c r="X146" s="14"/>
      <c r="Y146" s="14"/>
      <c r="Z146" s="14"/>
      <c r="AA146" s="14"/>
      <c r="AB146" s="14"/>
      <c r="AC146" s="14"/>
      <c r="AD146" s="14"/>
      <c r="AE146" s="14"/>
      <c r="AF146" s="14"/>
      <c r="AG146" s="14"/>
    </row>
    <row r="147" spans="1:33" ht="15.75" customHeight="1" x14ac:dyDescent="0.2">
      <c r="A147" s="14"/>
      <c r="B147" s="14"/>
      <c r="C147" s="45"/>
      <c r="D147" s="45"/>
      <c r="E147" s="45"/>
      <c r="F147" s="45"/>
      <c r="G147" s="45"/>
      <c r="H147" s="45"/>
      <c r="I147" s="45"/>
      <c r="J147" s="45"/>
      <c r="K147" s="45"/>
      <c r="L147" s="45"/>
      <c r="M147" s="45"/>
      <c r="N147" s="45"/>
      <c r="O147" s="45"/>
      <c r="P147" s="45"/>
      <c r="Q147" s="45"/>
      <c r="R147" s="45"/>
      <c r="S147" s="35"/>
      <c r="T147" s="14"/>
      <c r="U147" s="14"/>
      <c r="V147" s="14"/>
      <c r="W147" s="14"/>
      <c r="X147" s="14"/>
      <c r="Y147" s="14"/>
      <c r="Z147" s="14"/>
      <c r="AA147" s="14"/>
      <c r="AB147" s="14"/>
      <c r="AC147" s="14"/>
      <c r="AD147" s="14"/>
      <c r="AE147" s="14"/>
      <c r="AF147" s="14"/>
      <c r="AG147" s="14"/>
    </row>
    <row r="148" spans="1:33" ht="15.75" customHeight="1" x14ac:dyDescent="0.2">
      <c r="A148" s="28"/>
      <c r="B148" s="28"/>
      <c r="C148" s="46"/>
      <c r="D148" s="46"/>
      <c r="E148" s="46"/>
      <c r="F148" s="46"/>
      <c r="G148" s="46"/>
      <c r="H148" s="46"/>
      <c r="I148" s="46"/>
      <c r="J148" s="46"/>
      <c r="K148" s="46"/>
      <c r="L148" s="46"/>
      <c r="M148" s="46"/>
      <c r="N148" s="46"/>
      <c r="O148" s="46"/>
      <c r="P148" s="46"/>
      <c r="Q148" s="46"/>
      <c r="R148" s="46"/>
      <c r="S148" s="35"/>
      <c r="T148" s="28"/>
      <c r="U148" s="28"/>
      <c r="V148" s="28"/>
      <c r="W148" s="28"/>
      <c r="X148" s="28"/>
      <c r="Y148" s="28"/>
      <c r="Z148" s="28"/>
      <c r="AA148" s="28"/>
      <c r="AB148" s="28"/>
      <c r="AC148" s="28"/>
      <c r="AD148" s="28"/>
      <c r="AE148" s="28"/>
      <c r="AF148" s="28"/>
      <c r="AG148" s="28"/>
    </row>
    <row r="149" spans="1:33" ht="15.75" customHeight="1" x14ac:dyDescent="0.2">
      <c r="A149" s="28"/>
      <c r="B149" s="28"/>
      <c r="C149" s="46"/>
      <c r="D149" s="46"/>
      <c r="E149" s="46"/>
      <c r="F149" s="46"/>
      <c r="G149" s="46"/>
      <c r="H149" s="46"/>
      <c r="I149" s="46"/>
      <c r="J149" s="46"/>
      <c r="K149" s="46"/>
      <c r="L149" s="46"/>
      <c r="M149" s="46"/>
      <c r="N149" s="46"/>
      <c r="O149" s="46"/>
      <c r="P149" s="46"/>
      <c r="Q149" s="46"/>
      <c r="R149" s="46"/>
      <c r="S149" s="35"/>
      <c r="T149" s="28"/>
      <c r="U149" s="28"/>
      <c r="V149" s="28"/>
      <c r="W149" s="28"/>
      <c r="X149" s="28"/>
      <c r="Y149" s="28"/>
      <c r="Z149" s="28"/>
      <c r="AA149" s="28"/>
      <c r="AB149" s="28"/>
      <c r="AC149" s="28"/>
      <c r="AD149" s="28"/>
      <c r="AE149" s="28"/>
      <c r="AF149" s="28"/>
      <c r="AG149" s="28"/>
    </row>
    <row r="150" spans="1:33" ht="15.75" customHeight="1" x14ac:dyDescent="0.2">
      <c r="A150" s="28"/>
      <c r="B150" s="28"/>
      <c r="C150" s="46"/>
      <c r="D150" s="46"/>
      <c r="E150" s="46"/>
      <c r="F150" s="46"/>
      <c r="G150" s="46"/>
      <c r="H150" s="46"/>
      <c r="I150" s="46"/>
      <c r="J150" s="46"/>
      <c r="K150" s="46"/>
      <c r="L150" s="46"/>
      <c r="M150" s="46"/>
      <c r="N150" s="46"/>
      <c r="O150" s="46"/>
      <c r="P150" s="46"/>
      <c r="Q150" s="46"/>
      <c r="R150" s="46"/>
      <c r="S150" s="35"/>
      <c r="T150" s="28"/>
      <c r="U150" s="28"/>
      <c r="V150" s="28"/>
      <c r="W150" s="28"/>
      <c r="X150" s="28"/>
      <c r="Y150" s="28"/>
      <c r="Z150" s="28"/>
      <c r="AA150" s="28"/>
      <c r="AB150" s="28"/>
      <c r="AC150" s="28"/>
      <c r="AD150" s="28"/>
      <c r="AE150" s="28"/>
      <c r="AF150" s="28"/>
      <c r="AG150" s="28"/>
    </row>
    <row r="151" spans="1:33" ht="15.75" customHeight="1" x14ac:dyDescent="0.2">
      <c r="A151" s="28"/>
      <c r="B151" s="28"/>
      <c r="C151" s="46"/>
      <c r="D151" s="46"/>
      <c r="E151" s="46"/>
      <c r="F151" s="46"/>
      <c r="G151" s="46"/>
      <c r="H151" s="46"/>
      <c r="I151" s="46"/>
      <c r="J151" s="46"/>
      <c r="K151" s="46"/>
      <c r="L151" s="46"/>
      <c r="M151" s="46"/>
      <c r="N151" s="46"/>
      <c r="O151" s="46"/>
      <c r="P151" s="46"/>
      <c r="Q151" s="46"/>
      <c r="R151" s="46"/>
      <c r="S151" s="35"/>
      <c r="T151" s="28"/>
      <c r="U151" s="28"/>
      <c r="V151" s="28"/>
      <c r="W151" s="28"/>
      <c r="X151" s="28"/>
      <c r="Y151" s="28"/>
      <c r="Z151" s="28"/>
      <c r="AA151" s="28"/>
      <c r="AB151" s="28"/>
      <c r="AC151" s="28"/>
      <c r="AD151" s="28"/>
      <c r="AE151" s="28"/>
      <c r="AF151" s="28"/>
      <c r="AG151" s="28"/>
    </row>
    <row r="152" spans="1:33" ht="15.75" customHeight="1" x14ac:dyDescent="0.2">
      <c r="A152" s="28"/>
      <c r="B152" s="28"/>
      <c r="C152" s="46"/>
      <c r="D152" s="46"/>
      <c r="E152" s="46"/>
      <c r="F152" s="46"/>
      <c r="G152" s="46"/>
      <c r="H152" s="46"/>
      <c r="I152" s="46"/>
      <c r="J152" s="46"/>
      <c r="K152" s="46"/>
      <c r="L152" s="46"/>
      <c r="M152" s="46"/>
      <c r="N152" s="46"/>
      <c r="O152" s="46"/>
      <c r="P152" s="46"/>
      <c r="Q152" s="46"/>
      <c r="R152" s="46"/>
      <c r="S152" s="35"/>
      <c r="T152" s="28"/>
      <c r="U152" s="28"/>
      <c r="V152" s="28"/>
      <c r="W152" s="28"/>
      <c r="X152" s="28"/>
      <c r="Y152" s="28"/>
      <c r="Z152" s="28"/>
      <c r="AA152" s="28"/>
      <c r="AB152" s="28"/>
      <c r="AC152" s="28"/>
      <c r="AD152" s="28"/>
      <c r="AE152" s="28"/>
      <c r="AF152" s="28"/>
      <c r="AG152" s="28"/>
    </row>
    <row r="153" spans="1:33" ht="15.75" customHeight="1" x14ac:dyDescent="0.2">
      <c r="A153" s="28"/>
      <c r="B153" s="28"/>
      <c r="C153" s="46"/>
      <c r="D153" s="46"/>
      <c r="E153" s="46"/>
      <c r="F153" s="46"/>
      <c r="G153" s="46"/>
      <c r="H153" s="46"/>
      <c r="I153" s="46"/>
      <c r="J153" s="46"/>
      <c r="K153" s="46"/>
      <c r="L153" s="46"/>
      <c r="M153" s="46"/>
      <c r="N153" s="46"/>
      <c r="O153" s="46"/>
      <c r="P153" s="46"/>
      <c r="Q153" s="46"/>
      <c r="R153" s="46"/>
      <c r="S153" s="35"/>
      <c r="T153" s="28"/>
      <c r="U153" s="28"/>
      <c r="V153" s="28"/>
      <c r="W153" s="28"/>
      <c r="X153" s="28"/>
      <c r="Y153" s="28"/>
      <c r="Z153" s="28"/>
      <c r="AA153" s="28"/>
      <c r="AB153" s="28"/>
      <c r="AC153" s="28"/>
      <c r="AD153" s="28"/>
      <c r="AE153" s="28"/>
      <c r="AF153" s="28"/>
      <c r="AG153" s="28"/>
    </row>
    <row r="154" spans="1:33" ht="15.75" customHeight="1" x14ac:dyDescent="0.2">
      <c r="A154" s="28"/>
      <c r="B154" s="28"/>
      <c r="C154" s="46"/>
      <c r="D154" s="46"/>
      <c r="E154" s="46"/>
      <c r="F154" s="46"/>
      <c r="G154" s="46"/>
      <c r="H154" s="46"/>
      <c r="I154" s="46"/>
      <c r="J154" s="46"/>
      <c r="K154" s="46"/>
      <c r="L154" s="46"/>
      <c r="M154" s="46"/>
      <c r="N154" s="46"/>
      <c r="O154" s="46"/>
      <c r="P154" s="46"/>
      <c r="Q154" s="46"/>
      <c r="R154" s="46"/>
      <c r="S154" s="35"/>
      <c r="T154" s="28"/>
      <c r="U154" s="28"/>
      <c r="V154" s="28"/>
      <c r="W154" s="28"/>
      <c r="X154" s="28"/>
      <c r="Y154" s="28"/>
      <c r="Z154" s="28"/>
      <c r="AA154" s="28"/>
      <c r="AB154" s="28"/>
      <c r="AC154" s="28"/>
      <c r="AD154" s="28"/>
      <c r="AE154" s="28"/>
      <c r="AF154" s="28"/>
      <c r="AG154" s="28"/>
    </row>
    <row r="155" spans="1:33" ht="15.75" customHeight="1" x14ac:dyDescent="0.2">
      <c r="A155" s="28"/>
      <c r="B155" s="28"/>
      <c r="C155" s="46"/>
      <c r="D155" s="46"/>
      <c r="E155" s="46"/>
      <c r="F155" s="46"/>
      <c r="G155" s="46"/>
      <c r="H155" s="46"/>
      <c r="I155" s="46"/>
      <c r="J155" s="46"/>
      <c r="K155" s="46"/>
      <c r="L155" s="46"/>
      <c r="M155" s="46"/>
      <c r="N155" s="46"/>
      <c r="O155" s="46"/>
      <c r="P155" s="46"/>
      <c r="Q155" s="46"/>
      <c r="R155" s="46"/>
      <c r="S155" s="35"/>
      <c r="T155" s="28"/>
      <c r="U155" s="28"/>
      <c r="V155" s="28"/>
      <c r="W155" s="28"/>
      <c r="X155" s="28"/>
      <c r="Y155" s="28"/>
      <c r="Z155" s="28"/>
      <c r="AA155" s="28"/>
      <c r="AB155" s="28"/>
      <c r="AC155" s="28"/>
      <c r="AD155" s="28"/>
      <c r="AE155" s="28"/>
      <c r="AF155" s="28"/>
      <c r="AG155" s="28"/>
    </row>
    <row r="156" spans="1:33" ht="15.75" customHeight="1" x14ac:dyDescent="0.2">
      <c r="A156" s="28"/>
      <c r="B156" s="28"/>
      <c r="C156" s="46"/>
      <c r="D156" s="46"/>
      <c r="E156" s="46"/>
      <c r="F156" s="46"/>
      <c r="G156" s="46"/>
      <c r="H156" s="46"/>
      <c r="I156" s="46"/>
      <c r="J156" s="46"/>
      <c r="K156" s="46"/>
      <c r="L156" s="46"/>
      <c r="M156" s="46"/>
      <c r="N156" s="46"/>
      <c r="O156" s="46"/>
      <c r="P156" s="46"/>
      <c r="Q156" s="46"/>
      <c r="R156" s="46"/>
      <c r="S156" s="35"/>
      <c r="T156" s="28"/>
      <c r="U156" s="28"/>
      <c r="V156" s="28"/>
      <c r="W156" s="28"/>
      <c r="X156" s="28"/>
      <c r="Y156" s="28"/>
      <c r="Z156" s="28"/>
      <c r="AA156" s="28"/>
      <c r="AB156" s="28"/>
      <c r="AC156" s="28"/>
      <c r="AD156" s="28"/>
      <c r="AE156" s="28"/>
      <c r="AF156" s="28"/>
      <c r="AG156" s="28"/>
    </row>
    <row r="157" spans="1:33" ht="15.75" customHeight="1" x14ac:dyDescent="0.2">
      <c r="A157" s="28"/>
      <c r="B157" s="28"/>
      <c r="C157" s="46"/>
      <c r="D157" s="46"/>
      <c r="E157" s="46"/>
      <c r="F157" s="46"/>
      <c r="G157" s="46"/>
      <c r="H157" s="46"/>
      <c r="I157" s="46"/>
      <c r="J157" s="46"/>
      <c r="K157" s="46"/>
      <c r="L157" s="46"/>
      <c r="M157" s="46"/>
      <c r="N157" s="46"/>
      <c r="O157" s="46"/>
      <c r="P157" s="46"/>
      <c r="Q157" s="46"/>
      <c r="R157" s="46"/>
      <c r="S157" s="35"/>
      <c r="T157" s="28"/>
      <c r="U157" s="28"/>
      <c r="V157" s="28"/>
      <c r="W157" s="28"/>
      <c r="X157" s="28"/>
      <c r="Y157" s="28"/>
      <c r="Z157" s="28"/>
      <c r="AA157" s="28"/>
      <c r="AB157" s="28"/>
      <c r="AC157" s="28"/>
      <c r="AD157" s="28"/>
      <c r="AE157" s="28"/>
      <c r="AF157" s="28"/>
      <c r="AG157" s="28"/>
    </row>
    <row r="158" spans="1:33" ht="15.75" customHeight="1" x14ac:dyDescent="0.2">
      <c r="A158" s="28"/>
      <c r="B158" s="28"/>
      <c r="C158" s="46"/>
      <c r="D158" s="46"/>
      <c r="E158" s="46"/>
      <c r="F158" s="46"/>
      <c r="G158" s="46"/>
      <c r="H158" s="46"/>
      <c r="I158" s="46"/>
      <c r="J158" s="46"/>
      <c r="K158" s="46"/>
      <c r="L158" s="46"/>
      <c r="M158" s="46"/>
      <c r="N158" s="46"/>
      <c r="O158" s="46"/>
      <c r="P158" s="46"/>
      <c r="Q158" s="46"/>
      <c r="R158" s="46"/>
      <c r="S158" s="35"/>
      <c r="T158" s="28"/>
      <c r="U158" s="28"/>
      <c r="V158" s="28"/>
      <c r="W158" s="28"/>
      <c r="X158" s="28"/>
      <c r="Y158" s="28"/>
      <c r="Z158" s="28"/>
      <c r="AA158" s="28"/>
      <c r="AB158" s="28"/>
      <c r="AC158" s="28"/>
      <c r="AD158" s="28"/>
      <c r="AE158" s="28"/>
      <c r="AF158" s="28"/>
      <c r="AG158" s="28"/>
    </row>
    <row r="159" spans="1:33" ht="15.75" customHeight="1" x14ac:dyDescent="0.2">
      <c r="A159" s="28"/>
      <c r="B159" s="28"/>
      <c r="C159" s="46"/>
      <c r="D159" s="46"/>
      <c r="E159" s="46"/>
      <c r="F159" s="46"/>
      <c r="G159" s="46"/>
      <c r="H159" s="46"/>
      <c r="I159" s="46"/>
      <c r="J159" s="46"/>
      <c r="K159" s="46"/>
      <c r="L159" s="46"/>
      <c r="M159" s="46"/>
      <c r="N159" s="46"/>
      <c r="O159" s="46"/>
      <c r="P159" s="46"/>
      <c r="Q159" s="46"/>
      <c r="R159" s="46"/>
      <c r="S159" s="35"/>
      <c r="T159" s="28"/>
      <c r="U159" s="28"/>
      <c r="V159" s="28"/>
      <c r="W159" s="28"/>
      <c r="X159" s="28"/>
      <c r="Y159" s="28"/>
      <c r="Z159" s="28"/>
      <c r="AA159" s="28"/>
      <c r="AB159" s="28"/>
      <c r="AC159" s="28"/>
      <c r="AD159" s="28"/>
      <c r="AE159" s="28"/>
      <c r="AF159" s="28"/>
      <c r="AG159" s="28"/>
    </row>
    <row r="160" spans="1:33" ht="15.75" customHeight="1" x14ac:dyDescent="0.2">
      <c r="A160" s="28"/>
      <c r="B160" s="28"/>
      <c r="C160" s="46"/>
      <c r="D160" s="46"/>
      <c r="E160" s="46"/>
      <c r="F160" s="46"/>
      <c r="G160" s="46"/>
      <c r="H160" s="46"/>
      <c r="I160" s="46"/>
      <c r="J160" s="46"/>
      <c r="K160" s="46"/>
      <c r="L160" s="46"/>
      <c r="M160" s="46"/>
      <c r="N160" s="46"/>
      <c r="O160" s="46"/>
      <c r="P160" s="46"/>
      <c r="Q160" s="46"/>
      <c r="R160" s="46"/>
      <c r="S160" s="35"/>
      <c r="T160" s="28"/>
      <c r="U160" s="28"/>
      <c r="V160" s="28"/>
      <c r="W160" s="28"/>
      <c r="X160" s="28"/>
      <c r="Y160" s="28"/>
      <c r="Z160" s="28"/>
      <c r="AA160" s="28"/>
      <c r="AB160" s="28"/>
      <c r="AC160" s="28"/>
      <c r="AD160" s="28"/>
      <c r="AE160" s="28"/>
      <c r="AF160" s="28"/>
      <c r="AG160" s="28"/>
    </row>
    <row r="161" spans="1:33" ht="15.75" customHeight="1" x14ac:dyDescent="0.2">
      <c r="A161" s="28"/>
      <c r="B161" s="28"/>
      <c r="C161" s="46"/>
      <c r="D161" s="46"/>
      <c r="E161" s="46"/>
      <c r="F161" s="46"/>
      <c r="G161" s="46"/>
      <c r="H161" s="46"/>
      <c r="I161" s="46"/>
      <c r="J161" s="46"/>
      <c r="K161" s="46"/>
      <c r="L161" s="46"/>
      <c r="M161" s="46"/>
      <c r="N161" s="46"/>
      <c r="O161" s="46"/>
      <c r="P161" s="46"/>
      <c r="Q161" s="46"/>
      <c r="R161" s="46"/>
      <c r="S161" s="35"/>
      <c r="T161" s="28"/>
      <c r="U161" s="28"/>
      <c r="V161" s="28"/>
      <c r="W161" s="28"/>
      <c r="X161" s="28"/>
      <c r="Y161" s="28"/>
      <c r="Z161" s="28"/>
      <c r="AA161" s="28"/>
      <c r="AB161" s="28"/>
      <c r="AC161" s="28"/>
      <c r="AD161" s="28"/>
      <c r="AE161" s="28"/>
      <c r="AF161" s="28"/>
      <c r="AG161" s="28"/>
    </row>
    <row r="162" spans="1:33" ht="15.75" customHeight="1" x14ac:dyDescent="0.2">
      <c r="A162" s="28"/>
      <c r="B162" s="28"/>
      <c r="C162" s="46"/>
      <c r="D162" s="46"/>
      <c r="E162" s="46"/>
      <c r="F162" s="46"/>
      <c r="G162" s="46"/>
      <c r="H162" s="46"/>
      <c r="I162" s="46"/>
      <c r="J162" s="46"/>
      <c r="K162" s="46"/>
      <c r="L162" s="46"/>
      <c r="M162" s="46"/>
      <c r="N162" s="46"/>
      <c r="O162" s="46"/>
      <c r="P162" s="46"/>
      <c r="Q162" s="46"/>
      <c r="R162" s="46"/>
      <c r="S162" s="35"/>
      <c r="T162" s="28"/>
      <c r="U162" s="28"/>
      <c r="V162" s="28"/>
      <c r="W162" s="28"/>
      <c r="X162" s="28"/>
      <c r="Y162" s="28"/>
      <c r="Z162" s="28"/>
      <c r="AA162" s="28"/>
      <c r="AB162" s="28"/>
      <c r="AC162" s="28"/>
      <c r="AD162" s="28"/>
      <c r="AE162" s="28"/>
      <c r="AF162" s="28"/>
      <c r="AG162" s="28"/>
    </row>
    <row r="163" spans="1:33" ht="15.75" customHeight="1" x14ac:dyDescent="0.2">
      <c r="A163" s="28"/>
      <c r="B163" s="28"/>
      <c r="C163" s="46"/>
      <c r="D163" s="46"/>
      <c r="E163" s="46"/>
      <c r="F163" s="46"/>
      <c r="G163" s="46"/>
      <c r="H163" s="46"/>
      <c r="I163" s="46"/>
      <c r="J163" s="46"/>
      <c r="K163" s="46"/>
      <c r="L163" s="46"/>
      <c r="M163" s="46"/>
      <c r="N163" s="46"/>
      <c r="O163" s="46"/>
      <c r="P163" s="46"/>
      <c r="Q163" s="46"/>
      <c r="R163" s="46"/>
      <c r="S163" s="35"/>
      <c r="T163" s="28"/>
      <c r="U163" s="28"/>
      <c r="V163" s="28"/>
      <c r="W163" s="28"/>
      <c r="X163" s="28"/>
      <c r="Y163" s="28"/>
      <c r="Z163" s="28"/>
      <c r="AA163" s="28"/>
      <c r="AB163" s="28"/>
      <c r="AC163" s="28"/>
      <c r="AD163" s="28"/>
      <c r="AE163" s="28"/>
      <c r="AF163" s="28"/>
      <c r="AG163" s="28"/>
    </row>
    <row r="164" spans="1:33" ht="15.75" customHeight="1" x14ac:dyDescent="0.2">
      <c r="A164" s="28"/>
      <c r="B164" s="28"/>
      <c r="C164" s="46"/>
      <c r="D164" s="46"/>
      <c r="E164" s="46"/>
      <c r="F164" s="46"/>
      <c r="G164" s="46"/>
      <c r="H164" s="46"/>
      <c r="I164" s="46"/>
      <c r="J164" s="46"/>
      <c r="K164" s="46"/>
      <c r="L164" s="46"/>
      <c r="M164" s="46"/>
      <c r="N164" s="46"/>
      <c r="O164" s="46"/>
      <c r="P164" s="46"/>
      <c r="Q164" s="46"/>
      <c r="R164" s="46"/>
      <c r="S164" s="35"/>
      <c r="T164" s="28"/>
      <c r="U164" s="28"/>
      <c r="V164" s="28"/>
      <c r="W164" s="28"/>
      <c r="X164" s="28"/>
      <c r="Y164" s="28"/>
      <c r="Z164" s="28"/>
      <c r="AA164" s="28"/>
      <c r="AB164" s="28"/>
      <c r="AC164" s="28"/>
      <c r="AD164" s="28"/>
      <c r="AE164" s="28"/>
      <c r="AF164" s="28"/>
      <c r="AG164" s="28"/>
    </row>
    <row r="165" spans="1:33" ht="15.75" customHeight="1" x14ac:dyDescent="0.2">
      <c r="A165" s="28"/>
      <c r="B165" s="28"/>
      <c r="C165" s="46"/>
      <c r="D165" s="46"/>
      <c r="E165" s="46"/>
      <c r="F165" s="46"/>
      <c r="G165" s="46"/>
      <c r="H165" s="46"/>
      <c r="I165" s="46"/>
      <c r="J165" s="46"/>
      <c r="K165" s="46"/>
      <c r="L165" s="46"/>
      <c r="M165" s="46"/>
      <c r="N165" s="46"/>
      <c r="O165" s="46"/>
      <c r="P165" s="46"/>
      <c r="Q165" s="46"/>
      <c r="R165" s="46"/>
      <c r="S165" s="35"/>
      <c r="T165" s="28"/>
      <c r="U165" s="28"/>
      <c r="V165" s="28"/>
      <c r="W165" s="28"/>
      <c r="X165" s="28"/>
      <c r="Y165" s="28"/>
      <c r="Z165" s="28"/>
      <c r="AA165" s="28"/>
      <c r="AB165" s="28"/>
      <c r="AC165" s="28"/>
      <c r="AD165" s="28"/>
      <c r="AE165" s="28"/>
      <c r="AF165" s="28"/>
      <c r="AG165" s="28"/>
    </row>
    <row r="166" spans="1:33" ht="15.75" customHeight="1" x14ac:dyDescent="0.2">
      <c r="A166" s="28"/>
      <c r="B166" s="28"/>
      <c r="C166" s="46"/>
      <c r="D166" s="46"/>
      <c r="E166" s="46"/>
      <c r="F166" s="46"/>
      <c r="G166" s="46"/>
      <c r="H166" s="46"/>
      <c r="I166" s="46"/>
      <c r="J166" s="46"/>
      <c r="K166" s="46"/>
      <c r="L166" s="46"/>
      <c r="M166" s="46"/>
      <c r="N166" s="46"/>
      <c r="O166" s="46"/>
      <c r="P166" s="46"/>
      <c r="Q166" s="46"/>
      <c r="R166" s="46"/>
      <c r="S166" s="35"/>
      <c r="T166" s="28"/>
      <c r="U166" s="28"/>
      <c r="V166" s="28"/>
      <c r="W166" s="28"/>
      <c r="X166" s="28"/>
      <c r="Y166" s="28"/>
      <c r="Z166" s="28"/>
      <c r="AA166" s="28"/>
      <c r="AB166" s="28"/>
      <c r="AC166" s="28"/>
      <c r="AD166" s="28"/>
      <c r="AE166" s="28"/>
      <c r="AF166" s="28"/>
      <c r="AG166" s="28"/>
    </row>
    <row r="167" spans="1:33" ht="15.75" customHeight="1" x14ac:dyDescent="0.2">
      <c r="A167" s="28"/>
      <c r="B167" s="28"/>
      <c r="C167" s="46"/>
      <c r="D167" s="46"/>
      <c r="E167" s="46"/>
      <c r="F167" s="46"/>
      <c r="G167" s="46"/>
      <c r="H167" s="46"/>
      <c r="I167" s="46"/>
      <c r="J167" s="46"/>
      <c r="K167" s="46"/>
      <c r="L167" s="46"/>
      <c r="M167" s="46"/>
      <c r="N167" s="46"/>
      <c r="O167" s="46"/>
      <c r="P167" s="46"/>
      <c r="Q167" s="46"/>
      <c r="R167" s="46"/>
      <c r="S167" s="35"/>
      <c r="T167" s="28"/>
      <c r="U167" s="28"/>
      <c r="V167" s="28"/>
      <c r="W167" s="28"/>
      <c r="X167" s="28"/>
      <c r="Y167" s="28"/>
      <c r="Z167" s="28"/>
      <c r="AA167" s="28"/>
      <c r="AB167" s="28"/>
      <c r="AC167" s="28"/>
      <c r="AD167" s="28"/>
      <c r="AE167" s="28"/>
      <c r="AF167" s="28"/>
      <c r="AG167" s="28"/>
    </row>
    <row r="168" spans="1:33" ht="15.75" customHeight="1" x14ac:dyDescent="0.2">
      <c r="A168" s="28"/>
      <c r="B168" s="28"/>
      <c r="C168" s="46"/>
      <c r="D168" s="46"/>
      <c r="E168" s="46"/>
      <c r="F168" s="46"/>
      <c r="G168" s="46"/>
      <c r="H168" s="46"/>
      <c r="I168" s="46"/>
      <c r="J168" s="46"/>
      <c r="K168" s="46"/>
      <c r="L168" s="46"/>
      <c r="M168" s="46"/>
      <c r="N168" s="46"/>
      <c r="O168" s="46"/>
      <c r="P168" s="46"/>
      <c r="Q168" s="46"/>
      <c r="R168" s="46"/>
      <c r="S168" s="35"/>
      <c r="T168" s="28"/>
      <c r="U168" s="28"/>
      <c r="V168" s="28"/>
      <c r="W168" s="28"/>
      <c r="X168" s="28"/>
      <c r="Y168" s="28"/>
      <c r="Z168" s="28"/>
      <c r="AA168" s="28"/>
      <c r="AB168" s="28"/>
      <c r="AC168" s="28"/>
      <c r="AD168" s="28"/>
      <c r="AE168" s="28"/>
      <c r="AF168" s="28"/>
      <c r="AG168" s="28"/>
    </row>
    <row r="169" spans="1:33" ht="15.75" customHeight="1" x14ac:dyDescent="0.2">
      <c r="A169" s="28"/>
      <c r="B169" s="28"/>
      <c r="C169" s="46"/>
      <c r="D169" s="46"/>
      <c r="E169" s="46"/>
      <c r="F169" s="46"/>
      <c r="G169" s="46"/>
      <c r="H169" s="46"/>
      <c r="I169" s="46"/>
      <c r="J169" s="46"/>
      <c r="K169" s="46"/>
      <c r="L169" s="46"/>
      <c r="M169" s="46"/>
      <c r="N169" s="46"/>
      <c r="O169" s="46"/>
      <c r="P169" s="46"/>
      <c r="Q169" s="46"/>
      <c r="R169" s="46"/>
      <c r="S169" s="35"/>
      <c r="T169" s="28"/>
      <c r="U169" s="28"/>
      <c r="V169" s="28"/>
      <c r="W169" s="28"/>
      <c r="X169" s="28"/>
      <c r="Y169" s="28"/>
      <c r="Z169" s="28"/>
      <c r="AA169" s="28"/>
      <c r="AB169" s="28"/>
      <c r="AC169" s="28"/>
      <c r="AD169" s="28"/>
      <c r="AE169" s="28"/>
      <c r="AF169" s="28"/>
      <c r="AG169" s="28"/>
    </row>
    <row r="170" spans="1:33" ht="15.75" customHeight="1" x14ac:dyDescent="0.2">
      <c r="A170" s="28"/>
      <c r="B170" s="28"/>
      <c r="C170" s="46"/>
      <c r="D170" s="46"/>
      <c r="E170" s="46"/>
      <c r="F170" s="46"/>
      <c r="G170" s="46"/>
      <c r="H170" s="46"/>
      <c r="I170" s="46"/>
      <c r="J170" s="46"/>
      <c r="K170" s="46"/>
      <c r="L170" s="46"/>
      <c r="M170" s="46"/>
      <c r="N170" s="46"/>
      <c r="O170" s="46"/>
      <c r="P170" s="46"/>
      <c r="Q170" s="46"/>
      <c r="R170" s="46"/>
      <c r="S170" s="35"/>
      <c r="T170" s="28"/>
      <c r="U170" s="28"/>
      <c r="V170" s="28"/>
      <c r="W170" s="28"/>
      <c r="X170" s="28"/>
      <c r="Y170" s="28"/>
      <c r="Z170" s="28"/>
      <c r="AA170" s="28"/>
      <c r="AB170" s="28"/>
      <c r="AC170" s="28"/>
      <c r="AD170" s="28"/>
      <c r="AE170" s="28"/>
      <c r="AF170" s="28"/>
      <c r="AG170" s="28"/>
    </row>
    <row r="171" spans="1:33" ht="15.75" customHeight="1" x14ac:dyDescent="0.2">
      <c r="A171" s="28"/>
      <c r="B171" s="28"/>
      <c r="C171" s="46"/>
      <c r="D171" s="46"/>
      <c r="E171" s="46"/>
      <c r="F171" s="46"/>
      <c r="G171" s="46"/>
      <c r="H171" s="46"/>
      <c r="I171" s="46"/>
      <c r="J171" s="46"/>
      <c r="K171" s="46"/>
      <c r="L171" s="46"/>
      <c r="M171" s="46"/>
      <c r="N171" s="46"/>
      <c r="O171" s="46"/>
      <c r="P171" s="46"/>
      <c r="Q171" s="46"/>
      <c r="R171" s="46"/>
      <c r="S171" s="35"/>
      <c r="T171" s="28"/>
      <c r="U171" s="28"/>
      <c r="V171" s="28"/>
      <c r="W171" s="28"/>
      <c r="X171" s="28"/>
      <c r="Y171" s="28"/>
      <c r="Z171" s="28"/>
      <c r="AA171" s="28"/>
      <c r="AB171" s="28"/>
      <c r="AC171" s="28"/>
      <c r="AD171" s="28"/>
      <c r="AE171" s="28"/>
      <c r="AF171" s="28"/>
      <c r="AG171" s="28"/>
    </row>
    <row r="172" spans="1:33" ht="15.75" customHeight="1" x14ac:dyDescent="0.2">
      <c r="A172" s="28"/>
      <c r="B172" s="28"/>
      <c r="C172" s="46"/>
      <c r="D172" s="46"/>
      <c r="E172" s="46"/>
      <c r="F172" s="46"/>
      <c r="G172" s="46"/>
      <c r="H172" s="46"/>
      <c r="I172" s="46"/>
      <c r="J172" s="46"/>
      <c r="K172" s="46"/>
      <c r="L172" s="46"/>
      <c r="M172" s="46"/>
      <c r="N172" s="46"/>
      <c r="O172" s="46"/>
      <c r="P172" s="46"/>
      <c r="Q172" s="46"/>
      <c r="R172" s="46"/>
      <c r="S172" s="35"/>
      <c r="T172" s="28"/>
      <c r="U172" s="28"/>
      <c r="V172" s="28"/>
      <c r="W172" s="28"/>
      <c r="X172" s="28"/>
      <c r="Y172" s="28"/>
      <c r="Z172" s="28"/>
      <c r="AA172" s="28"/>
      <c r="AB172" s="28"/>
      <c r="AC172" s="28"/>
      <c r="AD172" s="28"/>
      <c r="AE172" s="28"/>
      <c r="AF172" s="28"/>
      <c r="AG172" s="28"/>
    </row>
    <row r="173" spans="1:33" ht="15.75" customHeight="1" x14ac:dyDescent="0.2">
      <c r="A173" s="28"/>
      <c r="B173" s="28"/>
      <c r="C173" s="46"/>
      <c r="D173" s="46"/>
      <c r="E173" s="46"/>
      <c r="F173" s="46"/>
      <c r="G173" s="46"/>
      <c r="H173" s="46"/>
      <c r="I173" s="46"/>
      <c r="J173" s="46"/>
      <c r="K173" s="46"/>
      <c r="L173" s="46"/>
      <c r="M173" s="46"/>
      <c r="N173" s="46"/>
      <c r="O173" s="46"/>
      <c r="P173" s="46"/>
      <c r="Q173" s="46"/>
      <c r="R173" s="46"/>
      <c r="S173" s="35"/>
      <c r="T173" s="28"/>
      <c r="U173" s="28"/>
      <c r="V173" s="28"/>
      <c r="W173" s="28"/>
      <c r="X173" s="28"/>
      <c r="Y173" s="28"/>
      <c r="Z173" s="28"/>
      <c r="AA173" s="28"/>
      <c r="AB173" s="28"/>
      <c r="AC173" s="28"/>
      <c r="AD173" s="28"/>
      <c r="AE173" s="28"/>
      <c r="AF173" s="28"/>
      <c r="AG173" s="28"/>
    </row>
    <row r="174" spans="1:33" ht="15.75" customHeight="1" x14ac:dyDescent="0.2">
      <c r="A174" s="28"/>
      <c r="B174" s="28"/>
      <c r="C174" s="46"/>
      <c r="D174" s="46"/>
      <c r="E174" s="46"/>
      <c r="F174" s="46"/>
      <c r="G174" s="46"/>
      <c r="H174" s="46"/>
      <c r="I174" s="46"/>
      <c r="J174" s="46"/>
      <c r="K174" s="46"/>
      <c r="L174" s="46"/>
      <c r="M174" s="46"/>
      <c r="N174" s="46"/>
      <c r="O174" s="46"/>
      <c r="P174" s="46"/>
      <c r="Q174" s="46"/>
      <c r="R174" s="46"/>
      <c r="S174" s="35"/>
      <c r="T174" s="28"/>
      <c r="U174" s="28"/>
      <c r="V174" s="28"/>
      <c r="W174" s="28"/>
      <c r="X174" s="28"/>
      <c r="Y174" s="28"/>
      <c r="Z174" s="28"/>
      <c r="AA174" s="28"/>
      <c r="AB174" s="28"/>
      <c r="AC174" s="28"/>
      <c r="AD174" s="28"/>
      <c r="AE174" s="28"/>
      <c r="AF174" s="28"/>
      <c r="AG174" s="28"/>
    </row>
    <row r="175" spans="1:33" ht="15.75" customHeight="1" x14ac:dyDescent="0.2">
      <c r="A175" s="28"/>
      <c r="B175" s="28"/>
      <c r="C175" s="46"/>
      <c r="D175" s="46"/>
      <c r="E175" s="46"/>
      <c r="F175" s="46"/>
      <c r="G175" s="46"/>
      <c r="H175" s="46"/>
      <c r="I175" s="46"/>
      <c r="J175" s="46"/>
      <c r="K175" s="46"/>
      <c r="L175" s="46"/>
      <c r="M175" s="46"/>
      <c r="N175" s="46"/>
      <c r="O175" s="46"/>
      <c r="P175" s="46"/>
      <c r="Q175" s="46"/>
      <c r="R175" s="46"/>
      <c r="S175" s="35"/>
      <c r="T175" s="28"/>
      <c r="U175" s="28"/>
      <c r="V175" s="28"/>
      <c r="W175" s="28"/>
      <c r="X175" s="28"/>
      <c r="Y175" s="28"/>
      <c r="Z175" s="28"/>
      <c r="AA175" s="28"/>
      <c r="AB175" s="28"/>
      <c r="AC175" s="28"/>
      <c r="AD175" s="28"/>
      <c r="AE175" s="28"/>
      <c r="AF175" s="28"/>
      <c r="AG175" s="28"/>
    </row>
    <row r="176" spans="1:33" ht="15.75" customHeight="1" x14ac:dyDescent="0.2">
      <c r="A176" s="28"/>
      <c r="B176" s="28"/>
      <c r="C176" s="46"/>
      <c r="D176" s="46"/>
      <c r="E176" s="46"/>
      <c r="F176" s="46"/>
      <c r="G176" s="46"/>
      <c r="H176" s="46"/>
      <c r="I176" s="46"/>
      <c r="J176" s="46"/>
      <c r="K176" s="46"/>
      <c r="L176" s="46"/>
      <c r="M176" s="46"/>
      <c r="N176" s="46"/>
      <c r="O176" s="46"/>
      <c r="P176" s="46"/>
      <c r="Q176" s="46"/>
      <c r="R176" s="46"/>
      <c r="S176" s="35"/>
      <c r="T176" s="28"/>
      <c r="U176" s="28"/>
      <c r="V176" s="28"/>
      <c r="W176" s="28"/>
      <c r="X176" s="28"/>
      <c r="Y176" s="28"/>
      <c r="Z176" s="28"/>
      <c r="AA176" s="28"/>
      <c r="AB176" s="28"/>
      <c r="AC176" s="28"/>
      <c r="AD176" s="28"/>
      <c r="AE176" s="28"/>
      <c r="AF176" s="28"/>
      <c r="AG176" s="28"/>
    </row>
    <row r="177" spans="1:33" ht="15.75" customHeight="1" x14ac:dyDescent="0.2">
      <c r="A177" s="28"/>
      <c r="B177" s="28"/>
      <c r="C177" s="46"/>
      <c r="D177" s="46"/>
      <c r="E177" s="46"/>
      <c r="F177" s="46"/>
      <c r="G177" s="46"/>
      <c r="H177" s="46"/>
      <c r="I177" s="46"/>
      <c r="J177" s="46"/>
      <c r="K177" s="46"/>
      <c r="L177" s="46"/>
      <c r="M177" s="46"/>
      <c r="N177" s="46"/>
      <c r="O177" s="46"/>
      <c r="P177" s="46"/>
      <c r="Q177" s="46"/>
      <c r="R177" s="46"/>
      <c r="S177" s="35"/>
      <c r="T177" s="28"/>
      <c r="U177" s="28"/>
      <c r="V177" s="28"/>
      <c r="W177" s="28"/>
      <c r="X177" s="28"/>
      <c r="Y177" s="28"/>
      <c r="Z177" s="28"/>
      <c r="AA177" s="28"/>
      <c r="AB177" s="28"/>
      <c r="AC177" s="28"/>
      <c r="AD177" s="28"/>
      <c r="AE177" s="28"/>
      <c r="AF177" s="28"/>
      <c r="AG177" s="28"/>
    </row>
    <row r="178" spans="1:33" ht="15.75" customHeight="1" x14ac:dyDescent="0.2">
      <c r="A178" s="28"/>
      <c r="B178" s="28"/>
      <c r="C178" s="46"/>
      <c r="D178" s="46"/>
      <c r="E178" s="46"/>
      <c r="F178" s="46"/>
      <c r="G178" s="46"/>
      <c r="H178" s="46"/>
      <c r="I178" s="46"/>
      <c r="J178" s="46"/>
      <c r="K178" s="46"/>
      <c r="L178" s="46"/>
      <c r="M178" s="46"/>
      <c r="N178" s="46"/>
      <c r="O178" s="46"/>
      <c r="P178" s="46"/>
      <c r="Q178" s="46"/>
      <c r="R178" s="46"/>
      <c r="S178" s="35"/>
      <c r="T178" s="28"/>
      <c r="U178" s="28"/>
      <c r="V178" s="28"/>
      <c r="W178" s="28"/>
      <c r="X178" s="28"/>
      <c r="Y178" s="28"/>
      <c r="Z178" s="28"/>
      <c r="AA178" s="28"/>
      <c r="AB178" s="28"/>
      <c r="AC178" s="28"/>
      <c r="AD178" s="28"/>
      <c r="AE178" s="28"/>
      <c r="AF178" s="28"/>
      <c r="AG178" s="28"/>
    </row>
    <row r="179" spans="1:33" ht="15.75" customHeight="1" x14ac:dyDescent="0.2">
      <c r="A179" s="28"/>
      <c r="B179" s="28"/>
      <c r="C179" s="46"/>
      <c r="D179" s="46"/>
      <c r="E179" s="46"/>
      <c r="F179" s="46"/>
      <c r="G179" s="46"/>
      <c r="H179" s="46"/>
      <c r="I179" s="46"/>
      <c r="J179" s="46"/>
      <c r="K179" s="46"/>
      <c r="L179" s="46"/>
      <c r="M179" s="46"/>
      <c r="N179" s="46"/>
      <c r="O179" s="46"/>
      <c r="P179" s="46"/>
      <c r="Q179" s="46"/>
      <c r="R179" s="46"/>
      <c r="S179" s="35"/>
      <c r="T179" s="28"/>
      <c r="U179" s="28"/>
      <c r="V179" s="28"/>
      <c r="W179" s="28"/>
      <c r="X179" s="28"/>
      <c r="Y179" s="28"/>
      <c r="Z179" s="28"/>
      <c r="AA179" s="28"/>
      <c r="AB179" s="28"/>
      <c r="AC179" s="28"/>
      <c r="AD179" s="28"/>
      <c r="AE179" s="28"/>
      <c r="AF179" s="28"/>
      <c r="AG179" s="28"/>
    </row>
    <row r="180" spans="1:33" ht="15.75" customHeight="1" x14ac:dyDescent="0.2">
      <c r="A180" s="28"/>
      <c r="B180" s="28"/>
      <c r="C180" s="46"/>
      <c r="D180" s="46"/>
      <c r="E180" s="46"/>
      <c r="F180" s="46"/>
      <c r="G180" s="46"/>
      <c r="H180" s="46"/>
      <c r="I180" s="46"/>
      <c r="J180" s="46"/>
      <c r="K180" s="46"/>
      <c r="L180" s="46"/>
      <c r="M180" s="46"/>
      <c r="N180" s="46"/>
      <c r="O180" s="46"/>
      <c r="P180" s="46"/>
      <c r="Q180" s="46"/>
      <c r="R180" s="46"/>
      <c r="S180" s="35"/>
      <c r="T180" s="28"/>
      <c r="U180" s="28"/>
      <c r="V180" s="28"/>
      <c r="W180" s="28"/>
      <c r="X180" s="28"/>
      <c r="Y180" s="28"/>
      <c r="Z180" s="28"/>
      <c r="AA180" s="28"/>
      <c r="AB180" s="28"/>
      <c r="AC180" s="28"/>
      <c r="AD180" s="28"/>
      <c r="AE180" s="28"/>
      <c r="AF180" s="28"/>
      <c r="AG180" s="28"/>
    </row>
    <row r="181" spans="1:33" ht="15.75" customHeight="1" x14ac:dyDescent="0.2">
      <c r="A181" s="28"/>
      <c r="B181" s="28"/>
      <c r="C181" s="46"/>
      <c r="D181" s="46"/>
      <c r="E181" s="46"/>
      <c r="F181" s="46"/>
      <c r="G181" s="46"/>
      <c r="H181" s="46"/>
      <c r="I181" s="46"/>
      <c r="J181" s="46"/>
      <c r="K181" s="46"/>
      <c r="L181" s="46"/>
      <c r="M181" s="46"/>
      <c r="N181" s="46"/>
      <c r="O181" s="46"/>
      <c r="P181" s="46"/>
      <c r="Q181" s="46"/>
      <c r="R181" s="46"/>
      <c r="S181" s="35"/>
      <c r="T181" s="28"/>
      <c r="U181" s="28"/>
      <c r="V181" s="28"/>
      <c r="W181" s="28"/>
      <c r="X181" s="28"/>
      <c r="Y181" s="28"/>
      <c r="Z181" s="28"/>
      <c r="AA181" s="28"/>
      <c r="AB181" s="28"/>
      <c r="AC181" s="28"/>
      <c r="AD181" s="28"/>
      <c r="AE181" s="28"/>
      <c r="AF181" s="28"/>
      <c r="AG181" s="28"/>
    </row>
    <row r="182" spans="1:33" ht="15.75" customHeight="1" x14ac:dyDescent="0.2">
      <c r="A182" s="28"/>
      <c r="B182" s="28"/>
      <c r="C182" s="46"/>
      <c r="D182" s="46"/>
      <c r="E182" s="46"/>
      <c r="F182" s="46"/>
      <c r="G182" s="46"/>
      <c r="H182" s="46"/>
      <c r="I182" s="46"/>
      <c r="J182" s="46"/>
      <c r="K182" s="46"/>
      <c r="L182" s="46"/>
      <c r="M182" s="46"/>
      <c r="N182" s="46"/>
      <c r="O182" s="46"/>
      <c r="P182" s="46"/>
      <c r="Q182" s="46"/>
      <c r="R182" s="46"/>
      <c r="S182" s="35"/>
      <c r="T182" s="28"/>
      <c r="U182" s="28"/>
      <c r="V182" s="28"/>
      <c r="W182" s="28"/>
      <c r="X182" s="28"/>
      <c r="Y182" s="28"/>
      <c r="Z182" s="28"/>
      <c r="AA182" s="28"/>
      <c r="AB182" s="28"/>
      <c r="AC182" s="28"/>
      <c r="AD182" s="28"/>
      <c r="AE182" s="28"/>
      <c r="AF182" s="28"/>
      <c r="AG182" s="28"/>
    </row>
    <row r="183" spans="1:33" ht="15.75" customHeight="1" x14ac:dyDescent="0.2">
      <c r="A183" s="28"/>
      <c r="B183" s="28"/>
      <c r="C183" s="46"/>
      <c r="D183" s="46"/>
      <c r="E183" s="46"/>
      <c r="F183" s="46"/>
      <c r="G183" s="46"/>
      <c r="H183" s="46"/>
      <c r="I183" s="46"/>
      <c r="J183" s="46"/>
      <c r="K183" s="46"/>
      <c r="L183" s="46"/>
      <c r="M183" s="46"/>
      <c r="N183" s="46"/>
      <c r="O183" s="46"/>
      <c r="P183" s="46"/>
      <c r="Q183" s="46"/>
      <c r="R183" s="46"/>
      <c r="S183" s="35"/>
      <c r="T183" s="28"/>
      <c r="U183" s="28"/>
      <c r="V183" s="28"/>
      <c r="W183" s="28"/>
      <c r="X183" s="28"/>
      <c r="Y183" s="28"/>
      <c r="Z183" s="28"/>
      <c r="AA183" s="28"/>
      <c r="AB183" s="28"/>
      <c r="AC183" s="28"/>
      <c r="AD183" s="28"/>
      <c r="AE183" s="28"/>
      <c r="AF183" s="28"/>
      <c r="AG183" s="28"/>
    </row>
    <row r="184" spans="1:33" ht="15.75" customHeight="1" x14ac:dyDescent="0.2">
      <c r="A184" s="28"/>
      <c r="B184" s="28"/>
      <c r="C184" s="46"/>
      <c r="D184" s="46"/>
      <c r="E184" s="46"/>
      <c r="F184" s="46"/>
      <c r="G184" s="46"/>
      <c r="H184" s="46"/>
      <c r="I184" s="46"/>
      <c r="J184" s="46"/>
      <c r="K184" s="46"/>
      <c r="L184" s="46"/>
      <c r="M184" s="46"/>
      <c r="N184" s="46"/>
      <c r="O184" s="46"/>
      <c r="P184" s="46"/>
      <c r="Q184" s="46"/>
      <c r="R184" s="46"/>
      <c r="S184" s="35"/>
      <c r="T184" s="28"/>
      <c r="U184" s="28"/>
      <c r="V184" s="28"/>
      <c r="W184" s="28"/>
      <c r="X184" s="28"/>
      <c r="Y184" s="28"/>
      <c r="Z184" s="28"/>
      <c r="AA184" s="28"/>
      <c r="AB184" s="28"/>
      <c r="AC184" s="28"/>
      <c r="AD184" s="28"/>
      <c r="AE184" s="28"/>
      <c r="AF184" s="28"/>
      <c r="AG184" s="28"/>
    </row>
    <row r="185" spans="1:33" ht="15.75" customHeight="1" x14ac:dyDescent="0.2">
      <c r="A185" s="28"/>
      <c r="B185" s="28"/>
      <c r="C185" s="46"/>
      <c r="D185" s="46"/>
      <c r="E185" s="46"/>
      <c r="F185" s="46"/>
      <c r="G185" s="46"/>
      <c r="H185" s="46"/>
      <c r="I185" s="46"/>
      <c r="J185" s="46"/>
      <c r="K185" s="46"/>
      <c r="L185" s="46"/>
      <c r="M185" s="46"/>
      <c r="N185" s="46"/>
      <c r="O185" s="46"/>
      <c r="P185" s="46"/>
      <c r="Q185" s="46"/>
      <c r="R185" s="46"/>
      <c r="S185" s="35"/>
      <c r="T185" s="28"/>
      <c r="U185" s="28"/>
      <c r="V185" s="28"/>
      <c r="W185" s="28"/>
      <c r="X185" s="28"/>
      <c r="Y185" s="28"/>
      <c r="Z185" s="28"/>
      <c r="AA185" s="28"/>
      <c r="AB185" s="28"/>
      <c r="AC185" s="28"/>
      <c r="AD185" s="28"/>
      <c r="AE185" s="28"/>
      <c r="AF185" s="28"/>
      <c r="AG185" s="28"/>
    </row>
    <row r="186" spans="1:33" ht="15.75" customHeight="1" x14ac:dyDescent="0.2">
      <c r="A186" s="28"/>
      <c r="B186" s="28"/>
      <c r="C186" s="46"/>
      <c r="D186" s="46"/>
      <c r="E186" s="46"/>
      <c r="F186" s="46"/>
      <c r="G186" s="46"/>
      <c r="H186" s="46"/>
      <c r="I186" s="46"/>
      <c r="J186" s="46"/>
      <c r="K186" s="46"/>
      <c r="L186" s="46"/>
      <c r="M186" s="46"/>
      <c r="N186" s="46"/>
      <c r="O186" s="46"/>
      <c r="P186" s="46"/>
      <c r="Q186" s="46"/>
      <c r="R186" s="46"/>
      <c r="S186" s="35"/>
      <c r="T186" s="28"/>
      <c r="U186" s="28"/>
      <c r="V186" s="28"/>
      <c r="W186" s="28"/>
      <c r="X186" s="28"/>
      <c r="Y186" s="28"/>
      <c r="Z186" s="28"/>
      <c r="AA186" s="28"/>
      <c r="AB186" s="28"/>
      <c r="AC186" s="28"/>
      <c r="AD186" s="28"/>
      <c r="AE186" s="28"/>
      <c r="AF186" s="28"/>
      <c r="AG186" s="28"/>
    </row>
    <row r="187" spans="1:33" ht="15.75" customHeight="1" x14ac:dyDescent="0.2">
      <c r="A187" s="28"/>
      <c r="B187" s="28"/>
      <c r="C187" s="46"/>
      <c r="D187" s="46"/>
      <c r="E187" s="46"/>
      <c r="F187" s="46"/>
      <c r="G187" s="46"/>
      <c r="H187" s="46"/>
      <c r="I187" s="46"/>
      <c r="J187" s="46"/>
      <c r="K187" s="46"/>
      <c r="L187" s="46"/>
      <c r="M187" s="46"/>
      <c r="N187" s="46"/>
      <c r="O187" s="46"/>
      <c r="P187" s="46"/>
      <c r="Q187" s="46"/>
      <c r="R187" s="46"/>
      <c r="S187" s="35"/>
      <c r="T187" s="28"/>
      <c r="U187" s="28"/>
      <c r="V187" s="28"/>
      <c r="W187" s="28"/>
      <c r="X187" s="28"/>
      <c r="Y187" s="28"/>
      <c r="Z187" s="28"/>
      <c r="AA187" s="28"/>
      <c r="AB187" s="28"/>
      <c r="AC187" s="28"/>
      <c r="AD187" s="28"/>
      <c r="AE187" s="28"/>
      <c r="AF187" s="28"/>
      <c r="AG187" s="28"/>
    </row>
    <row r="188" spans="1:33" ht="15.75" customHeight="1" x14ac:dyDescent="0.2">
      <c r="A188" s="28"/>
      <c r="B188" s="28"/>
      <c r="C188" s="46"/>
      <c r="D188" s="46"/>
      <c r="E188" s="46"/>
      <c r="F188" s="46"/>
      <c r="G188" s="46"/>
      <c r="H188" s="46"/>
      <c r="I188" s="46"/>
      <c r="J188" s="46"/>
      <c r="K188" s="46"/>
      <c r="L188" s="46"/>
      <c r="M188" s="46"/>
      <c r="N188" s="46"/>
      <c r="O188" s="46"/>
      <c r="P188" s="46"/>
      <c r="Q188" s="46"/>
      <c r="R188" s="46"/>
      <c r="S188" s="35"/>
      <c r="T188" s="28"/>
      <c r="U188" s="28"/>
      <c r="V188" s="28"/>
      <c r="W188" s="28"/>
      <c r="X188" s="28"/>
      <c r="Y188" s="28"/>
      <c r="Z188" s="28"/>
      <c r="AA188" s="28"/>
      <c r="AB188" s="28"/>
      <c r="AC188" s="28"/>
      <c r="AD188" s="28"/>
      <c r="AE188" s="28"/>
      <c r="AF188" s="28"/>
      <c r="AG188" s="28"/>
    </row>
    <row r="189" spans="1:33" ht="15.75" customHeight="1" x14ac:dyDescent="0.2">
      <c r="A189" s="28"/>
      <c r="B189" s="28"/>
      <c r="C189" s="46"/>
      <c r="D189" s="46"/>
      <c r="E189" s="46"/>
      <c r="F189" s="46"/>
      <c r="G189" s="46"/>
      <c r="H189" s="46"/>
      <c r="I189" s="46"/>
      <c r="J189" s="46"/>
      <c r="K189" s="46"/>
      <c r="L189" s="46"/>
      <c r="M189" s="46"/>
      <c r="N189" s="46"/>
      <c r="O189" s="46"/>
      <c r="P189" s="46"/>
      <c r="Q189" s="46"/>
      <c r="R189" s="46"/>
      <c r="S189" s="35"/>
      <c r="T189" s="28"/>
      <c r="U189" s="28"/>
      <c r="V189" s="28"/>
      <c r="W189" s="28"/>
      <c r="X189" s="28"/>
      <c r="Y189" s="28"/>
      <c r="Z189" s="28"/>
      <c r="AA189" s="28"/>
      <c r="AB189" s="28"/>
      <c r="AC189" s="28"/>
      <c r="AD189" s="28"/>
      <c r="AE189" s="28"/>
      <c r="AF189" s="28"/>
      <c r="AG189" s="28"/>
    </row>
    <row r="190" spans="1:33" ht="15.75" customHeight="1" x14ac:dyDescent="0.2">
      <c r="A190" s="28"/>
      <c r="B190" s="28"/>
      <c r="C190" s="46"/>
      <c r="D190" s="46"/>
      <c r="E190" s="46"/>
      <c r="F190" s="46"/>
      <c r="G190" s="46"/>
      <c r="H190" s="46"/>
      <c r="I190" s="46"/>
      <c r="J190" s="46"/>
      <c r="K190" s="46"/>
      <c r="L190" s="46"/>
      <c r="M190" s="46"/>
      <c r="N190" s="46"/>
      <c r="O190" s="46"/>
      <c r="P190" s="46"/>
      <c r="Q190" s="46"/>
      <c r="R190" s="46"/>
      <c r="S190" s="35"/>
      <c r="T190" s="28"/>
      <c r="U190" s="28"/>
      <c r="V190" s="28"/>
      <c r="W190" s="28"/>
      <c r="X190" s="28"/>
      <c r="Y190" s="28"/>
      <c r="Z190" s="28"/>
      <c r="AA190" s="28"/>
      <c r="AB190" s="28"/>
      <c r="AC190" s="28"/>
      <c r="AD190" s="28"/>
      <c r="AE190" s="28"/>
      <c r="AF190" s="28"/>
      <c r="AG190" s="28"/>
    </row>
    <row r="191" spans="1:33" ht="15.75" customHeight="1" x14ac:dyDescent="0.2">
      <c r="A191" s="28"/>
      <c r="B191" s="28"/>
      <c r="C191" s="46"/>
      <c r="D191" s="46"/>
      <c r="E191" s="46"/>
      <c r="F191" s="46"/>
      <c r="G191" s="46"/>
      <c r="H191" s="46"/>
      <c r="I191" s="46"/>
      <c r="J191" s="46"/>
      <c r="K191" s="46"/>
      <c r="L191" s="46"/>
      <c r="M191" s="46"/>
      <c r="N191" s="46"/>
      <c r="O191" s="46"/>
      <c r="P191" s="46"/>
      <c r="Q191" s="46"/>
      <c r="R191" s="46"/>
      <c r="S191" s="35"/>
      <c r="T191" s="28"/>
      <c r="U191" s="28"/>
      <c r="V191" s="28"/>
      <c r="W191" s="28"/>
      <c r="X191" s="28"/>
      <c r="Y191" s="28"/>
      <c r="Z191" s="28"/>
      <c r="AA191" s="28"/>
      <c r="AB191" s="28"/>
      <c r="AC191" s="28"/>
      <c r="AD191" s="28"/>
      <c r="AE191" s="28"/>
      <c r="AF191" s="28"/>
      <c r="AG191" s="28"/>
    </row>
    <row r="192" spans="1:33" ht="15.75" customHeight="1" x14ac:dyDescent="0.2">
      <c r="A192" s="28"/>
      <c r="B192" s="28"/>
      <c r="C192" s="46"/>
      <c r="D192" s="46"/>
      <c r="E192" s="46"/>
      <c r="F192" s="46"/>
      <c r="G192" s="46"/>
      <c r="H192" s="46"/>
      <c r="I192" s="46"/>
      <c r="J192" s="46"/>
      <c r="K192" s="46"/>
      <c r="L192" s="46"/>
      <c r="M192" s="46"/>
      <c r="N192" s="46"/>
      <c r="O192" s="46"/>
      <c r="P192" s="46"/>
      <c r="Q192" s="46"/>
      <c r="R192" s="46"/>
      <c r="S192" s="35"/>
      <c r="T192" s="28"/>
      <c r="U192" s="28"/>
      <c r="V192" s="28"/>
      <c r="W192" s="28"/>
      <c r="X192" s="28"/>
      <c r="Y192" s="28"/>
      <c r="Z192" s="28"/>
      <c r="AA192" s="28"/>
      <c r="AB192" s="28"/>
      <c r="AC192" s="28"/>
      <c r="AD192" s="28"/>
      <c r="AE192" s="28"/>
      <c r="AF192" s="28"/>
      <c r="AG192" s="28"/>
    </row>
    <row r="193" spans="1:33" ht="15.75" customHeight="1" x14ac:dyDescent="0.2">
      <c r="A193" s="14"/>
      <c r="B193" s="14"/>
      <c r="C193" s="45"/>
      <c r="D193" s="45"/>
      <c r="E193" s="45"/>
      <c r="F193" s="45"/>
      <c r="G193" s="45"/>
      <c r="H193" s="45"/>
      <c r="I193" s="45"/>
      <c r="J193" s="45"/>
      <c r="K193" s="45"/>
      <c r="L193" s="45"/>
      <c r="M193" s="45"/>
      <c r="N193" s="45"/>
      <c r="O193" s="45"/>
      <c r="P193" s="45"/>
      <c r="Q193" s="45"/>
      <c r="R193" s="45"/>
      <c r="S193" s="21"/>
      <c r="T193" s="14"/>
      <c r="U193" s="14"/>
      <c r="V193" s="14"/>
      <c r="W193" s="14"/>
      <c r="X193" s="14"/>
      <c r="Y193" s="14"/>
      <c r="Z193" s="14"/>
      <c r="AA193" s="14"/>
      <c r="AB193" s="14"/>
      <c r="AC193" s="14"/>
      <c r="AD193" s="14"/>
      <c r="AE193" s="14"/>
      <c r="AF193" s="14"/>
      <c r="AG193" s="14"/>
    </row>
    <row r="194" spans="1:33" ht="15.75" customHeight="1" x14ac:dyDescent="0.2">
      <c r="A194" s="14"/>
      <c r="B194" s="14"/>
      <c r="C194" s="45"/>
      <c r="D194" s="45"/>
      <c r="E194" s="45"/>
      <c r="F194" s="45"/>
      <c r="G194" s="45"/>
      <c r="H194" s="45"/>
      <c r="I194" s="45"/>
      <c r="J194" s="45"/>
      <c r="K194" s="45"/>
      <c r="L194" s="45"/>
      <c r="M194" s="45"/>
      <c r="N194" s="45"/>
      <c r="O194" s="45"/>
      <c r="P194" s="45"/>
      <c r="Q194" s="45"/>
      <c r="R194" s="45"/>
      <c r="S194" s="21"/>
      <c r="T194" s="14"/>
      <c r="U194" s="14"/>
      <c r="V194" s="14"/>
      <c r="W194" s="14"/>
      <c r="X194" s="14"/>
      <c r="Y194" s="14"/>
      <c r="Z194" s="14"/>
      <c r="AA194" s="14"/>
      <c r="AB194" s="14"/>
      <c r="AC194" s="14"/>
      <c r="AD194" s="14"/>
      <c r="AE194" s="14"/>
      <c r="AF194" s="14"/>
      <c r="AG194" s="14"/>
    </row>
    <row r="195" spans="1:33" ht="15.75" customHeight="1" x14ac:dyDescent="0.2">
      <c r="A195" s="14"/>
      <c r="B195" s="14"/>
      <c r="C195" s="45"/>
      <c r="D195" s="45"/>
      <c r="E195" s="45"/>
      <c r="F195" s="45"/>
      <c r="G195" s="45"/>
      <c r="H195" s="45"/>
      <c r="I195" s="45"/>
      <c r="J195" s="45"/>
      <c r="K195" s="45"/>
      <c r="L195" s="45"/>
      <c r="M195" s="45"/>
      <c r="N195" s="45"/>
      <c r="O195" s="45"/>
      <c r="P195" s="45"/>
      <c r="Q195" s="45"/>
      <c r="R195" s="45"/>
      <c r="S195" s="21"/>
      <c r="T195" s="14"/>
      <c r="U195" s="14"/>
      <c r="V195" s="14"/>
      <c r="W195" s="14"/>
      <c r="X195" s="14"/>
      <c r="Y195" s="14"/>
      <c r="Z195" s="14"/>
      <c r="AA195" s="14"/>
      <c r="AB195" s="14"/>
      <c r="AC195" s="14"/>
      <c r="AD195" s="14"/>
      <c r="AE195" s="14"/>
      <c r="AF195" s="14"/>
      <c r="AG195" s="14"/>
    </row>
    <row r="196" spans="1:33" ht="15.75" customHeight="1" x14ac:dyDescent="0.2">
      <c r="A196" s="14"/>
      <c r="B196" s="14"/>
      <c r="C196" s="45"/>
      <c r="D196" s="45"/>
      <c r="E196" s="45"/>
      <c r="F196" s="45"/>
      <c r="G196" s="45"/>
      <c r="H196" s="45"/>
      <c r="I196" s="45"/>
      <c r="J196" s="45"/>
      <c r="K196" s="45"/>
      <c r="L196" s="45"/>
      <c r="M196" s="45"/>
      <c r="N196" s="45"/>
      <c r="O196" s="45"/>
      <c r="P196" s="45"/>
      <c r="Q196" s="45"/>
      <c r="R196" s="45"/>
      <c r="S196" s="21"/>
      <c r="T196" s="14"/>
      <c r="U196" s="14"/>
      <c r="V196" s="14"/>
      <c r="W196" s="14"/>
      <c r="X196" s="14"/>
      <c r="Y196" s="14"/>
      <c r="Z196" s="14"/>
      <c r="AA196" s="14"/>
      <c r="AB196" s="14"/>
      <c r="AC196" s="14"/>
      <c r="AD196" s="14"/>
      <c r="AE196" s="14"/>
      <c r="AF196" s="14"/>
      <c r="AG196" s="14"/>
    </row>
    <row r="197" spans="1:33" ht="15.75" customHeight="1" x14ac:dyDescent="0.2">
      <c r="A197" s="14"/>
      <c r="B197" s="14"/>
      <c r="C197" s="45"/>
      <c r="D197" s="45"/>
      <c r="E197" s="45"/>
      <c r="F197" s="45"/>
      <c r="G197" s="45"/>
      <c r="H197" s="45"/>
      <c r="I197" s="45"/>
      <c r="J197" s="45"/>
      <c r="K197" s="45"/>
      <c r="L197" s="45"/>
      <c r="M197" s="45"/>
      <c r="N197" s="45"/>
      <c r="O197" s="45"/>
      <c r="P197" s="45"/>
      <c r="Q197" s="45"/>
      <c r="R197" s="45"/>
      <c r="S197" s="21"/>
      <c r="T197" s="14"/>
      <c r="U197" s="14"/>
      <c r="V197" s="14"/>
      <c r="W197" s="14"/>
      <c r="X197" s="14"/>
      <c r="Y197" s="14"/>
      <c r="Z197" s="14"/>
      <c r="AA197" s="14"/>
      <c r="AB197" s="14"/>
      <c r="AC197" s="14"/>
      <c r="AD197" s="14"/>
      <c r="AE197" s="14"/>
      <c r="AF197" s="14"/>
      <c r="AG197" s="14"/>
    </row>
    <row r="198" spans="1:33" ht="15.75" customHeight="1" x14ac:dyDescent="0.2">
      <c r="A198" s="14"/>
      <c r="B198" s="14"/>
      <c r="C198" s="45"/>
      <c r="D198" s="45"/>
      <c r="E198" s="45"/>
      <c r="F198" s="45"/>
      <c r="G198" s="45"/>
      <c r="H198" s="45"/>
      <c r="I198" s="45"/>
      <c r="J198" s="45"/>
      <c r="K198" s="45"/>
      <c r="L198" s="45"/>
      <c r="M198" s="45"/>
      <c r="N198" s="45"/>
      <c r="O198" s="45"/>
      <c r="P198" s="45"/>
      <c r="Q198" s="45"/>
      <c r="R198" s="45"/>
      <c r="S198" s="21"/>
      <c r="T198" s="14"/>
      <c r="U198" s="14"/>
      <c r="V198" s="14"/>
      <c r="W198" s="14"/>
      <c r="X198" s="14"/>
      <c r="Y198" s="14"/>
      <c r="Z198" s="14"/>
      <c r="AA198" s="14"/>
      <c r="AB198" s="14"/>
      <c r="AC198" s="14"/>
      <c r="AD198" s="14"/>
      <c r="AE198" s="14"/>
      <c r="AF198" s="14"/>
      <c r="AG198" s="14"/>
    </row>
    <row r="199" spans="1:33" ht="15.75" customHeight="1" x14ac:dyDescent="0.2">
      <c r="A199" s="14"/>
      <c r="B199" s="14"/>
      <c r="C199" s="45"/>
      <c r="D199" s="45"/>
      <c r="E199" s="45"/>
      <c r="F199" s="45"/>
      <c r="G199" s="45"/>
      <c r="H199" s="45"/>
      <c r="I199" s="45"/>
      <c r="J199" s="45"/>
      <c r="K199" s="45"/>
      <c r="L199" s="45"/>
      <c r="M199" s="45"/>
      <c r="N199" s="45"/>
      <c r="O199" s="45"/>
      <c r="P199" s="45"/>
      <c r="Q199" s="45"/>
      <c r="R199" s="45"/>
      <c r="S199" s="21"/>
      <c r="T199" s="14"/>
      <c r="U199" s="14"/>
      <c r="V199" s="14"/>
      <c r="W199" s="14"/>
      <c r="X199" s="14"/>
      <c r="Y199" s="14"/>
      <c r="Z199" s="14"/>
      <c r="AA199" s="14"/>
      <c r="AB199" s="14"/>
      <c r="AC199" s="14"/>
      <c r="AD199" s="14"/>
      <c r="AE199" s="14"/>
      <c r="AF199" s="14"/>
      <c r="AG199" s="14"/>
    </row>
    <row r="200" spans="1:33" ht="15.75" customHeight="1" x14ac:dyDescent="0.2">
      <c r="A200" s="14"/>
      <c r="B200" s="14"/>
      <c r="C200" s="45"/>
      <c r="D200" s="45"/>
      <c r="E200" s="45"/>
      <c r="F200" s="45"/>
      <c r="G200" s="45"/>
      <c r="H200" s="45"/>
      <c r="I200" s="45"/>
      <c r="J200" s="45"/>
      <c r="K200" s="45"/>
      <c r="L200" s="45"/>
      <c r="M200" s="45"/>
      <c r="N200" s="45"/>
      <c r="O200" s="45"/>
      <c r="P200" s="45"/>
      <c r="Q200" s="45"/>
      <c r="R200" s="45"/>
      <c r="S200" s="21"/>
      <c r="T200" s="14"/>
      <c r="U200" s="14"/>
      <c r="V200" s="14"/>
      <c r="W200" s="14"/>
      <c r="X200" s="14"/>
      <c r="Y200" s="14"/>
      <c r="Z200" s="14"/>
      <c r="AA200" s="14"/>
      <c r="AB200" s="14"/>
      <c r="AC200" s="14"/>
      <c r="AD200" s="14"/>
      <c r="AE200" s="14"/>
      <c r="AF200" s="14"/>
      <c r="AG200" s="14"/>
    </row>
    <row r="201" spans="1:33" ht="15.75" customHeight="1" x14ac:dyDescent="0.2">
      <c r="A201" s="14"/>
      <c r="B201" s="14"/>
      <c r="C201" s="45"/>
      <c r="D201" s="45"/>
      <c r="E201" s="45"/>
      <c r="F201" s="45"/>
      <c r="G201" s="45"/>
      <c r="H201" s="45"/>
      <c r="I201" s="45"/>
      <c r="J201" s="45"/>
      <c r="K201" s="45"/>
      <c r="L201" s="45"/>
      <c r="M201" s="45"/>
      <c r="N201" s="45"/>
      <c r="O201" s="45"/>
      <c r="P201" s="45"/>
      <c r="Q201" s="45"/>
      <c r="R201" s="45"/>
      <c r="S201" s="21"/>
      <c r="T201" s="14"/>
      <c r="U201" s="14"/>
      <c r="V201" s="14"/>
      <c r="W201" s="14"/>
      <c r="X201" s="14"/>
      <c r="Y201" s="14"/>
      <c r="Z201" s="14"/>
      <c r="AA201" s="14"/>
      <c r="AB201" s="14"/>
      <c r="AC201" s="14"/>
      <c r="AD201" s="14"/>
      <c r="AE201" s="14"/>
      <c r="AF201" s="14"/>
      <c r="AG201" s="14"/>
    </row>
    <row r="202" spans="1:33" ht="15.75" customHeight="1" x14ac:dyDescent="0.2">
      <c r="A202" s="14"/>
      <c r="B202" s="14"/>
      <c r="C202" s="45"/>
      <c r="D202" s="45"/>
      <c r="E202" s="45"/>
      <c r="F202" s="45"/>
      <c r="G202" s="45"/>
      <c r="H202" s="45"/>
      <c r="I202" s="45"/>
      <c r="J202" s="45"/>
      <c r="K202" s="45"/>
      <c r="L202" s="45"/>
      <c r="M202" s="45"/>
      <c r="N202" s="45"/>
      <c r="O202" s="45"/>
      <c r="P202" s="45"/>
      <c r="Q202" s="45"/>
      <c r="R202" s="45"/>
      <c r="S202" s="21"/>
      <c r="T202" s="14"/>
      <c r="U202" s="14"/>
      <c r="V202" s="14"/>
      <c r="W202" s="14"/>
      <c r="X202" s="14"/>
      <c r="Y202" s="14"/>
      <c r="Z202" s="14"/>
      <c r="AA202" s="14"/>
      <c r="AB202" s="14"/>
      <c r="AC202" s="14"/>
      <c r="AD202" s="14"/>
      <c r="AE202" s="14"/>
      <c r="AF202" s="14"/>
      <c r="AG202" s="14"/>
    </row>
    <row r="203" spans="1:33" ht="15.75" customHeight="1" x14ac:dyDescent="0.2">
      <c r="A203" s="14"/>
      <c r="B203" s="14"/>
      <c r="C203" s="45"/>
      <c r="D203" s="45"/>
      <c r="E203" s="45"/>
      <c r="F203" s="45"/>
      <c r="G203" s="45"/>
      <c r="H203" s="45"/>
      <c r="I203" s="45"/>
      <c r="J203" s="45"/>
      <c r="K203" s="45"/>
      <c r="L203" s="45"/>
      <c r="M203" s="45"/>
      <c r="N203" s="45"/>
      <c r="O203" s="45"/>
      <c r="P203" s="45"/>
      <c r="Q203" s="45"/>
      <c r="R203" s="45"/>
      <c r="S203" s="21"/>
      <c r="T203" s="14"/>
      <c r="U203" s="14"/>
      <c r="V203" s="14"/>
      <c r="W203" s="14"/>
      <c r="X203" s="14"/>
      <c r="Y203" s="14"/>
      <c r="Z203" s="14"/>
      <c r="AA203" s="14"/>
      <c r="AB203" s="14"/>
      <c r="AC203" s="14"/>
      <c r="AD203" s="14"/>
      <c r="AE203" s="14"/>
      <c r="AF203" s="14"/>
      <c r="AG203" s="14"/>
    </row>
    <row r="204" spans="1:33" ht="15.75" customHeight="1" x14ac:dyDescent="0.2">
      <c r="A204" s="14"/>
      <c r="B204" s="14"/>
      <c r="C204" s="45"/>
      <c r="D204" s="45"/>
      <c r="E204" s="45"/>
      <c r="F204" s="45"/>
      <c r="G204" s="45"/>
      <c r="H204" s="45"/>
      <c r="I204" s="45"/>
      <c r="J204" s="45"/>
      <c r="K204" s="45"/>
      <c r="L204" s="45"/>
      <c r="M204" s="45"/>
      <c r="N204" s="45"/>
      <c r="O204" s="45"/>
      <c r="P204" s="45"/>
      <c r="Q204" s="45"/>
      <c r="R204" s="45"/>
      <c r="S204" s="21"/>
      <c r="T204" s="14"/>
      <c r="U204" s="14"/>
      <c r="V204" s="14"/>
      <c r="W204" s="14"/>
      <c r="X204" s="14"/>
      <c r="Y204" s="14"/>
      <c r="Z204" s="14"/>
      <c r="AA204" s="14"/>
      <c r="AB204" s="14"/>
      <c r="AC204" s="14"/>
      <c r="AD204" s="14"/>
      <c r="AE204" s="14"/>
      <c r="AF204" s="14"/>
      <c r="AG204" s="14"/>
    </row>
    <row r="205" spans="1:33" ht="15.75" customHeight="1" x14ac:dyDescent="0.2">
      <c r="A205" s="14"/>
      <c r="B205" s="14"/>
      <c r="C205" s="45"/>
      <c r="D205" s="45"/>
      <c r="E205" s="45"/>
      <c r="F205" s="45"/>
      <c r="G205" s="45"/>
      <c r="H205" s="45"/>
      <c r="I205" s="45"/>
      <c r="J205" s="45"/>
      <c r="K205" s="45"/>
      <c r="L205" s="45"/>
      <c r="M205" s="45"/>
      <c r="N205" s="45"/>
      <c r="O205" s="45"/>
      <c r="P205" s="45"/>
      <c r="Q205" s="45"/>
      <c r="R205" s="45"/>
      <c r="S205" s="21"/>
      <c r="T205" s="14"/>
      <c r="U205" s="14"/>
      <c r="V205" s="14"/>
      <c r="W205" s="14"/>
      <c r="X205" s="14"/>
      <c r="Y205" s="14"/>
      <c r="Z205" s="14"/>
      <c r="AA205" s="14"/>
      <c r="AB205" s="14"/>
      <c r="AC205" s="14"/>
      <c r="AD205" s="14"/>
      <c r="AE205" s="14"/>
      <c r="AF205" s="14"/>
      <c r="AG205" s="14"/>
    </row>
    <row r="206" spans="1:33" ht="15.75" customHeight="1" x14ac:dyDescent="0.2">
      <c r="A206" s="14"/>
      <c r="B206" s="14"/>
      <c r="C206" s="45"/>
      <c r="D206" s="45"/>
      <c r="E206" s="45"/>
      <c r="F206" s="45"/>
      <c r="G206" s="45"/>
      <c r="H206" s="45"/>
      <c r="I206" s="45"/>
      <c r="J206" s="45"/>
      <c r="K206" s="45"/>
      <c r="L206" s="45"/>
      <c r="M206" s="45"/>
      <c r="N206" s="45"/>
      <c r="O206" s="45"/>
      <c r="P206" s="45"/>
      <c r="Q206" s="45"/>
      <c r="R206" s="45"/>
      <c r="S206" s="21"/>
      <c r="T206" s="14"/>
      <c r="U206" s="14"/>
      <c r="V206" s="14"/>
      <c r="W206" s="14"/>
      <c r="X206" s="14"/>
      <c r="Y206" s="14"/>
      <c r="Z206" s="14"/>
      <c r="AA206" s="14"/>
      <c r="AB206" s="14"/>
      <c r="AC206" s="14"/>
      <c r="AD206" s="14"/>
      <c r="AE206" s="14"/>
      <c r="AF206" s="14"/>
      <c r="AG206" s="14"/>
    </row>
    <row r="207" spans="1:33" ht="15.75" customHeight="1" x14ac:dyDescent="0.2">
      <c r="A207" s="14"/>
      <c r="B207" s="14"/>
      <c r="C207" s="45"/>
      <c r="D207" s="45"/>
      <c r="E207" s="45"/>
      <c r="F207" s="45"/>
      <c r="G207" s="45"/>
      <c r="H207" s="45"/>
      <c r="I207" s="45"/>
      <c r="J207" s="45"/>
      <c r="K207" s="45"/>
      <c r="L207" s="45"/>
      <c r="M207" s="45"/>
      <c r="N207" s="45"/>
      <c r="O207" s="45"/>
      <c r="P207" s="45"/>
      <c r="Q207" s="45"/>
      <c r="R207" s="45"/>
      <c r="S207" s="21"/>
      <c r="T207" s="14"/>
      <c r="U207" s="14"/>
      <c r="V207" s="14"/>
      <c r="W207" s="14"/>
      <c r="X207" s="14"/>
      <c r="Y207" s="14"/>
      <c r="Z207" s="14"/>
      <c r="AA207" s="14"/>
      <c r="AB207" s="14"/>
      <c r="AC207" s="14"/>
      <c r="AD207" s="14"/>
      <c r="AE207" s="14"/>
      <c r="AF207" s="14"/>
      <c r="AG207" s="14"/>
    </row>
    <row r="208" spans="1:33" ht="15.75" customHeight="1" x14ac:dyDescent="0.2">
      <c r="A208" s="14"/>
      <c r="B208" s="14"/>
      <c r="C208" s="45"/>
      <c r="D208" s="45"/>
      <c r="E208" s="45"/>
      <c r="F208" s="45"/>
      <c r="G208" s="45"/>
      <c r="H208" s="45"/>
      <c r="I208" s="45"/>
      <c r="J208" s="45"/>
      <c r="K208" s="45"/>
      <c r="L208" s="45"/>
      <c r="M208" s="45"/>
      <c r="N208" s="45"/>
      <c r="O208" s="45"/>
      <c r="P208" s="45"/>
      <c r="Q208" s="45"/>
      <c r="R208" s="45"/>
      <c r="S208" s="21"/>
      <c r="T208" s="14"/>
      <c r="U208" s="14"/>
      <c r="V208" s="14"/>
      <c r="W208" s="14"/>
      <c r="X208" s="14"/>
      <c r="Y208" s="14"/>
      <c r="Z208" s="14"/>
      <c r="AA208" s="14"/>
      <c r="AB208" s="14"/>
      <c r="AC208" s="14"/>
      <c r="AD208" s="14"/>
      <c r="AE208" s="14"/>
      <c r="AF208" s="14"/>
      <c r="AG208" s="14"/>
    </row>
    <row r="209" spans="1:33" ht="15.75" customHeight="1" x14ac:dyDescent="0.2">
      <c r="A209" s="14"/>
      <c r="B209" s="14"/>
      <c r="C209" s="45"/>
      <c r="D209" s="45"/>
      <c r="E209" s="45"/>
      <c r="F209" s="45"/>
      <c r="G209" s="45"/>
      <c r="H209" s="45"/>
      <c r="I209" s="45"/>
      <c r="J209" s="45"/>
      <c r="K209" s="45"/>
      <c r="L209" s="45"/>
      <c r="M209" s="45"/>
      <c r="N209" s="45"/>
      <c r="O209" s="45"/>
      <c r="P209" s="45"/>
      <c r="Q209" s="45"/>
      <c r="R209" s="45"/>
      <c r="S209" s="21"/>
      <c r="T209" s="14"/>
      <c r="U209" s="14"/>
      <c r="V209" s="14"/>
      <c r="W209" s="14"/>
      <c r="X209" s="14"/>
      <c r="Y209" s="14"/>
      <c r="Z209" s="14"/>
      <c r="AA209" s="14"/>
      <c r="AB209" s="14"/>
      <c r="AC209" s="14"/>
      <c r="AD209" s="14"/>
      <c r="AE209" s="14"/>
      <c r="AF209" s="14"/>
      <c r="AG209" s="14"/>
    </row>
    <row r="210" spans="1:33" ht="15.75" customHeight="1" x14ac:dyDescent="0.2">
      <c r="A210" s="14"/>
      <c r="B210" s="14"/>
      <c r="C210" s="45"/>
      <c r="D210" s="45"/>
      <c r="E210" s="45"/>
      <c r="F210" s="45"/>
      <c r="G210" s="45"/>
      <c r="H210" s="45"/>
      <c r="I210" s="45"/>
      <c r="J210" s="45"/>
      <c r="K210" s="45"/>
      <c r="L210" s="45"/>
      <c r="M210" s="45"/>
      <c r="N210" s="45"/>
      <c r="O210" s="45"/>
      <c r="P210" s="45"/>
      <c r="Q210" s="45"/>
      <c r="R210" s="45"/>
      <c r="S210" s="21"/>
      <c r="T210" s="14"/>
      <c r="U210" s="14"/>
      <c r="V210" s="14"/>
      <c r="W210" s="14"/>
      <c r="X210" s="14"/>
      <c r="Y210" s="14"/>
      <c r="Z210" s="14"/>
      <c r="AA210" s="14"/>
      <c r="AB210" s="14"/>
      <c r="AC210" s="14"/>
      <c r="AD210" s="14"/>
      <c r="AE210" s="14"/>
      <c r="AF210" s="14"/>
      <c r="AG210" s="14"/>
    </row>
    <row r="211" spans="1:33" ht="15.75" customHeight="1" x14ac:dyDescent="0.2">
      <c r="A211" s="14"/>
      <c r="B211" s="14"/>
      <c r="C211" s="45"/>
      <c r="D211" s="45"/>
      <c r="E211" s="45"/>
      <c r="F211" s="45"/>
      <c r="G211" s="45"/>
      <c r="H211" s="45"/>
      <c r="I211" s="45"/>
      <c r="J211" s="45"/>
      <c r="K211" s="45"/>
      <c r="L211" s="45"/>
      <c r="M211" s="45"/>
      <c r="N211" s="45"/>
      <c r="O211" s="45"/>
      <c r="P211" s="45"/>
      <c r="Q211" s="45"/>
      <c r="R211" s="45"/>
      <c r="S211" s="21"/>
      <c r="T211" s="14"/>
      <c r="U211" s="14"/>
      <c r="V211" s="14"/>
      <c r="W211" s="14"/>
      <c r="X211" s="14"/>
      <c r="Y211" s="14"/>
      <c r="Z211" s="14"/>
      <c r="AA211" s="14"/>
      <c r="AB211" s="14"/>
      <c r="AC211" s="14"/>
      <c r="AD211" s="14"/>
      <c r="AE211" s="14"/>
      <c r="AF211" s="14"/>
      <c r="AG211" s="14"/>
    </row>
    <row r="212" spans="1:33" ht="15.75" customHeight="1" x14ac:dyDescent="0.2">
      <c r="A212" s="14"/>
      <c r="B212" s="14"/>
      <c r="C212" s="45"/>
      <c r="D212" s="45"/>
      <c r="E212" s="45"/>
      <c r="F212" s="45"/>
      <c r="G212" s="45"/>
      <c r="H212" s="45"/>
      <c r="I212" s="45"/>
      <c r="J212" s="45"/>
      <c r="K212" s="45"/>
      <c r="L212" s="45"/>
      <c r="M212" s="45"/>
      <c r="N212" s="45"/>
      <c r="O212" s="45"/>
      <c r="P212" s="45"/>
      <c r="Q212" s="45"/>
      <c r="R212" s="45"/>
      <c r="S212" s="21"/>
      <c r="T212" s="14"/>
      <c r="U212" s="14"/>
      <c r="V212" s="14"/>
      <c r="W212" s="14"/>
      <c r="X212" s="14"/>
      <c r="Y212" s="14"/>
      <c r="Z212" s="14"/>
      <c r="AA212" s="14"/>
      <c r="AB212" s="14"/>
      <c r="AC212" s="14"/>
      <c r="AD212" s="14"/>
      <c r="AE212" s="14"/>
      <c r="AF212" s="14"/>
      <c r="AG212" s="14"/>
    </row>
    <row r="213" spans="1:33" ht="15.75" customHeight="1" x14ac:dyDescent="0.2">
      <c r="A213" s="14"/>
      <c r="B213" s="14"/>
      <c r="C213" s="45"/>
      <c r="D213" s="45"/>
      <c r="E213" s="45"/>
      <c r="F213" s="45"/>
      <c r="G213" s="45"/>
      <c r="H213" s="45"/>
      <c r="I213" s="45"/>
      <c r="J213" s="45"/>
      <c r="K213" s="45"/>
      <c r="L213" s="45"/>
      <c r="M213" s="45"/>
      <c r="N213" s="45"/>
      <c r="O213" s="45"/>
      <c r="P213" s="45"/>
      <c r="Q213" s="45"/>
      <c r="R213" s="45"/>
      <c r="S213" s="21"/>
      <c r="T213" s="14"/>
      <c r="U213" s="14"/>
      <c r="V213" s="14"/>
      <c r="W213" s="14"/>
      <c r="X213" s="14"/>
      <c r="Y213" s="14"/>
      <c r="Z213" s="14"/>
      <c r="AA213" s="14"/>
      <c r="AB213" s="14"/>
      <c r="AC213" s="14"/>
      <c r="AD213" s="14"/>
      <c r="AE213" s="14"/>
      <c r="AF213" s="14"/>
      <c r="AG213" s="14"/>
    </row>
    <row r="214" spans="1:33" ht="15.75" customHeight="1" x14ac:dyDescent="0.2">
      <c r="A214" s="14"/>
      <c r="B214" s="14"/>
      <c r="C214" s="45"/>
      <c r="D214" s="45"/>
      <c r="E214" s="45"/>
      <c r="F214" s="45"/>
      <c r="G214" s="45"/>
      <c r="H214" s="45"/>
      <c r="I214" s="45"/>
      <c r="J214" s="45"/>
      <c r="K214" s="45"/>
      <c r="L214" s="45"/>
      <c r="M214" s="45"/>
      <c r="N214" s="45"/>
      <c r="O214" s="45"/>
      <c r="P214" s="45"/>
      <c r="Q214" s="45"/>
      <c r="R214" s="45"/>
      <c r="S214" s="21"/>
      <c r="T214" s="14"/>
      <c r="U214" s="14"/>
      <c r="V214" s="14"/>
      <c r="W214" s="14"/>
      <c r="X214" s="14"/>
      <c r="Y214" s="14"/>
      <c r="Z214" s="14"/>
      <c r="AA214" s="14"/>
      <c r="AB214" s="14"/>
      <c r="AC214" s="14"/>
      <c r="AD214" s="14"/>
      <c r="AE214" s="14"/>
      <c r="AF214" s="14"/>
      <c r="AG214" s="14"/>
    </row>
    <row r="215" spans="1:33" ht="15.75" customHeight="1" x14ac:dyDescent="0.2">
      <c r="A215" s="14"/>
      <c r="B215" s="14"/>
      <c r="C215" s="45"/>
      <c r="D215" s="45"/>
      <c r="E215" s="45"/>
      <c r="F215" s="45"/>
      <c r="G215" s="45"/>
      <c r="H215" s="45"/>
      <c r="I215" s="45"/>
      <c r="J215" s="45"/>
      <c r="K215" s="45"/>
      <c r="L215" s="45"/>
      <c r="M215" s="45"/>
      <c r="N215" s="45"/>
      <c r="O215" s="45"/>
      <c r="P215" s="45"/>
      <c r="Q215" s="45"/>
      <c r="R215" s="45"/>
      <c r="S215" s="21"/>
      <c r="T215" s="14"/>
      <c r="U215" s="14"/>
      <c r="V215" s="14"/>
      <c r="W215" s="14"/>
      <c r="X215" s="14"/>
      <c r="Y215" s="14"/>
      <c r="Z215" s="14"/>
      <c r="AA215" s="14"/>
      <c r="AB215" s="14"/>
      <c r="AC215" s="14"/>
      <c r="AD215" s="14"/>
      <c r="AE215" s="14"/>
      <c r="AF215" s="14"/>
      <c r="AG215" s="14"/>
    </row>
    <row r="216" spans="1:33" ht="15.75" customHeight="1" x14ac:dyDescent="0.2">
      <c r="A216" s="14"/>
      <c r="B216" s="14"/>
      <c r="C216" s="45"/>
      <c r="D216" s="45"/>
      <c r="E216" s="45"/>
      <c r="F216" s="45"/>
      <c r="G216" s="45"/>
      <c r="H216" s="45"/>
      <c r="I216" s="45"/>
      <c r="J216" s="45"/>
      <c r="K216" s="45"/>
      <c r="L216" s="45"/>
      <c r="M216" s="45"/>
      <c r="N216" s="45"/>
      <c r="O216" s="45"/>
      <c r="P216" s="45"/>
      <c r="Q216" s="45"/>
      <c r="R216" s="45"/>
      <c r="S216" s="21"/>
      <c r="T216" s="14"/>
      <c r="U216" s="14"/>
      <c r="V216" s="14"/>
      <c r="W216" s="14"/>
      <c r="X216" s="14"/>
      <c r="Y216" s="14"/>
      <c r="Z216" s="14"/>
      <c r="AA216" s="14"/>
      <c r="AB216" s="14"/>
      <c r="AC216" s="14"/>
      <c r="AD216" s="14"/>
      <c r="AE216" s="14"/>
      <c r="AF216" s="14"/>
      <c r="AG216" s="14"/>
    </row>
    <row r="217" spans="1:33" ht="15.75" customHeight="1" x14ac:dyDescent="0.2">
      <c r="A217" s="14"/>
      <c r="B217" s="14"/>
      <c r="C217" s="45"/>
      <c r="D217" s="45"/>
      <c r="E217" s="45"/>
      <c r="F217" s="45"/>
      <c r="G217" s="45"/>
      <c r="H217" s="45"/>
      <c r="I217" s="45"/>
      <c r="J217" s="45"/>
      <c r="K217" s="45"/>
      <c r="L217" s="45"/>
      <c r="M217" s="45"/>
      <c r="N217" s="45"/>
      <c r="O217" s="45"/>
      <c r="P217" s="45"/>
      <c r="Q217" s="45"/>
      <c r="R217" s="45"/>
      <c r="S217" s="21"/>
      <c r="T217" s="14"/>
      <c r="U217" s="14"/>
      <c r="V217" s="14"/>
      <c r="W217" s="14"/>
      <c r="X217" s="14"/>
      <c r="Y217" s="14"/>
      <c r="Z217" s="14"/>
      <c r="AA217" s="14"/>
      <c r="AB217" s="14"/>
      <c r="AC217" s="14"/>
      <c r="AD217" s="14"/>
      <c r="AE217" s="14"/>
      <c r="AF217" s="14"/>
      <c r="AG217" s="14"/>
    </row>
    <row r="218" spans="1:33" ht="15.75" customHeight="1" x14ac:dyDescent="0.2">
      <c r="A218" s="14"/>
      <c r="B218" s="14"/>
      <c r="C218" s="45"/>
      <c r="D218" s="45"/>
      <c r="E218" s="45"/>
      <c r="F218" s="45"/>
      <c r="G218" s="45"/>
      <c r="H218" s="45"/>
      <c r="I218" s="45"/>
      <c r="J218" s="45"/>
      <c r="K218" s="45"/>
      <c r="L218" s="45"/>
      <c r="M218" s="45"/>
      <c r="N218" s="45"/>
      <c r="O218" s="45"/>
      <c r="P218" s="45"/>
      <c r="Q218" s="45"/>
      <c r="R218" s="45"/>
      <c r="S218" s="21"/>
      <c r="T218" s="14"/>
      <c r="U218" s="14"/>
      <c r="V218" s="14"/>
      <c r="W218" s="14"/>
      <c r="X218" s="14"/>
      <c r="Y218" s="14"/>
      <c r="Z218" s="14"/>
      <c r="AA218" s="14"/>
      <c r="AB218" s="14"/>
      <c r="AC218" s="14"/>
      <c r="AD218" s="14"/>
      <c r="AE218" s="14"/>
      <c r="AF218" s="14"/>
      <c r="AG218" s="14"/>
    </row>
    <row r="219" spans="1:33" ht="15.75" customHeight="1" x14ac:dyDescent="0.2">
      <c r="A219" s="14"/>
      <c r="B219" s="14"/>
      <c r="C219" s="45"/>
      <c r="D219" s="45"/>
      <c r="E219" s="45"/>
      <c r="F219" s="45"/>
      <c r="G219" s="45"/>
      <c r="H219" s="45"/>
      <c r="I219" s="45"/>
      <c r="J219" s="45"/>
      <c r="K219" s="45"/>
      <c r="L219" s="45"/>
      <c r="M219" s="45"/>
      <c r="N219" s="45"/>
      <c r="O219" s="45"/>
      <c r="P219" s="45"/>
      <c r="Q219" s="45"/>
      <c r="R219" s="45"/>
      <c r="S219" s="21"/>
      <c r="T219" s="14"/>
      <c r="U219" s="14"/>
      <c r="V219" s="14"/>
      <c r="W219" s="14"/>
      <c r="X219" s="14"/>
      <c r="Y219" s="14"/>
      <c r="Z219" s="14"/>
      <c r="AA219" s="14"/>
      <c r="AB219" s="14"/>
      <c r="AC219" s="14"/>
      <c r="AD219" s="14"/>
      <c r="AE219" s="14"/>
      <c r="AF219" s="14"/>
      <c r="AG219" s="14"/>
    </row>
    <row r="220" spans="1:33" ht="15.75" customHeight="1" x14ac:dyDescent="0.2">
      <c r="A220" s="14"/>
      <c r="B220" s="14"/>
      <c r="C220" s="45"/>
      <c r="D220" s="45"/>
      <c r="E220" s="45"/>
      <c r="F220" s="45"/>
      <c r="G220" s="45"/>
      <c r="H220" s="45"/>
      <c r="I220" s="45"/>
      <c r="J220" s="45"/>
      <c r="K220" s="45"/>
      <c r="L220" s="45"/>
      <c r="M220" s="45"/>
      <c r="N220" s="45"/>
      <c r="O220" s="45"/>
      <c r="P220" s="45"/>
      <c r="Q220" s="45"/>
      <c r="R220" s="45"/>
      <c r="S220" s="21"/>
      <c r="T220" s="14"/>
      <c r="U220" s="14"/>
      <c r="V220" s="14"/>
      <c r="W220" s="14"/>
      <c r="X220" s="14"/>
      <c r="Y220" s="14"/>
      <c r="Z220" s="14"/>
      <c r="AA220" s="14"/>
      <c r="AB220" s="14"/>
      <c r="AC220" s="14"/>
      <c r="AD220" s="14"/>
      <c r="AE220" s="14"/>
      <c r="AF220" s="14"/>
      <c r="AG220" s="14"/>
    </row>
    <row r="221" spans="1:33" ht="15.75" customHeight="1" x14ac:dyDescent="0.2">
      <c r="A221" s="14"/>
      <c r="B221" s="14"/>
      <c r="C221" s="14"/>
      <c r="D221" s="14"/>
      <c r="E221" s="14"/>
      <c r="F221" s="14"/>
      <c r="G221" s="14"/>
      <c r="H221" s="14"/>
      <c r="I221" s="14"/>
      <c r="J221" s="14"/>
      <c r="K221" s="14"/>
      <c r="L221" s="14"/>
      <c r="M221" s="14"/>
      <c r="N221" s="14"/>
      <c r="O221" s="14"/>
      <c r="P221" s="14"/>
      <c r="Q221" s="14"/>
      <c r="R221" s="14"/>
      <c r="S221" s="21"/>
      <c r="T221" s="14"/>
      <c r="U221" s="14"/>
      <c r="V221" s="14"/>
      <c r="W221" s="14"/>
      <c r="X221" s="14"/>
      <c r="Y221" s="14"/>
      <c r="Z221" s="14"/>
      <c r="AA221" s="14"/>
      <c r="AB221" s="14"/>
      <c r="AC221" s="14"/>
      <c r="AD221" s="14"/>
      <c r="AE221" s="14"/>
      <c r="AF221" s="14"/>
      <c r="AG221" s="14"/>
    </row>
    <row r="222" spans="1:33" ht="15.75" customHeight="1" x14ac:dyDescent="0.2">
      <c r="A222" s="14"/>
      <c r="B222" s="14"/>
      <c r="C222" s="14"/>
      <c r="D222" s="14"/>
      <c r="E222" s="14"/>
      <c r="F222" s="14"/>
      <c r="G222" s="14"/>
      <c r="H222" s="14"/>
      <c r="I222" s="14"/>
      <c r="J222" s="14"/>
      <c r="K222" s="14"/>
      <c r="L222" s="14"/>
      <c r="M222" s="14"/>
      <c r="N222" s="14"/>
      <c r="O222" s="14"/>
      <c r="P222" s="14"/>
      <c r="Q222" s="14"/>
      <c r="R222" s="14"/>
      <c r="S222" s="21"/>
      <c r="T222" s="14"/>
      <c r="U222" s="14"/>
      <c r="V222" s="14"/>
      <c r="W222" s="14"/>
      <c r="X222" s="14"/>
      <c r="Y222" s="14"/>
      <c r="Z222" s="14"/>
      <c r="AA222" s="14"/>
      <c r="AB222" s="14"/>
      <c r="AC222" s="14"/>
      <c r="AD222" s="14"/>
      <c r="AE222" s="14"/>
      <c r="AF222" s="14"/>
      <c r="AG222" s="14"/>
    </row>
    <row r="223" spans="1:33" ht="15.75" customHeight="1" x14ac:dyDescent="0.2">
      <c r="S223" s="21"/>
    </row>
    <row r="224" spans="1:33" ht="15.75" customHeight="1" x14ac:dyDescent="0.2">
      <c r="S224" s="21"/>
    </row>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3">
    <mergeCell ref="G1:G2"/>
    <mergeCell ref="H1:H2"/>
    <mergeCell ref="A3:B3"/>
    <mergeCell ref="I1:I2"/>
    <mergeCell ref="J1:J2"/>
    <mergeCell ref="A1:B1"/>
    <mergeCell ref="C1:C2"/>
    <mergeCell ref="D1:D2"/>
    <mergeCell ref="E1:E2"/>
    <mergeCell ref="F1:F2"/>
    <mergeCell ref="K1:K2"/>
    <mergeCell ref="L1:L2"/>
    <mergeCell ref="M1:M2"/>
    <mergeCell ref="N1:N2"/>
    <mergeCell ref="O1:O2"/>
    <mergeCell ref="P1:P2"/>
    <mergeCell ref="Q1:Q2"/>
    <mergeCell ref="S1:S2"/>
    <mergeCell ref="T1:T2"/>
    <mergeCell ref="U1:U2"/>
    <mergeCell ref="R1:R2"/>
    <mergeCell ref="V1:V2"/>
    <mergeCell ref="W1:W2"/>
    <mergeCell ref="AE1:AE2"/>
    <mergeCell ref="AF1:AF2"/>
    <mergeCell ref="AG1:AG2"/>
    <mergeCell ref="X1:X2"/>
    <mergeCell ref="Y1:Y2"/>
    <mergeCell ref="Z1:Z2"/>
    <mergeCell ref="AA1:AA2"/>
    <mergeCell ref="AB1:AB2"/>
    <mergeCell ref="AC1:AC2"/>
    <mergeCell ref="AD1:AD2"/>
  </mergeCells>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55</vt:i4>
      </vt:variant>
    </vt:vector>
  </HeadingPairs>
  <TitlesOfParts>
    <vt:vector size="55" baseType="lpstr">
      <vt:lpstr>PL-IFC-103DRYADP-BK1.5</vt:lpstr>
      <vt:lpstr>PL-IFC-104DRYADP-BK1.5</vt:lpstr>
      <vt:lpstr>PL-IFC-103DRY-GY04</vt:lpstr>
      <vt:lpstr>PL-IFC-103DRY-GY06</vt:lpstr>
      <vt:lpstr>PL-IFC-103DRY-GY10</vt:lpstr>
      <vt:lpstr>PL-IFC-104DRY-BK04</vt:lpstr>
      <vt:lpstr>PL-IFC-104DRY-BK06</vt:lpstr>
      <vt:lpstr>PL-IFC-104DRY-BK10</vt:lpstr>
      <vt:lpstr>PL-IFC-RC123B-06</vt:lpstr>
      <vt:lpstr>PL-IFC-RC123B-10</vt:lpstr>
      <vt:lpstr>PL-IFC-RC142-06</vt:lpstr>
      <vt:lpstr>PL-IFC-RC142-10</vt:lpstr>
      <vt:lpstr>PL-IFC-RC143B-06</vt:lpstr>
      <vt:lpstr>PL-IFC-RC143B-10</vt:lpstr>
      <vt:lpstr>PL-IFC-RC162-06</vt:lpstr>
      <vt:lpstr>PL-IFC-RC162-10</vt:lpstr>
      <vt:lpstr>PL-IFC-RC163B-06</vt:lpstr>
      <vt:lpstr>PL-IFC-RC163B-10</vt:lpstr>
      <vt:lpstr>PL-IFC-RC182-06</vt:lpstr>
      <vt:lpstr>PL-IFC-RC182-10</vt:lpstr>
      <vt:lpstr>PL-IFC-RC183B-06</vt:lpstr>
      <vt:lpstr>PL-IFC-RC183B-10</vt:lpstr>
      <vt:lpstr>PL-IFC-APP-AC-143GY03</vt:lpstr>
      <vt:lpstr>PL-IFC-APP-AC-143GY06</vt:lpstr>
      <vt:lpstr>PL-IFC-APP-AC-143GY09</vt:lpstr>
      <vt:lpstr>PL-IFC-APP-AC-143GY12</vt:lpstr>
      <vt:lpstr>PL-IFC-PW12-2PK</vt:lpstr>
      <vt:lpstr>PL-IFC-PW12-4PK</vt:lpstr>
      <vt:lpstr>PL-IFC-PW12-6PK</vt:lpstr>
      <vt:lpstr>PL-IFC-PW14-10PK</vt:lpstr>
      <vt:lpstr>PL-IFC-PW14-4PK</vt:lpstr>
      <vt:lpstr>PL-IFC-PW14-6PK</vt:lpstr>
      <vt:lpstr>PL-IFC-PW16-10PK</vt:lpstr>
      <vt:lpstr>PL-IFC-PW16-2PK</vt:lpstr>
      <vt:lpstr>PL-IFC-PW16-4PK</vt:lpstr>
      <vt:lpstr>PL-IFC-PW16-6PK</vt:lpstr>
      <vt:lpstr>PL-IFC-PW18-10PK</vt:lpstr>
      <vt:lpstr>PL-IFC-PW18-4PK</vt:lpstr>
      <vt:lpstr>PL-IFC-PW18-6PK</vt:lpstr>
      <vt:lpstr>PL-IFC-HDS-10OT15FT</vt:lpstr>
      <vt:lpstr>PL-IFC-HDS-6OT9FT</vt:lpstr>
      <vt:lpstr>PL-IFC-HDS-8OT6FT</vt:lpstr>
      <vt:lpstr>PL-IFC-HDS-9OT9FT</vt:lpstr>
      <vt:lpstr>PL-IFC-183MC03</vt:lpstr>
      <vt:lpstr>PL-IFC-183MC03-2PK</vt:lpstr>
      <vt:lpstr>PL-IFC-183MC03-5PK</vt:lpstr>
      <vt:lpstr>PL-IFC-183MC06</vt:lpstr>
      <vt:lpstr>PL-IFC-183MC06-2PK</vt:lpstr>
      <vt:lpstr>PL-IFC-183MC06-5PK</vt:lpstr>
      <vt:lpstr>PL-IFC-183MC10</vt:lpstr>
      <vt:lpstr>PL-IFC-183MC10-2PK</vt:lpstr>
      <vt:lpstr>PL-IFC-183MC10-5PK</vt:lpstr>
      <vt:lpstr>PL-IFC-183MCRA03-2PK</vt:lpstr>
      <vt:lpstr>PL-IFC-183MCRA06-2PK</vt:lpstr>
      <vt:lpstr>PL-IFC-183MCRA10-2PK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2021-07-19T16:48:02Z</dcterms:modified>
</cp:coreProperties>
</file>