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comments3.xml" ContentType="application/vnd.openxmlformats-officedocument.spreadsheetml.comments+xml"/>
  <Override PartName="/xl/threadedComments/threadedComment2.xml" ContentType="application/vnd.ms-excel.threaded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https://conchaytoro365-my.sharepoint.com/personal/cristobal_torrealba_conchaytoro_cl/Documents/Documentos/Proyectos I+D/PI-4497/Resultados/2025/dFBA/Calibración modelo piloto 24_25/Calibración data 2025/"/>
    </mc:Choice>
  </mc:AlternateContent>
  <xr:revisionPtr revIDLastSave="50" documentId="8_{E06B9C39-3814-4C1D-A6BC-9EDC5F2B6AAF}" xr6:coauthVersionLast="47" xr6:coauthVersionMax="47" xr10:uidLastSave="{8A84278F-137F-41C9-A5E0-B3AB7410A541}"/>
  <bookViews>
    <workbookView xWindow="28680" yWindow="-120" windowWidth="29040" windowHeight="15720" firstSheet="4" activeTab="5" xr2:uid="{EAD34880-FD0E-49F6-8243-F18A2C03D9AC}"/>
  </bookViews>
  <sheets>
    <sheet name="Datos de proceso" sheetId="2" r:id="rId1"/>
    <sheet name="Productos y nutrientes" sheetId="3" r:id="rId2"/>
    <sheet name="Análisis Laboratorio" sheetId="1" state="hidden" r:id="rId3"/>
    <sheet name="Resumen resultados °Alcohol" sheetId="7" r:id="rId4"/>
    <sheet name="Aromas Capturador 2025" sheetId="5" r:id="rId5"/>
    <sheet name="BDD_Maestra" sheetId="9" r:id="rId6"/>
    <sheet name="Etanol (ajuste)" sheetId="19" r:id="rId7"/>
    <sheet name="Re-análisis" sheetId="12" r:id="rId8"/>
    <sheet name="Analisis Aromas (MEF)" sheetId="17" r:id="rId9"/>
    <sheet name="Analisis Aromas (Cond)" sheetId="18" r:id="rId10"/>
  </sheets>
  <externalReferences>
    <externalReference r:id="rId11"/>
  </externalReferences>
  <definedNames>
    <definedName name="_xlnm._FilterDatabase" localSheetId="9" hidden="1">'Analisis Aromas (Cond)'!$A$2:$Z$68</definedName>
    <definedName name="_xlnm._FilterDatabase" localSheetId="8" hidden="1">'Analisis Aromas (MEF)'!$A$2:$O$2</definedName>
    <definedName name="_xlnm._FilterDatabase" localSheetId="2" hidden="1">'Análisis Laboratorio'!$A$1:$AU$190</definedName>
    <definedName name="_xlnm._FilterDatabase" localSheetId="4" hidden="1">'Aromas Capturador 2025'!$A$1:$H$113</definedName>
    <definedName name="_xlnm._FilterDatabase" localSheetId="5" hidden="1">BDD_Maestra!$A$1:$BC$195</definedName>
    <definedName name="_xlnm._FilterDatabase" localSheetId="7" hidden="1">'Re-análisis'!$A$1:$K$92</definedName>
    <definedName name="_xlnm._FilterDatabase" localSheetId="3" hidden="1">'Resumen resultados °Alcohol'!$A$1:$J$139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68" i="9" l="1"/>
  <c r="AA69" i="9"/>
  <c r="AA70" i="9"/>
  <c r="AA71" i="9"/>
  <c r="AA72" i="9"/>
  <c r="AA73" i="9"/>
  <c r="AA74" i="9"/>
  <c r="AA75" i="9"/>
  <c r="AA76" i="9"/>
  <c r="AA77" i="9"/>
  <c r="AA78" i="9"/>
  <c r="AA79" i="9"/>
  <c r="AA80" i="9"/>
  <c r="AA81" i="9"/>
  <c r="AA82" i="9"/>
  <c r="AA83" i="9"/>
  <c r="AA84" i="9"/>
  <c r="AA85" i="9"/>
  <c r="AA86" i="9"/>
  <c r="AA87" i="9"/>
  <c r="AA89" i="9"/>
  <c r="AA90" i="9"/>
  <c r="AA91" i="9"/>
  <c r="AA92" i="9"/>
  <c r="AA93" i="9"/>
  <c r="AA94" i="9"/>
  <c r="AA95" i="9"/>
  <c r="AA96" i="9"/>
  <c r="AA97" i="9"/>
  <c r="AA98" i="9"/>
  <c r="AA99" i="9"/>
  <c r="AA100" i="9"/>
  <c r="AA101" i="9"/>
  <c r="AA102" i="9"/>
  <c r="AA103" i="9"/>
  <c r="AA104" i="9"/>
  <c r="AA105" i="9"/>
  <c r="AA106" i="9"/>
  <c r="AA107" i="9"/>
  <c r="AA108" i="9"/>
  <c r="AA109" i="9"/>
  <c r="AA118" i="9"/>
  <c r="AA119" i="9"/>
  <c r="AA120" i="9"/>
  <c r="AA121" i="9"/>
  <c r="AA122" i="9"/>
  <c r="AA110" i="9"/>
  <c r="AA111" i="9"/>
  <c r="AA112" i="9"/>
  <c r="AA113" i="9"/>
  <c r="AA114" i="9"/>
  <c r="AA115" i="9"/>
  <c r="AA116" i="9"/>
  <c r="AA117" i="9"/>
  <c r="AA123" i="9"/>
  <c r="AA124" i="9"/>
  <c r="AA125" i="9"/>
  <c r="AA134" i="9"/>
  <c r="AA135" i="9"/>
  <c r="AA136" i="9"/>
  <c r="AA126" i="9"/>
  <c r="AA127" i="9"/>
  <c r="AA128" i="9"/>
  <c r="AA129" i="9"/>
  <c r="AA130" i="9"/>
  <c r="AA131" i="9"/>
  <c r="AA132" i="9"/>
  <c r="AA133" i="9"/>
  <c r="AA140" i="9"/>
  <c r="AA141" i="9"/>
  <c r="AA142" i="9"/>
  <c r="AA143" i="9"/>
  <c r="AA144" i="9"/>
  <c r="AA145" i="9"/>
  <c r="AA146" i="9"/>
  <c r="AA147" i="9"/>
  <c r="AA148" i="9"/>
  <c r="AA149" i="9"/>
  <c r="AA150" i="9"/>
  <c r="AA151" i="9"/>
  <c r="AA152" i="9"/>
  <c r="AA153" i="9"/>
  <c r="AA154" i="9"/>
  <c r="AA155" i="9"/>
  <c r="AA156" i="9"/>
  <c r="AA157" i="9"/>
  <c r="AA158" i="9"/>
  <c r="AA159" i="9"/>
  <c r="AA160" i="9"/>
  <c r="AA161" i="9"/>
  <c r="AA162" i="9"/>
  <c r="AA163" i="9"/>
  <c r="AA166" i="9"/>
  <c r="AA167" i="9"/>
  <c r="AA168" i="9"/>
  <c r="AA169" i="9"/>
  <c r="AA170" i="9"/>
  <c r="AA171" i="9"/>
  <c r="AA172" i="9"/>
  <c r="AA173" i="9"/>
  <c r="AA174" i="9"/>
  <c r="AA175" i="9"/>
  <c r="AA176" i="9"/>
  <c r="AA177" i="9"/>
  <c r="AA178" i="9"/>
  <c r="AA179" i="9"/>
  <c r="AA180" i="9"/>
  <c r="AA181" i="9"/>
  <c r="AA182" i="9"/>
  <c r="AA183" i="9"/>
  <c r="AA184" i="9"/>
  <c r="AA185" i="9"/>
  <c r="AA186" i="9"/>
  <c r="AA187" i="9"/>
  <c r="AA188" i="9"/>
  <c r="AA189" i="9"/>
  <c r="AA190" i="9"/>
  <c r="AA191" i="9"/>
  <c r="AA192" i="9"/>
  <c r="AA195" i="9"/>
  <c r="AA3" i="9"/>
  <c r="AA4" i="9"/>
  <c r="AA5" i="9"/>
  <c r="AA6" i="9"/>
  <c r="AA7" i="9"/>
  <c r="AA8" i="9"/>
  <c r="AA9" i="9"/>
  <c r="AA10" i="9"/>
  <c r="AA11" i="9"/>
  <c r="AA12" i="9"/>
  <c r="AA13" i="9"/>
  <c r="AA14" i="9"/>
  <c r="AA15" i="9"/>
  <c r="AA16" i="9"/>
  <c r="AA17" i="9"/>
  <c r="AA18" i="9"/>
  <c r="AA19" i="9"/>
  <c r="AA20" i="9"/>
  <c r="AA21" i="9"/>
  <c r="AA22" i="9"/>
  <c r="AA23" i="9"/>
  <c r="AA24" i="9"/>
  <c r="AA25" i="9"/>
  <c r="AA26" i="9"/>
  <c r="AA27" i="9"/>
  <c r="AA28" i="9"/>
  <c r="AA29" i="9"/>
  <c r="AA30" i="9"/>
  <c r="AA31" i="9"/>
  <c r="AA32" i="9"/>
  <c r="AA33" i="9"/>
  <c r="AA34" i="9"/>
  <c r="AA35" i="9"/>
  <c r="AA36" i="9"/>
  <c r="AA37" i="9"/>
  <c r="AA38" i="9"/>
  <c r="AA39" i="9"/>
  <c r="AA40" i="9"/>
  <c r="AA41" i="9"/>
  <c r="AA42" i="9"/>
  <c r="AA43" i="9"/>
  <c r="AA44" i="9"/>
  <c r="AA45" i="9"/>
  <c r="AA46" i="9"/>
  <c r="AA47" i="9"/>
  <c r="AA48" i="9"/>
  <c r="AA49" i="9"/>
  <c r="AA50" i="9"/>
  <c r="AA51" i="9"/>
  <c r="AA52" i="9"/>
  <c r="AA53" i="9"/>
  <c r="AA54" i="9"/>
  <c r="AA55" i="9"/>
  <c r="AA56" i="9"/>
  <c r="AA57" i="9"/>
  <c r="AA58" i="9"/>
  <c r="AA59" i="9"/>
  <c r="AA60" i="9"/>
  <c r="AA61" i="9"/>
  <c r="AA62" i="9"/>
  <c r="AA63" i="9"/>
  <c r="AA64" i="9"/>
  <c r="AA65" i="9"/>
  <c r="AA66" i="9"/>
  <c r="AA2" i="9"/>
  <c r="F58" i="17"/>
  <c r="K58" i="17" s="1"/>
  <c r="F57" i="17"/>
  <c r="K57" i="17" s="1"/>
  <c r="F56" i="17"/>
  <c r="K56" i="17" s="1"/>
  <c r="F55" i="17"/>
  <c r="K55" i="17" s="1"/>
  <c r="M54" i="17"/>
  <c r="K54" i="17"/>
  <c r="F54" i="17"/>
  <c r="F53" i="17"/>
  <c r="K53" i="17" s="1"/>
  <c r="F52" i="17"/>
  <c r="K52" i="17" s="1"/>
  <c r="F51" i="17"/>
  <c r="K51" i="17" s="1"/>
  <c r="F50" i="17"/>
  <c r="K50" i="17" s="1"/>
  <c r="N49" i="17"/>
  <c r="O49" i="17" s="1"/>
  <c r="M49" i="17"/>
  <c r="K49" i="17"/>
  <c r="F49" i="17"/>
  <c r="F48" i="17"/>
  <c r="K48" i="17" s="1"/>
  <c r="K47" i="17"/>
  <c r="F47" i="17"/>
  <c r="F46" i="17"/>
  <c r="K46" i="17" s="1"/>
  <c r="K45" i="17"/>
  <c r="M45" i="17" s="1"/>
  <c r="F45" i="17"/>
  <c r="F44" i="17"/>
  <c r="K44" i="17" s="1"/>
  <c r="F43" i="17"/>
  <c r="K43" i="17" s="1"/>
  <c r="M42" i="17"/>
  <c r="K42" i="17"/>
  <c r="F42" i="17"/>
  <c r="F41" i="17"/>
  <c r="K41" i="17" s="1"/>
  <c r="F40" i="17"/>
  <c r="K40" i="17" s="1"/>
  <c r="F39" i="17"/>
  <c r="K39" i="17" s="1"/>
  <c r="F38" i="17"/>
  <c r="K38" i="17" s="1"/>
  <c r="O37" i="17"/>
  <c r="N37" i="17"/>
  <c r="M37" i="17"/>
  <c r="K37" i="17"/>
  <c r="F37" i="17"/>
  <c r="F36" i="17"/>
  <c r="K36" i="17" s="1"/>
  <c r="K35" i="17"/>
  <c r="M35" i="17" s="1"/>
  <c r="F35" i="17"/>
  <c r="F34" i="17"/>
  <c r="K34" i="17" s="1"/>
  <c r="F33" i="17"/>
  <c r="K33" i="17" s="1"/>
  <c r="F32" i="17"/>
  <c r="K32" i="17" s="1"/>
  <c r="F31" i="17"/>
  <c r="K31" i="17" s="1"/>
  <c r="M30" i="17"/>
  <c r="K30" i="17"/>
  <c r="F30" i="17"/>
  <c r="F29" i="17"/>
  <c r="K29" i="17" s="1"/>
  <c r="F28" i="17"/>
  <c r="K28" i="17" s="1"/>
  <c r="F27" i="17"/>
  <c r="K27" i="17" s="1"/>
  <c r="F26" i="17"/>
  <c r="K26" i="17" s="1"/>
  <c r="N25" i="17"/>
  <c r="O25" i="17" s="1"/>
  <c r="M25" i="17"/>
  <c r="K25" i="17"/>
  <c r="F25" i="17"/>
  <c r="F24" i="17"/>
  <c r="K24" i="17" s="1"/>
  <c r="K23" i="17"/>
  <c r="F23" i="17"/>
  <c r="F22" i="17"/>
  <c r="K22" i="17" s="1"/>
  <c r="F21" i="17"/>
  <c r="K21" i="17" s="1"/>
  <c r="F20" i="17"/>
  <c r="K20" i="17" s="1"/>
  <c r="F19" i="17"/>
  <c r="K19" i="17" s="1"/>
  <c r="M18" i="17"/>
  <c r="N18" i="17" s="1"/>
  <c r="K18" i="17"/>
  <c r="F18" i="17"/>
  <c r="F17" i="17"/>
  <c r="K17" i="17" s="1"/>
  <c r="K16" i="17"/>
  <c r="F16" i="17"/>
  <c r="F15" i="17"/>
  <c r="K15" i="17" s="1"/>
  <c r="K14" i="17"/>
  <c r="F14" i="17"/>
  <c r="N13" i="17"/>
  <c r="O13" i="17" s="1"/>
  <c r="M13" i="17"/>
  <c r="K13" i="17"/>
  <c r="F13" i="17"/>
  <c r="F12" i="17"/>
  <c r="K12" i="17" s="1"/>
  <c r="K11" i="17"/>
  <c r="M11" i="17" s="1"/>
  <c r="F11" i="17"/>
  <c r="F10" i="17"/>
  <c r="K10" i="17" s="1"/>
  <c r="F9" i="17"/>
  <c r="K9" i="17" s="1"/>
  <c r="F8" i="17"/>
  <c r="K8" i="17" s="1"/>
  <c r="M8" i="17" s="1"/>
  <c r="F7" i="17"/>
  <c r="K7" i="17" s="1"/>
  <c r="K6" i="17"/>
  <c r="F6" i="17"/>
  <c r="F5" i="17"/>
  <c r="K5" i="17" s="1"/>
  <c r="F4" i="17"/>
  <c r="K4" i="17" s="1"/>
  <c r="F3" i="17"/>
  <c r="K3" i="17" s="1"/>
  <c r="O42" i="17" l="1"/>
  <c r="M4" i="17"/>
  <c r="M57" i="17"/>
  <c r="M50" i="17"/>
  <c r="N50" i="17" s="1"/>
  <c r="M21" i="17"/>
  <c r="N21" i="17" s="1"/>
  <c r="O21" i="17" s="1"/>
  <c r="M52" i="17"/>
  <c r="O30" i="17"/>
  <c r="M9" i="17"/>
  <c r="N38" i="17"/>
  <c r="O38" i="17" s="1"/>
  <c r="M38" i="17"/>
  <c r="M33" i="17"/>
  <c r="M40" i="17"/>
  <c r="O40" i="17" s="1"/>
  <c r="N40" i="17"/>
  <c r="M26" i="17"/>
  <c r="N26" i="17" s="1"/>
  <c r="M28" i="17"/>
  <c r="N28" i="17" s="1"/>
  <c r="O28" i="17" s="1"/>
  <c r="N11" i="17"/>
  <c r="O11" i="17" s="1"/>
  <c r="N39" i="17"/>
  <c r="O39" i="17" s="1"/>
  <c r="M39" i="17"/>
  <c r="M12" i="17"/>
  <c r="N12" i="17" s="1"/>
  <c r="O12" i="17" s="1"/>
  <c r="N30" i="17"/>
  <c r="N35" i="17"/>
  <c r="M56" i="17"/>
  <c r="N56" i="17" s="1"/>
  <c r="O56" i="17" s="1"/>
  <c r="M53" i="17"/>
  <c r="O53" i="17" s="1"/>
  <c r="N53" i="17"/>
  <c r="M3" i="17"/>
  <c r="N3" i="17" s="1"/>
  <c r="O3" i="17" s="1"/>
  <c r="N8" i="17"/>
  <c r="O8" i="17" s="1"/>
  <c r="N22" i="17"/>
  <c r="M22" i="17"/>
  <c r="O22" i="17" s="1"/>
  <c r="O35" i="17"/>
  <c r="M31" i="17"/>
  <c r="N54" i="17"/>
  <c r="O54" i="17" s="1"/>
  <c r="M27" i="17"/>
  <c r="N27" i="17" s="1"/>
  <c r="M32" i="17"/>
  <c r="N32" i="17" s="1"/>
  <c r="M23" i="17"/>
  <c r="M55" i="17"/>
  <c r="M5" i="17"/>
  <c r="N5" i="17"/>
  <c r="O5" i="17" s="1"/>
  <c r="N23" i="17"/>
  <c r="O23" i="17" s="1"/>
  <c r="M51" i="17"/>
  <c r="N51" i="17" s="1"/>
  <c r="O51" i="17" s="1"/>
  <c r="M10" i="17"/>
  <c r="O18" i="17"/>
  <c r="M47" i="17"/>
  <c r="O47" i="17" s="1"/>
  <c r="M41" i="17"/>
  <c r="O41" i="17" s="1"/>
  <c r="N41" i="17"/>
  <c r="O14" i="17"/>
  <c r="M14" i="17"/>
  <c r="N14" i="17"/>
  <c r="M19" i="17"/>
  <c r="M24" i="17"/>
  <c r="N24" i="17" s="1"/>
  <c r="N42" i="17"/>
  <c r="N47" i="17"/>
  <c r="N7" i="17"/>
  <c r="O7" i="17" s="1"/>
  <c r="M7" i="17"/>
  <c r="O45" i="17"/>
  <c r="N45" i="17"/>
  <c r="M46" i="17"/>
  <c r="M6" i="17"/>
  <c r="M15" i="17"/>
  <c r="M20" i="17"/>
  <c r="M29" i="17"/>
  <c r="M34" i="17"/>
  <c r="M44" i="17"/>
  <c r="N44" i="17" s="1"/>
  <c r="M16" i="17"/>
  <c r="M17" i="17"/>
  <c r="O17" i="17" s="1"/>
  <c r="N17" i="17"/>
  <c r="M36" i="17"/>
  <c r="N36" i="17" s="1"/>
  <c r="M43" i="17"/>
  <c r="N43" i="17" s="1"/>
  <c r="N48" i="17"/>
  <c r="M48" i="17"/>
  <c r="O48" i="17"/>
  <c r="M58" i="17"/>
  <c r="N58" i="17" s="1"/>
  <c r="L58" i="17"/>
  <c r="O19" i="17" l="1"/>
  <c r="O20" i="17"/>
  <c r="O31" i="17"/>
  <c r="O16" i="17"/>
  <c r="O57" i="17"/>
  <c r="O27" i="17"/>
  <c r="N15" i="17"/>
  <c r="O15" i="17" s="1"/>
  <c r="O26" i="17"/>
  <c r="N9" i="17"/>
  <c r="O9" i="17" s="1"/>
  <c r="O50" i="17"/>
  <c r="O24" i="17"/>
  <c r="N52" i="17"/>
  <c r="O52" i="17" s="1"/>
  <c r="N34" i="17"/>
  <c r="O34" i="17" s="1"/>
  <c r="N19" i="17"/>
  <c r="O32" i="17"/>
  <c r="N33" i="17"/>
  <c r="O33" i="17" s="1"/>
  <c r="N16" i="17"/>
  <c r="N20" i="17"/>
  <c r="N31" i="17"/>
  <c r="N57" i="17"/>
  <c r="N55" i="17"/>
  <c r="O55" i="17" s="1"/>
  <c r="O43" i="17"/>
  <c r="N46" i="17"/>
  <c r="O46" i="17" s="1"/>
  <c r="N10" i="17"/>
  <c r="O10" i="17" s="1"/>
  <c r="O36" i="17"/>
  <c r="N29" i="17"/>
  <c r="O29" i="17" s="1"/>
  <c r="O44" i="17"/>
  <c r="N6" i="17"/>
  <c r="O6" i="17" s="1"/>
  <c r="N4" i="17"/>
  <c r="O4" i="17" s="1"/>
  <c r="O58" i="17"/>
  <c r="K12" i="19" l="1"/>
  <c r="H180" i="19"/>
  <c r="K180" i="19" s="1"/>
  <c r="F180" i="19"/>
  <c r="E180" i="19"/>
  <c r="H179" i="19"/>
  <c r="F179" i="19"/>
  <c r="E179" i="19"/>
  <c r="F178" i="19"/>
  <c r="E178" i="19"/>
  <c r="H177" i="19"/>
  <c r="F177" i="19"/>
  <c r="E177" i="19"/>
  <c r="H176" i="19"/>
  <c r="F176" i="19"/>
  <c r="E176" i="19"/>
  <c r="H175" i="19"/>
  <c r="F175" i="19"/>
  <c r="E175" i="19"/>
  <c r="H174" i="19"/>
  <c r="F174" i="19"/>
  <c r="E174" i="19"/>
  <c r="H173" i="19"/>
  <c r="F173" i="19"/>
  <c r="E173" i="19"/>
  <c r="H172" i="19"/>
  <c r="F172" i="19"/>
  <c r="E172" i="19"/>
  <c r="H171" i="19"/>
  <c r="F171" i="19"/>
  <c r="E171" i="19"/>
  <c r="H170" i="19"/>
  <c r="F170" i="19"/>
  <c r="E170" i="19"/>
  <c r="H169" i="19"/>
  <c r="F169" i="19"/>
  <c r="E169" i="19"/>
  <c r="H168" i="19"/>
  <c r="F168" i="19"/>
  <c r="E168" i="19"/>
  <c r="H167" i="19"/>
  <c r="F167" i="19"/>
  <c r="E167" i="19"/>
  <c r="H166" i="19"/>
  <c r="F166" i="19"/>
  <c r="E166" i="19"/>
  <c r="H165" i="19"/>
  <c r="F165" i="19"/>
  <c r="E165" i="19"/>
  <c r="H164" i="19"/>
  <c r="F164" i="19"/>
  <c r="E164" i="19"/>
  <c r="H163" i="19"/>
  <c r="F163" i="19"/>
  <c r="E163" i="19"/>
  <c r="H162" i="19"/>
  <c r="F162" i="19"/>
  <c r="E162" i="19"/>
  <c r="H161" i="19"/>
  <c r="F161" i="19"/>
  <c r="E161" i="19"/>
  <c r="H160" i="19"/>
  <c r="F160" i="19"/>
  <c r="E160" i="19"/>
  <c r="H159" i="19"/>
  <c r="F159" i="19"/>
  <c r="E159" i="19"/>
  <c r="H158" i="19"/>
  <c r="F158" i="19"/>
  <c r="E158" i="19"/>
  <c r="H157" i="19"/>
  <c r="F157" i="19"/>
  <c r="E157" i="19"/>
  <c r="H156" i="19"/>
  <c r="F156" i="19"/>
  <c r="E156" i="19"/>
  <c r="H155" i="19"/>
  <c r="F155" i="19"/>
  <c r="E155" i="19"/>
  <c r="H154" i="19"/>
  <c r="F154" i="19"/>
  <c r="E154" i="19"/>
  <c r="H153" i="19"/>
  <c r="F153" i="19"/>
  <c r="E153" i="19"/>
  <c r="C153" i="19"/>
  <c r="C154" i="19" s="1"/>
  <c r="C155" i="19" s="1"/>
  <c r="C156" i="19" s="1"/>
  <c r="C157" i="19" s="1"/>
  <c r="C158" i="19" s="1"/>
  <c r="C159" i="19" s="1"/>
  <c r="C160" i="19" s="1"/>
  <c r="C161" i="19" s="1"/>
  <c r="C162" i="19" s="1"/>
  <c r="C163" i="19" s="1"/>
  <c r="C164" i="19" s="1"/>
  <c r="C165" i="19" s="1"/>
  <c r="C166" i="19" s="1"/>
  <c r="C167" i="19" s="1"/>
  <c r="C168" i="19" s="1"/>
  <c r="C169" i="19" s="1"/>
  <c r="C170" i="19" s="1"/>
  <c r="C171" i="19" s="1"/>
  <c r="C172" i="19" s="1"/>
  <c r="C173" i="19" s="1"/>
  <c r="C174" i="19" s="1"/>
  <c r="C175" i="19" s="1"/>
  <c r="C176" i="19" s="1"/>
  <c r="C177" i="19" s="1"/>
  <c r="C178" i="19" s="1"/>
  <c r="C179" i="19" s="1"/>
  <c r="C180" i="19" s="1"/>
  <c r="H152" i="19"/>
  <c r="F152" i="19"/>
  <c r="H178" i="19" s="1"/>
  <c r="E152" i="19"/>
  <c r="H151" i="19"/>
  <c r="K151" i="19" s="1"/>
  <c r="F151" i="19"/>
  <c r="E151" i="19"/>
  <c r="H150" i="19"/>
  <c r="F150" i="19"/>
  <c r="E150" i="19"/>
  <c r="H149" i="19"/>
  <c r="F149" i="19"/>
  <c r="E149" i="19"/>
  <c r="H148" i="19"/>
  <c r="F148" i="19"/>
  <c r="E148" i="19"/>
  <c r="H147" i="19"/>
  <c r="F147" i="19"/>
  <c r="E147" i="19"/>
  <c r="H146" i="19"/>
  <c r="F146" i="19"/>
  <c r="E146" i="19"/>
  <c r="H145" i="19"/>
  <c r="F145" i="19"/>
  <c r="E145" i="19"/>
  <c r="H144" i="19"/>
  <c r="F144" i="19"/>
  <c r="E144" i="19"/>
  <c r="H143" i="19"/>
  <c r="F143" i="19"/>
  <c r="E143" i="19"/>
  <c r="H142" i="19"/>
  <c r="F142" i="19"/>
  <c r="E142" i="19"/>
  <c r="H141" i="19"/>
  <c r="F141" i="19"/>
  <c r="E141" i="19"/>
  <c r="H140" i="19"/>
  <c r="F140" i="19"/>
  <c r="E140" i="19"/>
  <c r="H139" i="19"/>
  <c r="F139" i="19"/>
  <c r="E139" i="19"/>
  <c r="H138" i="19"/>
  <c r="F138" i="19"/>
  <c r="E138" i="19"/>
  <c r="H137" i="19"/>
  <c r="F137" i="19"/>
  <c r="E137" i="19"/>
  <c r="H136" i="19"/>
  <c r="F136" i="19"/>
  <c r="E136" i="19"/>
  <c r="H135" i="19"/>
  <c r="F135" i="19"/>
  <c r="E135" i="19"/>
  <c r="H134" i="19"/>
  <c r="F134" i="19"/>
  <c r="E134" i="19"/>
  <c r="H133" i="19"/>
  <c r="F133" i="19"/>
  <c r="E133" i="19"/>
  <c r="H132" i="19"/>
  <c r="F132" i="19"/>
  <c r="E132" i="19"/>
  <c r="H131" i="19"/>
  <c r="F131" i="19"/>
  <c r="E131" i="19"/>
  <c r="H130" i="19"/>
  <c r="F130" i="19"/>
  <c r="E130" i="19"/>
  <c r="H129" i="19"/>
  <c r="F129" i="19"/>
  <c r="E129" i="19"/>
  <c r="H128" i="19"/>
  <c r="F128" i="19"/>
  <c r="E128" i="19"/>
  <c r="H127" i="19"/>
  <c r="F127" i="19"/>
  <c r="E127" i="19"/>
  <c r="H126" i="19"/>
  <c r="F126" i="19"/>
  <c r="E126" i="19"/>
  <c r="H125" i="19"/>
  <c r="F125" i="19"/>
  <c r="E125" i="19"/>
  <c r="C125" i="19"/>
  <c r="C126" i="19" s="1"/>
  <c r="C127" i="19" s="1"/>
  <c r="C128" i="19" s="1"/>
  <c r="C129" i="19" s="1"/>
  <c r="C130" i="19" s="1"/>
  <c r="C131" i="19" s="1"/>
  <c r="C132" i="19" s="1"/>
  <c r="C133" i="19" s="1"/>
  <c r="C134" i="19" s="1"/>
  <c r="C135" i="19" s="1"/>
  <c r="C136" i="19" s="1"/>
  <c r="C137" i="19" s="1"/>
  <c r="C138" i="19" s="1"/>
  <c r="C139" i="19" s="1"/>
  <c r="C140" i="19" s="1"/>
  <c r="C141" i="19" s="1"/>
  <c r="C142" i="19" s="1"/>
  <c r="C143" i="19" s="1"/>
  <c r="C144" i="19" s="1"/>
  <c r="C145" i="19" s="1"/>
  <c r="C146" i="19" s="1"/>
  <c r="C147" i="19" s="1"/>
  <c r="C148" i="19" s="1"/>
  <c r="C149" i="19" s="1"/>
  <c r="C150" i="19" s="1"/>
  <c r="C151" i="19" s="1"/>
  <c r="H124" i="19"/>
  <c r="F124" i="19"/>
  <c r="E124" i="19"/>
  <c r="H123" i="19"/>
  <c r="K123" i="19" s="1"/>
  <c r="F123" i="19"/>
  <c r="E123" i="19"/>
  <c r="H122" i="19"/>
  <c r="F122" i="19"/>
  <c r="E122" i="19"/>
  <c r="H121" i="19"/>
  <c r="F121" i="19"/>
  <c r="E121" i="19"/>
  <c r="H120" i="19"/>
  <c r="F120" i="19"/>
  <c r="E120" i="19"/>
  <c r="H119" i="19"/>
  <c r="F119" i="19"/>
  <c r="E119" i="19"/>
  <c r="H118" i="19"/>
  <c r="F118" i="19"/>
  <c r="E118" i="19"/>
  <c r="H117" i="19"/>
  <c r="F117" i="19"/>
  <c r="E117" i="19"/>
  <c r="H116" i="19"/>
  <c r="F116" i="19"/>
  <c r="E116" i="19"/>
  <c r="H115" i="19"/>
  <c r="F115" i="19"/>
  <c r="E115" i="19"/>
  <c r="H114" i="19"/>
  <c r="F114" i="19"/>
  <c r="E114" i="19"/>
  <c r="H113" i="19"/>
  <c r="F113" i="19"/>
  <c r="E113" i="19"/>
  <c r="H112" i="19"/>
  <c r="F112" i="19"/>
  <c r="E112" i="19"/>
  <c r="H111" i="19"/>
  <c r="F111" i="19"/>
  <c r="E111" i="19"/>
  <c r="H110" i="19"/>
  <c r="F110" i="19"/>
  <c r="E110" i="19"/>
  <c r="C110" i="19"/>
  <c r="C111" i="19" s="1"/>
  <c r="C112" i="19" s="1"/>
  <c r="C113" i="19" s="1"/>
  <c r="C114" i="19" s="1"/>
  <c r="C115" i="19" s="1"/>
  <c r="C116" i="19" s="1"/>
  <c r="C117" i="19" s="1"/>
  <c r="C118" i="19" s="1"/>
  <c r="C119" i="19" s="1"/>
  <c r="C120" i="19" s="1"/>
  <c r="C121" i="19" s="1"/>
  <c r="C122" i="19" s="1"/>
  <c r="C123" i="19" s="1"/>
  <c r="H109" i="19"/>
  <c r="F109" i="19"/>
  <c r="E109" i="19"/>
  <c r="C109" i="19"/>
  <c r="H108" i="19"/>
  <c r="F108" i="19"/>
  <c r="E108" i="19"/>
  <c r="H107" i="19"/>
  <c r="K107" i="19" s="1"/>
  <c r="F107" i="19"/>
  <c r="E107" i="19"/>
  <c r="H106" i="19"/>
  <c r="F106" i="19"/>
  <c r="E106" i="19"/>
  <c r="H105" i="19"/>
  <c r="F105" i="19"/>
  <c r="E105" i="19"/>
  <c r="H104" i="19"/>
  <c r="F104" i="19"/>
  <c r="E104" i="19"/>
  <c r="H103" i="19"/>
  <c r="F103" i="19"/>
  <c r="E103" i="19"/>
  <c r="H102" i="19"/>
  <c r="F102" i="19"/>
  <c r="E102" i="19"/>
  <c r="H101" i="19"/>
  <c r="F101" i="19"/>
  <c r="E101" i="19"/>
  <c r="H100" i="19"/>
  <c r="F100" i="19"/>
  <c r="E100" i="19"/>
  <c r="H99" i="19"/>
  <c r="F99" i="19"/>
  <c r="E99" i="19"/>
  <c r="H98" i="19"/>
  <c r="F98" i="19"/>
  <c r="E98" i="19"/>
  <c r="H97" i="19"/>
  <c r="F97" i="19"/>
  <c r="E97" i="19"/>
  <c r="H96" i="19"/>
  <c r="F96" i="19"/>
  <c r="E96" i="19"/>
  <c r="H95" i="19"/>
  <c r="F95" i="19"/>
  <c r="E95" i="19"/>
  <c r="H94" i="19"/>
  <c r="F94" i="19"/>
  <c r="E94" i="19"/>
  <c r="H93" i="19"/>
  <c r="F93" i="19"/>
  <c r="E93" i="19"/>
  <c r="C93" i="19"/>
  <c r="C94" i="19" s="1"/>
  <c r="C95" i="19" s="1"/>
  <c r="C96" i="19" s="1"/>
  <c r="C97" i="19" s="1"/>
  <c r="C98" i="19" s="1"/>
  <c r="C99" i="19" s="1"/>
  <c r="C100" i="19" s="1"/>
  <c r="C101" i="19" s="1"/>
  <c r="C102" i="19" s="1"/>
  <c r="C103" i="19" s="1"/>
  <c r="C104" i="19" s="1"/>
  <c r="C105" i="19" s="1"/>
  <c r="C106" i="19" s="1"/>
  <c r="C107" i="19" s="1"/>
  <c r="H92" i="19"/>
  <c r="F92" i="19"/>
  <c r="E92" i="19"/>
  <c r="H91" i="19"/>
  <c r="K91" i="19" s="1"/>
  <c r="F91" i="19"/>
  <c r="E91" i="19"/>
  <c r="H90" i="19"/>
  <c r="F90" i="19"/>
  <c r="E90" i="19"/>
  <c r="H89" i="19"/>
  <c r="F89" i="19"/>
  <c r="E89" i="19"/>
  <c r="H88" i="19"/>
  <c r="F88" i="19"/>
  <c r="E88" i="19"/>
  <c r="H87" i="19"/>
  <c r="F87" i="19"/>
  <c r="E87" i="19"/>
  <c r="H86" i="19"/>
  <c r="F86" i="19"/>
  <c r="E86" i="19"/>
  <c r="H85" i="19"/>
  <c r="F85" i="19"/>
  <c r="E85" i="19"/>
  <c r="H84" i="19"/>
  <c r="F84" i="19"/>
  <c r="E84" i="19"/>
  <c r="H83" i="19"/>
  <c r="F83" i="19"/>
  <c r="E83" i="19"/>
  <c r="H82" i="19"/>
  <c r="F82" i="19"/>
  <c r="E82" i="19"/>
  <c r="H81" i="19"/>
  <c r="F81" i="19"/>
  <c r="E81" i="19"/>
  <c r="H80" i="19"/>
  <c r="F80" i="19"/>
  <c r="E80" i="19"/>
  <c r="H79" i="19"/>
  <c r="F79" i="19"/>
  <c r="E79" i="19"/>
  <c r="H78" i="19"/>
  <c r="F78" i="19"/>
  <c r="E78" i="19"/>
  <c r="H77" i="19"/>
  <c r="F77" i="19"/>
  <c r="E77" i="19"/>
  <c r="H76" i="19"/>
  <c r="F76" i="19"/>
  <c r="E76" i="19"/>
  <c r="H75" i="19"/>
  <c r="F75" i="19"/>
  <c r="E75" i="19"/>
  <c r="H74" i="19"/>
  <c r="F74" i="19"/>
  <c r="E74" i="19"/>
  <c r="H73" i="19"/>
  <c r="F73" i="19"/>
  <c r="E73" i="19"/>
  <c r="H72" i="19"/>
  <c r="F72" i="19"/>
  <c r="E72" i="19"/>
  <c r="C72" i="19"/>
  <c r="C73" i="19" s="1"/>
  <c r="C74" i="19" s="1"/>
  <c r="C75" i="19" s="1"/>
  <c r="C76" i="19" s="1"/>
  <c r="C77" i="19" s="1"/>
  <c r="C78" i="19" s="1"/>
  <c r="C79" i="19" s="1"/>
  <c r="C80" i="19" s="1"/>
  <c r="C81" i="19" s="1"/>
  <c r="C82" i="19" s="1"/>
  <c r="C83" i="19" s="1"/>
  <c r="C84" i="19" s="1"/>
  <c r="C85" i="19" s="1"/>
  <c r="C86" i="19" s="1"/>
  <c r="C87" i="19" s="1"/>
  <c r="C88" i="19" s="1"/>
  <c r="C89" i="19" s="1"/>
  <c r="C90" i="19" s="1"/>
  <c r="C91" i="19" s="1"/>
  <c r="H71" i="19"/>
  <c r="F71" i="19"/>
  <c r="E71" i="19"/>
  <c r="H70" i="19"/>
  <c r="K70" i="19" s="1"/>
  <c r="F70" i="19"/>
  <c r="E70" i="19"/>
  <c r="H69" i="19"/>
  <c r="F69" i="19"/>
  <c r="E69" i="19"/>
  <c r="H68" i="19"/>
  <c r="F68" i="19"/>
  <c r="E68" i="19"/>
  <c r="H67" i="19"/>
  <c r="F67" i="19"/>
  <c r="E67" i="19"/>
  <c r="H66" i="19"/>
  <c r="F66" i="19"/>
  <c r="E66" i="19"/>
  <c r="H65" i="19"/>
  <c r="F65" i="19"/>
  <c r="E65" i="19"/>
  <c r="H64" i="19"/>
  <c r="F64" i="19"/>
  <c r="E64" i="19"/>
  <c r="H63" i="19"/>
  <c r="F63" i="19"/>
  <c r="E63" i="19"/>
  <c r="H62" i="19"/>
  <c r="F62" i="19"/>
  <c r="E62" i="19"/>
  <c r="H61" i="19"/>
  <c r="F61" i="19"/>
  <c r="E61" i="19"/>
  <c r="H60" i="19"/>
  <c r="F60" i="19"/>
  <c r="E60" i="19"/>
  <c r="H59" i="19"/>
  <c r="F59" i="19"/>
  <c r="E59" i="19"/>
  <c r="H58" i="19"/>
  <c r="F58" i="19"/>
  <c r="E58" i="19"/>
  <c r="H57" i="19"/>
  <c r="F57" i="19"/>
  <c r="E57" i="19"/>
  <c r="H56" i="19"/>
  <c r="F56" i="19"/>
  <c r="E56" i="19"/>
  <c r="H55" i="19"/>
  <c r="F55" i="19"/>
  <c r="E55" i="19"/>
  <c r="H54" i="19"/>
  <c r="F54" i="19"/>
  <c r="E54" i="19"/>
  <c r="H53" i="19"/>
  <c r="F53" i="19"/>
  <c r="E53" i="19"/>
  <c r="H52" i="19"/>
  <c r="F52" i="19"/>
  <c r="E52" i="19"/>
  <c r="H51" i="19"/>
  <c r="F51" i="19"/>
  <c r="E51" i="19"/>
  <c r="C51" i="19"/>
  <c r="C52" i="19" s="1"/>
  <c r="C53" i="19" s="1"/>
  <c r="C54" i="19" s="1"/>
  <c r="C55" i="19" s="1"/>
  <c r="C56" i="19" s="1"/>
  <c r="C57" i="19" s="1"/>
  <c r="C58" i="19" s="1"/>
  <c r="C59" i="19" s="1"/>
  <c r="C60" i="19" s="1"/>
  <c r="C61" i="19" s="1"/>
  <c r="C62" i="19" s="1"/>
  <c r="C63" i="19" s="1"/>
  <c r="C64" i="19" s="1"/>
  <c r="C65" i="19" s="1"/>
  <c r="C66" i="19" s="1"/>
  <c r="C67" i="19" s="1"/>
  <c r="C68" i="19" s="1"/>
  <c r="C69" i="19" s="1"/>
  <c r="C70" i="19" s="1"/>
  <c r="H50" i="19"/>
  <c r="F50" i="19"/>
  <c r="E50" i="19"/>
  <c r="H49" i="19"/>
  <c r="K49" i="19" s="1"/>
  <c r="F49" i="19"/>
  <c r="E49" i="19"/>
  <c r="H48" i="19"/>
  <c r="F48" i="19"/>
  <c r="E48" i="19"/>
  <c r="H47" i="19"/>
  <c r="F47" i="19"/>
  <c r="E47" i="19"/>
  <c r="H46" i="19"/>
  <c r="F46" i="19"/>
  <c r="E46" i="19"/>
  <c r="H45" i="19"/>
  <c r="F45" i="19"/>
  <c r="E45" i="19"/>
  <c r="H44" i="19"/>
  <c r="F44" i="19"/>
  <c r="E44" i="19"/>
  <c r="H43" i="19"/>
  <c r="F43" i="19"/>
  <c r="E43" i="19"/>
  <c r="H42" i="19"/>
  <c r="F42" i="19"/>
  <c r="E42" i="19"/>
  <c r="H41" i="19"/>
  <c r="F41" i="19"/>
  <c r="E41" i="19"/>
  <c r="H40" i="19"/>
  <c r="F40" i="19"/>
  <c r="E40" i="19"/>
  <c r="H39" i="19"/>
  <c r="F39" i="19"/>
  <c r="E39" i="19"/>
  <c r="H38" i="19"/>
  <c r="F38" i="19"/>
  <c r="E38" i="19"/>
  <c r="C38" i="19"/>
  <c r="C39" i="19" s="1"/>
  <c r="C40" i="19" s="1"/>
  <c r="C41" i="19" s="1"/>
  <c r="C42" i="19" s="1"/>
  <c r="C43" i="19" s="1"/>
  <c r="C44" i="19" s="1"/>
  <c r="C45" i="19" s="1"/>
  <c r="C46" i="19" s="1"/>
  <c r="C47" i="19" s="1"/>
  <c r="C48" i="19" s="1"/>
  <c r="C49" i="19" s="1"/>
  <c r="H37" i="19"/>
  <c r="F37" i="19"/>
  <c r="E37" i="19"/>
  <c r="H36" i="19"/>
  <c r="K36" i="19" s="1"/>
  <c r="F36" i="19"/>
  <c r="E36" i="19"/>
  <c r="H35" i="19"/>
  <c r="F35" i="19"/>
  <c r="E35" i="19"/>
  <c r="H34" i="19"/>
  <c r="F34" i="19"/>
  <c r="E34" i="19"/>
  <c r="H33" i="19"/>
  <c r="F33" i="19"/>
  <c r="E33" i="19"/>
  <c r="H32" i="19"/>
  <c r="F32" i="19"/>
  <c r="E32" i="19"/>
  <c r="H31" i="19"/>
  <c r="F31" i="19"/>
  <c r="E31" i="19"/>
  <c r="H30" i="19"/>
  <c r="F30" i="19"/>
  <c r="E30" i="19"/>
  <c r="H29" i="19"/>
  <c r="F29" i="19"/>
  <c r="E29" i="19"/>
  <c r="H28" i="19"/>
  <c r="F28" i="19"/>
  <c r="E28" i="19"/>
  <c r="H27" i="19"/>
  <c r="F27" i="19"/>
  <c r="E27" i="19"/>
  <c r="C27" i="19"/>
  <c r="C28" i="19" s="1"/>
  <c r="C29" i="19" s="1"/>
  <c r="C30" i="19" s="1"/>
  <c r="C31" i="19" s="1"/>
  <c r="C32" i="19" s="1"/>
  <c r="C33" i="19" s="1"/>
  <c r="C34" i="19" s="1"/>
  <c r="C35" i="19" s="1"/>
  <c r="C36" i="19" s="1"/>
  <c r="H26" i="19"/>
  <c r="F26" i="19"/>
  <c r="E26" i="19"/>
  <c r="H25" i="19"/>
  <c r="K25" i="19" s="1"/>
  <c r="F25" i="19"/>
  <c r="E25" i="19"/>
  <c r="H24" i="19"/>
  <c r="F24" i="19"/>
  <c r="E24" i="19"/>
  <c r="H23" i="19"/>
  <c r="F23" i="19"/>
  <c r="E23" i="19"/>
  <c r="H22" i="19"/>
  <c r="F22" i="19"/>
  <c r="E22" i="19"/>
  <c r="H21" i="19"/>
  <c r="F21" i="19"/>
  <c r="E21" i="19"/>
  <c r="H20" i="19"/>
  <c r="F20" i="19"/>
  <c r="E20" i="19"/>
  <c r="H19" i="19"/>
  <c r="F19" i="19"/>
  <c r="E19" i="19"/>
  <c r="H18" i="19"/>
  <c r="F18" i="19"/>
  <c r="E18" i="19"/>
  <c r="H17" i="19"/>
  <c r="F17" i="19"/>
  <c r="E17" i="19"/>
  <c r="H16" i="19"/>
  <c r="F16" i="19"/>
  <c r="E16" i="19"/>
  <c r="H15" i="19"/>
  <c r="F15" i="19"/>
  <c r="E15" i="19"/>
  <c r="H14" i="19"/>
  <c r="F14" i="19"/>
  <c r="E14" i="19"/>
  <c r="C14" i="19"/>
  <c r="C15" i="19" s="1"/>
  <c r="C16" i="19" s="1"/>
  <c r="C17" i="19" s="1"/>
  <c r="C18" i="19" s="1"/>
  <c r="C19" i="19" s="1"/>
  <c r="C20" i="19" s="1"/>
  <c r="C21" i="19" s="1"/>
  <c r="C22" i="19" s="1"/>
  <c r="C23" i="19" s="1"/>
  <c r="C24" i="19" s="1"/>
  <c r="C25" i="19" s="1"/>
  <c r="H13" i="19"/>
  <c r="F13" i="19"/>
  <c r="E13" i="19"/>
  <c r="F12" i="19"/>
  <c r="E12" i="19"/>
  <c r="F11" i="19"/>
  <c r="E11" i="19"/>
  <c r="F10" i="19"/>
  <c r="E10" i="19"/>
  <c r="E9" i="19"/>
  <c r="F9" i="19" s="1"/>
  <c r="E8" i="19"/>
  <c r="F8" i="19" s="1"/>
  <c r="E7" i="19"/>
  <c r="F7" i="19" s="1"/>
  <c r="E6" i="19"/>
  <c r="F6" i="19" s="1"/>
  <c r="E5" i="19"/>
  <c r="F5" i="19" s="1"/>
  <c r="F4" i="19"/>
  <c r="E4" i="19"/>
  <c r="E3" i="19"/>
  <c r="F3" i="19" s="1"/>
  <c r="C3" i="19"/>
  <c r="C4" i="19" s="1"/>
  <c r="C5" i="19" s="1"/>
  <c r="C6" i="19" s="1"/>
  <c r="C7" i="19" s="1"/>
  <c r="C8" i="19" s="1"/>
  <c r="C9" i="19" s="1"/>
  <c r="C10" i="19" s="1"/>
  <c r="C11" i="19" s="1"/>
  <c r="C12" i="19" s="1"/>
  <c r="H2" i="19"/>
  <c r="E2" i="19"/>
  <c r="F2" i="19" s="1"/>
  <c r="K3" i="18"/>
  <c r="I116" i="7"/>
  <c r="I115" i="7"/>
  <c r="U195" i="9"/>
  <c r="U177" i="9"/>
  <c r="U179" i="9"/>
  <c r="U178" i="9"/>
  <c r="U144" i="9"/>
  <c r="U149" i="9"/>
  <c r="U140" i="9"/>
  <c r="U72" i="9"/>
  <c r="U71" i="9"/>
  <c r="U90" i="9"/>
  <c r="U70" i="9"/>
  <c r="U69" i="9"/>
  <c r="U68" i="9"/>
  <c r="U39" i="9"/>
  <c r="U63" i="9"/>
  <c r="U62" i="9"/>
  <c r="U58" i="9"/>
  <c r="U45" i="9"/>
  <c r="U44" i="9"/>
  <c r="U43" i="9"/>
  <c r="U49" i="9"/>
  <c r="U38" i="9"/>
  <c r="U37" i="9"/>
  <c r="U20" i="9"/>
  <c r="U21" i="9"/>
  <c r="H69" i="18"/>
  <c r="F69" i="18"/>
  <c r="H32" i="18"/>
  <c r="F32" i="18"/>
  <c r="F36" i="18"/>
  <c r="T32" i="18"/>
  <c r="S32" i="18"/>
  <c r="I32" i="18"/>
  <c r="M32" i="18" s="1"/>
  <c r="O32" i="18" s="1"/>
  <c r="F25" i="18"/>
  <c r="H36" i="18"/>
  <c r="H47" i="18"/>
  <c r="F47" i="18"/>
  <c r="T47" i="18"/>
  <c r="S47" i="18"/>
  <c r="N47" i="18" s="1"/>
  <c r="I47" i="18"/>
  <c r="M47" i="18" s="1"/>
  <c r="O47" i="18" s="1"/>
  <c r="S67" i="18"/>
  <c r="T67" i="18"/>
  <c r="S68" i="18"/>
  <c r="T68" i="18"/>
  <c r="V68" i="18" s="1"/>
  <c r="S69" i="18"/>
  <c r="T69" i="18"/>
  <c r="S4" i="18"/>
  <c r="S5" i="18"/>
  <c r="N5" i="18" s="1"/>
  <c r="S6" i="18"/>
  <c r="N6" i="18" s="1"/>
  <c r="S7" i="18"/>
  <c r="N7" i="18" s="1"/>
  <c r="S8" i="18"/>
  <c r="N8" i="18" s="1"/>
  <c r="S9" i="18"/>
  <c r="N9" i="18" s="1"/>
  <c r="S10" i="18"/>
  <c r="N10" i="18" s="1"/>
  <c r="S11" i="18"/>
  <c r="N11" i="18" s="1"/>
  <c r="S12" i="18"/>
  <c r="N12" i="18" s="1"/>
  <c r="S13" i="18"/>
  <c r="N13" i="18" s="1"/>
  <c r="S14" i="18"/>
  <c r="S15" i="18"/>
  <c r="S16" i="18"/>
  <c r="S17" i="18"/>
  <c r="N17" i="18" s="1"/>
  <c r="S18" i="18"/>
  <c r="N18" i="18" s="1"/>
  <c r="S19" i="18"/>
  <c r="N19" i="18" s="1"/>
  <c r="S20" i="18"/>
  <c r="N20" i="18" s="1"/>
  <c r="S21" i="18"/>
  <c r="N21" i="18" s="1"/>
  <c r="S22" i="18"/>
  <c r="N22" i="18" s="1"/>
  <c r="S23" i="18"/>
  <c r="N23" i="18" s="1"/>
  <c r="S24" i="18"/>
  <c r="N24" i="18" s="1"/>
  <c r="S25" i="18"/>
  <c r="N25" i="18" s="1"/>
  <c r="S26" i="18"/>
  <c r="S27" i="18"/>
  <c r="S28" i="18"/>
  <c r="S29" i="18"/>
  <c r="N29" i="18" s="1"/>
  <c r="S30" i="18"/>
  <c r="N30" i="18" s="1"/>
  <c r="S31" i="18"/>
  <c r="N31" i="18" s="1"/>
  <c r="S33" i="18"/>
  <c r="N33" i="18" s="1"/>
  <c r="S34" i="18"/>
  <c r="N34" i="18" s="1"/>
  <c r="S36" i="18"/>
  <c r="N36" i="18" s="1"/>
  <c r="S35" i="18"/>
  <c r="N35" i="18" s="1"/>
  <c r="S37" i="18"/>
  <c r="N37" i="18" s="1"/>
  <c r="S38" i="18"/>
  <c r="N38" i="18" s="1"/>
  <c r="S39" i="18"/>
  <c r="S40" i="18"/>
  <c r="S41" i="18"/>
  <c r="S42" i="18"/>
  <c r="N42" i="18" s="1"/>
  <c r="S43" i="18"/>
  <c r="N43" i="18" s="1"/>
  <c r="S44" i="18"/>
  <c r="N44" i="18" s="1"/>
  <c r="S45" i="18"/>
  <c r="N45" i="18" s="1"/>
  <c r="S46" i="18"/>
  <c r="N46" i="18" s="1"/>
  <c r="S48" i="18"/>
  <c r="N48" i="18" s="1"/>
  <c r="S49" i="18"/>
  <c r="N49" i="18" s="1"/>
  <c r="S50" i="18"/>
  <c r="N50" i="18" s="1"/>
  <c r="S51" i="18"/>
  <c r="N51" i="18" s="1"/>
  <c r="S52" i="18"/>
  <c r="S53" i="18"/>
  <c r="S54" i="18"/>
  <c r="S55" i="18"/>
  <c r="N55" i="18" s="1"/>
  <c r="S56" i="18"/>
  <c r="N56" i="18" s="1"/>
  <c r="S57" i="18"/>
  <c r="N57" i="18" s="1"/>
  <c r="S58" i="18"/>
  <c r="N58" i="18" s="1"/>
  <c r="S59" i="18"/>
  <c r="N59" i="18" s="1"/>
  <c r="S60" i="18"/>
  <c r="N60" i="18" s="1"/>
  <c r="S61" i="18"/>
  <c r="N61" i="18" s="1"/>
  <c r="S62" i="18"/>
  <c r="N62" i="18" s="1"/>
  <c r="S63" i="18"/>
  <c r="N63" i="18" s="1"/>
  <c r="S64" i="18"/>
  <c r="S65" i="18"/>
  <c r="S66" i="18"/>
  <c r="M56" i="18"/>
  <c r="O56" i="18" s="1"/>
  <c r="M57" i="18"/>
  <c r="O57" i="18" s="1"/>
  <c r="M67" i="18"/>
  <c r="O67" i="18" s="1"/>
  <c r="K61" i="18"/>
  <c r="Y61" i="18" s="1"/>
  <c r="I4" i="18"/>
  <c r="L4" i="18" s="1"/>
  <c r="I5" i="18"/>
  <c r="K5" i="18" s="1"/>
  <c r="Y5" i="18" s="1"/>
  <c r="I6" i="18"/>
  <c r="K6" i="18" s="1"/>
  <c r="Y6" i="18" s="1"/>
  <c r="I7" i="18"/>
  <c r="K7" i="18" s="1"/>
  <c r="Y7" i="18" s="1"/>
  <c r="I8" i="18"/>
  <c r="I9" i="18"/>
  <c r="I10" i="18"/>
  <c r="L10" i="18" s="1"/>
  <c r="I11" i="18"/>
  <c r="L11" i="18" s="1"/>
  <c r="I12" i="18"/>
  <c r="M12" i="18" s="1"/>
  <c r="I13" i="18"/>
  <c r="K13" i="18" s="1"/>
  <c r="Y13" i="18" s="1"/>
  <c r="I14" i="18"/>
  <c r="M14" i="18" s="1"/>
  <c r="I15" i="18"/>
  <c r="M15" i="18" s="1"/>
  <c r="I16" i="18"/>
  <c r="L16" i="18" s="1"/>
  <c r="I17" i="18"/>
  <c r="L17" i="18" s="1"/>
  <c r="I18" i="18"/>
  <c r="K18" i="18" s="1"/>
  <c r="Y18" i="18" s="1"/>
  <c r="I19" i="18"/>
  <c r="K19" i="18" s="1"/>
  <c r="Y19" i="18" s="1"/>
  <c r="I20" i="18"/>
  <c r="L20" i="18" s="1"/>
  <c r="I21" i="18"/>
  <c r="L21" i="18" s="1"/>
  <c r="I22" i="18"/>
  <c r="L22" i="18" s="1"/>
  <c r="I23" i="18"/>
  <c r="L23" i="18" s="1"/>
  <c r="I24" i="18"/>
  <c r="M24" i="18" s="1"/>
  <c r="I25" i="18"/>
  <c r="I26" i="18"/>
  <c r="M26" i="18" s="1"/>
  <c r="I27" i="18"/>
  <c r="M27" i="18" s="1"/>
  <c r="I28" i="18"/>
  <c r="I29" i="18"/>
  <c r="L29" i="18" s="1"/>
  <c r="I30" i="18"/>
  <c r="K30" i="18" s="1"/>
  <c r="Y30" i="18" s="1"/>
  <c r="I31" i="18"/>
  <c r="K31" i="18" s="1"/>
  <c r="I33" i="18"/>
  <c r="L33" i="18" s="1"/>
  <c r="I34" i="18"/>
  <c r="L34" i="18" s="1"/>
  <c r="I36" i="18"/>
  <c r="M36" i="18" s="1"/>
  <c r="O36" i="18" s="1"/>
  <c r="I35" i="18"/>
  <c r="L35" i="18" s="1"/>
  <c r="I37" i="18"/>
  <c r="I38" i="18"/>
  <c r="I39" i="18"/>
  <c r="M39" i="18" s="1"/>
  <c r="I40" i="18"/>
  <c r="M40" i="18" s="1"/>
  <c r="I41" i="18"/>
  <c r="K41" i="18" s="1"/>
  <c r="Y41" i="18" s="1"/>
  <c r="I42" i="18"/>
  <c r="K42" i="18" s="1"/>
  <c r="Y42" i="18" s="1"/>
  <c r="I43" i="18"/>
  <c r="K43" i="18" s="1"/>
  <c r="Y43" i="18" s="1"/>
  <c r="I44" i="18"/>
  <c r="K44" i="18" s="1"/>
  <c r="Y44" i="18" s="1"/>
  <c r="I45" i="18"/>
  <c r="I46" i="18"/>
  <c r="I48" i="18"/>
  <c r="I49" i="18"/>
  <c r="L49" i="18" s="1"/>
  <c r="I50" i="18"/>
  <c r="M50" i="18" s="1"/>
  <c r="I51" i="18"/>
  <c r="M51" i="18" s="1"/>
  <c r="I52" i="18"/>
  <c r="M52" i="18" s="1"/>
  <c r="I53" i="18"/>
  <c r="M53" i="18" s="1"/>
  <c r="I54" i="18"/>
  <c r="K54" i="18" s="1"/>
  <c r="Y54" i="18" s="1"/>
  <c r="I55" i="18"/>
  <c r="L55" i="18" s="1"/>
  <c r="I56" i="18"/>
  <c r="I57" i="18"/>
  <c r="K57" i="18" s="1"/>
  <c r="Y57" i="18" s="1"/>
  <c r="I58" i="18"/>
  <c r="M58" i="18" s="1"/>
  <c r="I59" i="18"/>
  <c r="M59" i="18" s="1"/>
  <c r="I60" i="18"/>
  <c r="L60" i="18" s="1"/>
  <c r="I61" i="18"/>
  <c r="L61" i="18" s="1"/>
  <c r="I62" i="18"/>
  <c r="M62" i="18" s="1"/>
  <c r="I63" i="18"/>
  <c r="M63" i="18" s="1"/>
  <c r="I64" i="18"/>
  <c r="M64" i="18" s="1"/>
  <c r="I65" i="18"/>
  <c r="M65" i="18" s="1"/>
  <c r="I66" i="18"/>
  <c r="L66" i="18" s="1"/>
  <c r="I67" i="18"/>
  <c r="K67" i="18" s="1"/>
  <c r="Y67" i="18" s="1"/>
  <c r="I68" i="18"/>
  <c r="L68" i="18" s="1"/>
  <c r="S3" i="18"/>
  <c r="N3" i="18" s="1"/>
  <c r="F51" i="18"/>
  <c r="H51" i="18"/>
  <c r="H48" i="18"/>
  <c r="F48" i="18"/>
  <c r="T48" i="18"/>
  <c r="H9" i="19" l="1"/>
  <c r="H8" i="19"/>
  <c r="H5" i="19"/>
  <c r="H10" i="19"/>
  <c r="H4" i="19"/>
  <c r="H7" i="19"/>
  <c r="H12" i="19"/>
  <c r="M9" i="19" s="1"/>
  <c r="H6" i="19"/>
  <c r="H3" i="19"/>
  <c r="H11" i="19"/>
  <c r="M34" i="18"/>
  <c r="O34" i="18" s="1"/>
  <c r="K33" i="18"/>
  <c r="Y33" i="18" s="1"/>
  <c r="K34" i="18"/>
  <c r="Y34" i="18" s="1"/>
  <c r="K10" i="18"/>
  <c r="Y10" i="18" s="1"/>
  <c r="V32" i="18"/>
  <c r="M44" i="18"/>
  <c r="O44" i="18" s="1"/>
  <c r="K32" i="18"/>
  <c r="Y32" i="18" s="1"/>
  <c r="M35" i="18"/>
  <c r="O35" i="18" s="1"/>
  <c r="L32" i="18"/>
  <c r="Z32" i="18" s="1"/>
  <c r="X32" i="18"/>
  <c r="K60" i="18"/>
  <c r="Y60" i="18" s="1"/>
  <c r="N32" i="18"/>
  <c r="L67" i="18"/>
  <c r="M11" i="18"/>
  <c r="O11" i="18" s="1"/>
  <c r="L57" i="18"/>
  <c r="M10" i="18"/>
  <c r="O10" i="18" s="1"/>
  <c r="V69" i="18"/>
  <c r="W69" i="18" s="1"/>
  <c r="X69" i="18" s="1"/>
  <c r="W32" i="18"/>
  <c r="L31" i="18"/>
  <c r="L30" i="18"/>
  <c r="W68" i="18"/>
  <c r="X68" i="18" s="1"/>
  <c r="L52" i="18"/>
  <c r="K52" i="18"/>
  <c r="Y52" i="18" s="1"/>
  <c r="K20" i="18"/>
  <c r="Y20" i="18" s="1"/>
  <c r="M22" i="18"/>
  <c r="O22" i="18" s="1"/>
  <c r="K15" i="18"/>
  <c r="Y15" i="18" s="1"/>
  <c r="L14" i="18"/>
  <c r="M21" i="18"/>
  <c r="O21" i="18" s="1"/>
  <c r="L15" i="18"/>
  <c r="V48" i="18"/>
  <c r="K14" i="18"/>
  <c r="Y14" i="18" s="1"/>
  <c r="M20" i="18"/>
  <c r="O20" i="18" s="1"/>
  <c r="K53" i="18"/>
  <c r="Y53" i="18" s="1"/>
  <c r="M41" i="18"/>
  <c r="O41" i="18" s="1"/>
  <c r="K21" i="18"/>
  <c r="Y21" i="18" s="1"/>
  <c r="M33" i="18"/>
  <c r="O33" i="18" s="1"/>
  <c r="K24" i="18"/>
  <c r="Y24" i="18" s="1"/>
  <c r="L41" i="18"/>
  <c r="L13" i="18"/>
  <c r="K47" i="18"/>
  <c r="Y47" i="18" s="1"/>
  <c r="L63" i="18"/>
  <c r="L47" i="18"/>
  <c r="Z47" i="18" s="1"/>
  <c r="L42" i="18"/>
  <c r="K63" i="18"/>
  <c r="Y63" i="18" s="1"/>
  <c r="K23" i="18"/>
  <c r="Y23" i="18" s="1"/>
  <c r="L40" i="18"/>
  <c r="L12" i="18"/>
  <c r="M43" i="18"/>
  <c r="O43" i="18" s="1"/>
  <c r="L51" i="18"/>
  <c r="K62" i="18"/>
  <c r="Y62" i="18" s="1"/>
  <c r="K22" i="18"/>
  <c r="Y22" i="18" s="1"/>
  <c r="L62" i="18"/>
  <c r="L39" i="18"/>
  <c r="L5" i="18"/>
  <c r="M42" i="18"/>
  <c r="O42" i="18" s="1"/>
  <c r="M13" i="18"/>
  <c r="O13" i="18" s="1"/>
  <c r="L54" i="18"/>
  <c r="L48" i="18"/>
  <c r="L53" i="18"/>
  <c r="K50" i="18"/>
  <c r="Y50" i="18" s="1"/>
  <c r="L18" i="18"/>
  <c r="M60" i="18"/>
  <c r="O60" i="18" s="1"/>
  <c r="K48" i="18"/>
  <c r="Y48" i="18" s="1"/>
  <c r="K12" i="18"/>
  <c r="Y12" i="18" s="1"/>
  <c r="L50" i="18"/>
  <c r="M31" i="18"/>
  <c r="O31" i="18" s="1"/>
  <c r="K36" i="18"/>
  <c r="Y36" i="18" s="1"/>
  <c r="M61" i="18"/>
  <c r="O61" i="18" s="1"/>
  <c r="K35" i="18"/>
  <c r="Y35" i="18" s="1"/>
  <c r="K11" i="18"/>
  <c r="Y11" i="18" s="1"/>
  <c r="L44" i="18"/>
  <c r="M30" i="18"/>
  <c r="O30" i="18" s="1"/>
  <c r="L43" i="18"/>
  <c r="M23" i="18"/>
  <c r="O23" i="18" s="1"/>
  <c r="V67" i="18"/>
  <c r="W67" i="18" s="1"/>
  <c r="X67" i="18" s="1"/>
  <c r="L36" i="18"/>
  <c r="L8" i="18"/>
  <c r="K8" i="18"/>
  <c r="Y8" i="18" s="1"/>
  <c r="M19" i="18"/>
  <c r="O19" i="18" s="1"/>
  <c r="K28" i="18"/>
  <c r="Y28" i="18" s="1"/>
  <c r="M28" i="18"/>
  <c r="O28" i="18" s="1"/>
  <c r="K17" i="18"/>
  <c r="Y17" i="18" s="1"/>
  <c r="M17" i="18"/>
  <c r="O17" i="18" s="1"/>
  <c r="M37" i="18"/>
  <c r="L37" i="18"/>
  <c r="L58" i="18"/>
  <c r="O58" i="18" s="1"/>
  <c r="K58" i="18"/>
  <c r="Y58" i="18" s="1"/>
  <c r="K40" i="18"/>
  <c r="Y40" i="18" s="1"/>
  <c r="K39" i="18"/>
  <c r="Y39" i="18" s="1"/>
  <c r="L26" i="18"/>
  <c r="M48" i="18"/>
  <c r="O48" i="18" s="1"/>
  <c r="M7" i="18"/>
  <c r="O7" i="18" s="1"/>
  <c r="N66" i="18"/>
  <c r="N54" i="18"/>
  <c r="N41" i="18"/>
  <c r="N28" i="18"/>
  <c r="N16" i="18"/>
  <c r="N4" i="18"/>
  <c r="M18" i="18"/>
  <c r="O18" i="18" s="1"/>
  <c r="K27" i="18"/>
  <c r="Y27" i="18" s="1"/>
  <c r="M38" i="18"/>
  <c r="O38" i="18" s="1"/>
  <c r="L38" i="18"/>
  <c r="K16" i="18"/>
  <c r="Y16" i="18" s="1"/>
  <c r="M16" i="18"/>
  <c r="O16" i="18" s="1"/>
  <c r="M25" i="18"/>
  <c r="O25" i="18" s="1"/>
  <c r="K49" i="18"/>
  <c r="Y49" i="18" s="1"/>
  <c r="K68" i="18"/>
  <c r="Y68" i="18" s="1"/>
  <c r="L28" i="18"/>
  <c r="L7" i="18"/>
  <c r="K65" i="18"/>
  <c r="Y65" i="18" s="1"/>
  <c r="L27" i="18"/>
  <c r="M49" i="18"/>
  <c r="O49" i="18" s="1"/>
  <c r="M8" i="18"/>
  <c r="O8" i="18" s="1"/>
  <c r="L46" i="18"/>
  <c r="K46" i="18"/>
  <c r="Y46" i="18" s="1"/>
  <c r="K38" i="18"/>
  <c r="Y38" i="18" s="1"/>
  <c r="M46" i="18"/>
  <c r="O46" i="18" s="1"/>
  <c r="M6" i="18"/>
  <c r="O6" i="18" s="1"/>
  <c r="N65" i="18"/>
  <c r="N53" i="18"/>
  <c r="N40" i="18"/>
  <c r="N27" i="18"/>
  <c r="N15" i="18"/>
  <c r="L9" i="18"/>
  <c r="K9" i="18"/>
  <c r="K29" i="18"/>
  <c r="Y29" i="18" s="1"/>
  <c r="M29" i="18"/>
  <c r="O29" i="18" s="1"/>
  <c r="K51" i="18"/>
  <c r="Y51" i="18" s="1"/>
  <c r="K26" i="18"/>
  <c r="Y26" i="18" s="1"/>
  <c r="L59" i="18"/>
  <c r="O59" i="18" s="1"/>
  <c r="K59" i="18"/>
  <c r="Y59" i="18" s="1"/>
  <c r="M9" i="18"/>
  <c r="L6" i="18"/>
  <c r="L45" i="18"/>
  <c r="K45" i="18"/>
  <c r="Y45" i="18" s="1"/>
  <c r="L65" i="18"/>
  <c r="K66" i="18"/>
  <c r="Y66" i="18" s="1"/>
  <c r="M66" i="18"/>
  <c r="O66" i="18" s="1"/>
  <c r="K55" i="18"/>
  <c r="Y55" i="18" s="1"/>
  <c r="M55" i="18"/>
  <c r="O55" i="18" s="1"/>
  <c r="Y31" i="18"/>
  <c r="K37" i="18"/>
  <c r="Y37" i="18" s="1"/>
  <c r="L19" i="18"/>
  <c r="M68" i="18"/>
  <c r="O68" i="18" s="1"/>
  <c r="M45" i="18"/>
  <c r="N64" i="18"/>
  <c r="N52" i="18"/>
  <c r="N39" i="18"/>
  <c r="N26" i="18"/>
  <c r="N14" i="18"/>
  <c r="M5" i="18"/>
  <c r="O5" i="18" s="1"/>
  <c r="M54" i="18"/>
  <c r="O54" i="18" s="1"/>
  <c r="V47" i="18"/>
  <c r="L24" i="18"/>
  <c r="M4" i="18"/>
  <c r="O4" i="18" s="1"/>
  <c r="K4" i="18"/>
  <c r="Y4" i="18" s="1"/>
  <c r="N68" i="18"/>
  <c r="N67" i="18"/>
  <c r="O65" i="18"/>
  <c r="O53" i="18"/>
  <c r="O40" i="18"/>
  <c r="O15" i="18"/>
  <c r="O64" i="18"/>
  <c r="O52" i="18"/>
  <c r="O39" i="18"/>
  <c r="O26" i="18"/>
  <c r="O27" i="18"/>
  <c r="O63" i="18"/>
  <c r="O51" i="18"/>
  <c r="O62" i="18"/>
  <c r="O50" i="18"/>
  <c r="O24" i="18"/>
  <c r="O12" i="18"/>
  <c r="O14" i="18"/>
  <c r="O37" i="18" l="1"/>
  <c r="W47" i="18"/>
  <c r="X47" i="18" s="1"/>
  <c r="W48" i="18"/>
  <c r="X48" i="18" s="1"/>
  <c r="O9" i="18"/>
  <c r="Y9" i="18"/>
  <c r="O45" i="18"/>
  <c r="Z48" i="18"/>
  <c r="T3" i="18"/>
  <c r="T4" i="18"/>
  <c r="V4" i="18" s="1"/>
  <c r="W4" i="18" s="1"/>
  <c r="I69" i="18"/>
  <c r="I3" i="18"/>
  <c r="H25" i="18"/>
  <c r="L25" i="18" s="1"/>
  <c r="T25" i="18"/>
  <c r="V25" i="18" s="1"/>
  <c r="W25" i="18" s="1"/>
  <c r="H56" i="18"/>
  <c r="F56" i="18"/>
  <c r="T56" i="18"/>
  <c r="V56" i="18" s="1"/>
  <c r="W56" i="18" s="1"/>
  <c r="H64" i="18"/>
  <c r="F64" i="18"/>
  <c r="T64" i="18"/>
  <c r="V64" i="18" s="1"/>
  <c r="W64" i="18" s="1"/>
  <c r="T50" i="18"/>
  <c r="V50" i="18" s="1"/>
  <c r="W50" i="18" s="1"/>
  <c r="T36" i="18"/>
  <c r="V36" i="18" s="1"/>
  <c r="W36" i="18" s="1"/>
  <c r="T7" i="18"/>
  <c r="V7" i="18" s="1"/>
  <c r="W7" i="18" s="1"/>
  <c r="T8" i="18"/>
  <c r="V8" i="18" s="1"/>
  <c r="W8" i="18" s="1"/>
  <c r="T5" i="18"/>
  <c r="V5" i="18" s="1"/>
  <c r="W5" i="18" s="1"/>
  <c r="T9" i="18"/>
  <c r="V9" i="18" s="1"/>
  <c r="W9" i="18" s="1"/>
  <c r="T6" i="18"/>
  <c r="V6" i="18" s="1"/>
  <c r="W6" i="18" s="1"/>
  <c r="T10" i="18"/>
  <c r="V10" i="18" s="1"/>
  <c r="W10" i="18" s="1"/>
  <c r="T15" i="18"/>
  <c r="V15" i="18" s="1"/>
  <c r="W15" i="18" s="1"/>
  <c r="T11" i="18"/>
  <c r="V11" i="18" s="1"/>
  <c r="W11" i="18" s="1"/>
  <c r="T16" i="18"/>
  <c r="V16" i="18" s="1"/>
  <c r="W16" i="18" s="1"/>
  <c r="T12" i="18"/>
  <c r="V12" i="18" s="1"/>
  <c r="W12" i="18" s="1"/>
  <c r="T13" i="18"/>
  <c r="V13" i="18" s="1"/>
  <c r="W13" i="18" s="1"/>
  <c r="T17" i="18"/>
  <c r="V17" i="18" s="1"/>
  <c r="W17" i="18" s="1"/>
  <c r="T14" i="18"/>
  <c r="V14" i="18" s="1"/>
  <c r="W14" i="18" s="1"/>
  <c r="T18" i="18"/>
  <c r="V18" i="18" s="1"/>
  <c r="W18" i="18" s="1"/>
  <c r="T19" i="18"/>
  <c r="V19" i="18" s="1"/>
  <c r="W19" i="18" s="1"/>
  <c r="T26" i="18"/>
  <c r="V26" i="18" s="1"/>
  <c r="W26" i="18" s="1"/>
  <c r="T20" i="18"/>
  <c r="V20" i="18" s="1"/>
  <c r="W20" i="18" s="1"/>
  <c r="T27" i="18"/>
  <c r="V27" i="18" s="1"/>
  <c r="W27" i="18" s="1"/>
  <c r="T21" i="18"/>
  <c r="V21" i="18" s="1"/>
  <c r="W21" i="18" s="1"/>
  <c r="T28" i="18"/>
  <c r="V28" i="18" s="1"/>
  <c r="W28" i="18" s="1"/>
  <c r="T22" i="18"/>
  <c r="V22" i="18" s="1"/>
  <c r="W22" i="18" s="1"/>
  <c r="T29" i="18"/>
  <c r="V29" i="18" s="1"/>
  <c r="W29" i="18" s="1"/>
  <c r="T30" i="18"/>
  <c r="V30" i="18" s="1"/>
  <c r="W30" i="18" s="1"/>
  <c r="T23" i="18"/>
  <c r="V23" i="18" s="1"/>
  <c r="W23" i="18" s="1"/>
  <c r="T24" i="18"/>
  <c r="V24" i="18" s="1"/>
  <c r="W24" i="18" s="1"/>
  <c r="T31" i="18"/>
  <c r="V31" i="18" s="1"/>
  <c r="W31" i="18" s="1"/>
  <c r="T33" i="18"/>
  <c r="V33" i="18" s="1"/>
  <c r="W33" i="18" s="1"/>
  <c r="T52" i="18"/>
  <c r="V52" i="18" s="1"/>
  <c r="W52" i="18" s="1"/>
  <c r="T34" i="18"/>
  <c r="V34" i="18" s="1"/>
  <c r="W34" i="18" s="1"/>
  <c r="T53" i="18"/>
  <c r="V53" i="18" s="1"/>
  <c r="W53" i="18" s="1"/>
  <c r="T35" i="18"/>
  <c r="V35" i="18" s="1"/>
  <c r="W35" i="18" s="1"/>
  <c r="T54" i="18"/>
  <c r="V54" i="18" s="1"/>
  <c r="W54" i="18" s="1"/>
  <c r="T37" i="18"/>
  <c r="V37" i="18" s="1"/>
  <c r="W37" i="18" s="1"/>
  <c r="T55" i="18"/>
  <c r="V55" i="18" s="1"/>
  <c r="W55" i="18" s="1"/>
  <c r="T57" i="18"/>
  <c r="V57" i="18" s="1"/>
  <c r="W57" i="18" s="1"/>
  <c r="T38" i="18"/>
  <c r="V38" i="18" s="1"/>
  <c r="W38" i="18" s="1"/>
  <c r="T39" i="18"/>
  <c r="V39" i="18" s="1"/>
  <c r="W39" i="18" s="1"/>
  <c r="T58" i="18"/>
  <c r="V58" i="18" s="1"/>
  <c r="W58" i="18" s="1"/>
  <c r="T40" i="18"/>
  <c r="V40" i="18" s="1"/>
  <c r="W40" i="18" s="1"/>
  <c r="T59" i="18"/>
  <c r="V59" i="18" s="1"/>
  <c r="W59" i="18" s="1"/>
  <c r="T41" i="18"/>
  <c r="V41" i="18" s="1"/>
  <c r="W41" i="18" s="1"/>
  <c r="T60" i="18"/>
  <c r="V60" i="18" s="1"/>
  <c r="W60" i="18" s="1"/>
  <c r="T61" i="18"/>
  <c r="V61" i="18" s="1"/>
  <c r="W61" i="18" s="1"/>
  <c r="T42" i="18"/>
  <c r="V42" i="18" s="1"/>
  <c r="W42" i="18" s="1"/>
  <c r="T43" i="18"/>
  <c r="V43" i="18" s="1"/>
  <c r="W43" i="18" s="1"/>
  <c r="T62" i="18"/>
  <c r="V62" i="18" s="1"/>
  <c r="W62" i="18" s="1"/>
  <c r="T44" i="18"/>
  <c r="V44" i="18" s="1"/>
  <c r="W44" i="18" s="1"/>
  <c r="T63" i="18"/>
  <c r="V63" i="18" s="1"/>
  <c r="W63" i="18" s="1"/>
  <c r="T45" i="18"/>
  <c r="V45" i="18" s="1"/>
  <c r="W45" i="18" s="1"/>
  <c r="T65" i="18"/>
  <c r="V65" i="18" s="1"/>
  <c r="W65" i="18" s="1"/>
  <c r="T46" i="18"/>
  <c r="V46" i="18" s="1"/>
  <c r="W46" i="18" s="1"/>
  <c r="T66" i="18"/>
  <c r="V66" i="18" s="1"/>
  <c r="W66" i="18" s="1"/>
  <c r="T49" i="18"/>
  <c r="V49" i="18" s="1"/>
  <c r="W49" i="18" s="1"/>
  <c r="T51" i="18"/>
  <c r="V51" i="18" s="1"/>
  <c r="W51" i="18" s="1"/>
  <c r="K56" i="18" l="1"/>
  <c r="Y56" i="18" s="1"/>
  <c r="V3" i="18"/>
  <c r="W3" i="18" s="1"/>
  <c r="K64" i="18"/>
  <c r="Y64" i="18" s="1"/>
  <c r="L56" i="18"/>
  <c r="L64" i="18"/>
  <c r="M3" i="18"/>
  <c r="O3" i="18" s="1"/>
  <c r="L3" i="18"/>
  <c r="Z3" i="18" s="1"/>
  <c r="Y3" i="18"/>
  <c r="K25" i="18"/>
  <c r="Y25" i="18" s="1"/>
  <c r="X36" i="18"/>
  <c r="X50" i="18"/>
  <c r="X40" i="18"/>
  <c r="X60" i="18"/>
  <c r="X41" i="18"/>
  <c r="X34" i="18"/>
  <c r="X31" i="18"/>
  <c r="X37" i="18"/>
  <c r="X5" i="18"/>
  <c r="X19" i="18"/>
  <c r="X59" i="18"/>
  <c r="X9" i="18"/>
  <c r="X35" i="18"/>
  <c r="X8" i="18"/>
  <c r="X11" i="18"/>
  <c r="X22" i="18"/>
  <c r="X63" i="18"/>
  <c r="X7" i="18"/>
  <c r="X23" i="18"/>
  <c r="X44" i="18"/>
  <c r="X46" i="18"/>
  <c r="X6" i="18"/>
  <c r="X29" i="18"/>
  <c r="X66" i="18"/>
  <c r="X28" i="18"/>
  <c r="X27" i="18"/>
  <c r="X20" i="18"/>
  <c r="X14" i="18"/>
  <c r="X65" i="18"/>
  <c r="X54" i="18"/>
  <c r="X3" i="18" l="1"/>
  <c r="Z57" i="18"/>
  <c r="Z37" i="18"/>
  <c r="Z51" i="18"/>
  <c r="Z35" i="18"/>
  <c r="Z9" i="18"/>
  <c r="Z24" i="18"/>
  <c r="Z14" i="18"/>
  <c r="Z67" i="18"/>
  <c r="Z42" i="18"/>
  <c r="Z56" i="18"/>
  <c r="Z62" i="18"/>
  <c r="Z12" i="18"/>
  <c r="Z53" i="18"/>
  <c r="Z50" i="18"/>
  <c r="Z25" i="18"/>
  <c r="Z34" i="18"/>
  <c r="Z16" i="18"/>
  <c r="Z64" i="18"/>
  <c r="Z11" i="18"/>
  <c r="Z61" i="18"/>
  <c r="Z55" i="18"/>
  <c r="Z36" i="18"/>
  <c r="Z15" i="18"/>
  <c r="Z63" i="18"/>
  <c r="Z21" i="18"/>
  <c r="Z54" i="18"/>
  <c r="X52" i="18"/>
  <c r="X33" i="18"/>
  <c r="X25" i="18"/>
  <c r="X56" i="18"/>
  <c r="L69" i="18"/>
  <c r="K69" i="18"/>
  <c r="Y69" i="18" s="1"/>
  <c r="X64" i="18"/>
  <c r="X17" i="18"/>
  <c r="X13" i="18"/>
  <c r="X58" i="18"/>
  <c r="X38" i="18"/>
  <c r="X45" i="18"/>
  <c r="X18" i="18"/>
  <c r="X39" i="18"/>
  <c r="X10" i="18"/>
  <c r="X4" i="18"/>
  <c r="X43" i="18"/>
  <c r="X12" i="18"/>
  <c r="X26" i="18"/>
  <c r="X62" i="18"/>
  <c r="X53" i="18"/>
  <c r="X42" i="18"/>
  <c r="X49" i="18"/>
  <c r="X30" i="18"/>
  <c r="X51" i="18"/>
  <c r="X57" i="18"/>
  <c r="X24" i="18"/>
  <c r="X16" i="18"/>
  <c r="X61" i="18"/>
  <c r="X55" i="18"/>
  <c r="X15" i="18"/>
  <c r="X21" i="18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18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54" i="7"/>
  <c r="C44" i="7"/>
  <c r="C45" i="7"/>
  <c r="C46" i="7"/>
  <c r="C47" i="7"/>
  <c r="C48" i="7"/>
  <c r="C49" i="7"/>
  <c r="C50" i="7"/>
  <c r="C51" i="7"/>
  <c r="C52" i="7"/>
  <c r="C43" i="7"/>
  <c r="C31" i="7"/>
  <c r="C32" i="7"/>
  <c r="C33" i="7"/>
  <c r="C34" i="7"/>
  <c r="C35" i="7"/>
  <c r="C36" i="7"/>
  <c r="C37" i="7"/>
  <c r="C38" i="7"/>
  <c r="C39" i="7"/>
  <c r="C40" i="7"/>
  <c r="C41" i="7"/>
  <c r="C30" i="7"/>
  <c r="C20" i="7"/>
  <c r="C21" i="7"/>
  <c r="C22" i="7"/>
  <c r="C23" i="7"/>
  <c r="C24" i="7"/>
  <c r="C25" i="7"/>
  <c r="C26" i="7"/>
  <c r="C27" i="7"/>
  <c r="C28" i="7"/>
  <c r="C19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2" i="7"/>
  <c r="AK183" i="1"/>
  <c r="AK164" i="1"/>
  <c r="AK162" i="1"/>
  <c r="AK157" i="1"/>
  <c r="AK151" i="1"/>
  <c r="AK140" i="1"/>
  <c r="AK139" i="1"/>
  <c r="AK138" i="1"/>
  <c r="AK137" i="1"/>
  <c r="AK136" i="1"/>
  <c r="AK135" i="1"/>
  <c r="AK134" i="1"/>
  <c r="AK133" i="1"/>
  <c r="AK132" i="1"/>
  <c r="AK131" i="1"/>
  <c r="AK130" i="1"/>
  <c r="AK129" i="1"/>
  <c r="AK128" i="1"/>
  <c r="AK127" i="1"/>
  <c r="AK126" i="1"/>
  <c r="AK125" i="1"/>
  <c r="AK124" i="1"/>
  <c r="AK123" i="1"/>
  <c r="AK122" i="1"/>
  <c r="AK121" i="1"/>
  <c r="AK120" i="1"/>
  <c r="AK119" i="1"/>
  <c r="AK118" i="1"/>
  <c r="AK117" i="1"/>
  <c r="AK116" i="1"/>
  <c r="AK115" i="1"/>
  <c r="AK113" i="1"/>
  <c r="AK112" i="1"/>
  <c r="AK111" i="1"/>
  <c r="AK110" i="1"/>
  <c r="AK109" i="1"/>
  <c r="AK108" i="1"/>
  <c r="AK107" i="1"/>
  <c r="AK106" i="1"/>
  <c r="AK105" i="1"/>
  <c r="AK104" i="1"/>
  <c r="AK103" i="1"/>
  <c r="AK102" i="1"/>
  <c r="AK101" i="1"/>
  <c r="AK100" i="1"/>
  <c r="AK99" i="1"/>
  <c r="AK98" i="1"/>
  <c r="AK97" i="1"/>
  <c r="AK96" i="1"/>
  <c r="AK95" i="1"/>
  <c r="AK94" i="1"/>
  <c r="AK93" i="1"/>
  <c r="AK92" i="1"/>
  <c r="AK91" i="1"/>
  <c r="AK90" i="1"/>
  <c r="AK89" i="1"/>
  <c r="AK88" i="1"/>
  <c r="AK87" i="1"/>
  <c r="AK86" i="1"/>
  <c r="AK85" i="1"/>
  <c r="AK84" i="1"/>
  <c r="AK83" i="1"/>
  <c r="AK82" i="1"/>
  <c r="AK81" i="1"/>
  <c r="AK80" i="1"/>
  <c r="AK79" i="1"/>
  <c r="AK78" i="1"/>
  <c r="AK77" i="1"/>
  <c r="AK76" i="1"/>
  <c r="AK75" i="1"/>
  <c r="AK74" i="1"/>
  <c r="AK73" i="1"/>
  <c r="AK72" i="1"/>
  <c r="AK71" i="1"/>
  <c r="AK70" i="1"/>
  <c r="AK69" i="1"/>
  <c r="AK68" i="1"/>
  <c r="AK67" i="1"/>
  <c r="AK66" i="1"/>
  <c r="AK65" i="1"/>
  <c r="AK64" i="1"/>
  <c r="AK63" i="1"/>
  <c r="AK62" i="1"/>
  <c r="AK61" i="1"/>
  <c r="AK60" i="1"/>
  <c r="AK59" i="1"/>
  <c r="AK58" i="1"/>
  <c r="AK57" i="1"/>
  <c r="AK56" i="1"/>
  <c r="AK55" i="1"/>
  <c r="AK54" i="1"/>
  <c r="AK53" i="1"/>
  <c r="AK52" i="1"/>
  <c r="AK51" i="1"/>
  <c r="AK50" i="1"/>
  <c r="AK49" i="1"/>
  <c r="AK48" i="1"/>
  <c r="AK47" i="1"/>
  <c r="AK46" i="1"/>
  <c r="AK45" i="1"/>
  <c r="AK44" i="1"/>
  <c r="AK43" i="1"/>
  <c r="AK42" i="1"/>
  <c r="AK41" i="1"/>
  <c r="AK40" i="1"/>
  <c r="AK39" i="1"/>
  <c r="AK38" i="1"/>
  <c r="AK37" i="1"/>
  <c r="AK36" i="1"/>
  <c r="AK35" i="1"/>
  <c r="AK34" i="1"/>
  <c r="AK33" i="1"/>
  <c r="AK31" i="1"/>
  <c r="AK30" i="1"/>
  <c r="AK29" i="1"/>
  <c r="AK28" i="1"/>
  <c r="AK27" i="1"/>
  <c r="AK26" i="1"/>
  <c r="AK25" i="1"/>
  <c r="AK24" i="1"/>
  <c r="AK23" i="1"/>
  <c r="AK22" i="1"/>
  <c r="AK21" i="1"/>
  <c r="AK20" i="1"/>
  <c r="AK19" i="1"/>
  <c r="AK18" i="1"/>
  <c r="AK17" i="1"/>
  <c r="AK16" i="1"/>
  <c r="AK15" i="1"/>
  <c r="AK14" i="1"/>
  <c r="AK13" i="1"/>
  <c r="AK12" i="1"/>
  <c r="AK11" i="1"/>
  <c r="AK10" i="1"/>
  <c r="AK9" i="1"/>
  <c r="AK8" i="1"/>
  <c r="AK7" i="1"/>
  <c r="AK6" i="1"/>
  <c r="AK5" i="1"/>
  <c r="AK4" i="1"/>
  <c r="AK3" i="1"/>
  <c r="AK2" i="1"/>
  <c r="AI183" i="1"/>
  <c r="AI164" i="1"/>
  <c r="AI162" i="1"/>
  <c r="AI157" i="1"/>
  <c r="AI151" i="1"/>
  <c r="AI140" i="1"/>
  <c r="AI139" i="1"/>
  <c r="AI138" i="1"/>
  <c r="AI137" i="1"/>
  <c r="AI136" i="1"/>
  <c r="AI135" i="1"/>
  <c r="AI134" i="1"/>
  <c r="AI133" i="1"/>
  <c r="AI132" i="1"/>
  <c r="AI131" i="1"/>
  <c r="AI130" i="1"/>
  <c r="AI129" i="1"/>
  <c r="AI128" i="1"/>
  <c r="AI127" i="1"/>
  <c r="AI126" i="1"/>
  <c r="AI125" i="1"/>
  <c r="AI124" i="1"/>
  <c r="AI123" i="1"/>
  <c r="AI122" i="1"/>
  <c r="AI121" i="1"/>
  <c r="AI120" i="1"/>
  <c r="AI119" i="1"/>
  <c r="AI118" i="1"/>
  <c r="AI117" i="1"/>
  <c r="AI116" i="1"/>
  <c r="AI115" i="1"/>
  <c r="AI113" i="1"/>
  <c r="AI112" i="1"/>
  <c r="AI111" i="1"/>
  <c r="AI110" i="1"/>
  <c r="AI109" i="1"/>
  <c r="AI108" i="1"/>
  <c r="AI107" i="1"/>
  <c r="AI106" i="1"/>
  <c r="AI105" i="1"/>
  <c r="AI104" i="1"/>
  <c r="AI103" i="1"/>
  <c r="AI102" i="1"/>
  <c r="AI101" i="1"/>
  <c r="AI100" i="1"/>
  <c r="AI99" i="1"/>
  <c r="AI98" i="1"/>
  <c r="AI97" i="1"/>
  <c r="AI96" i="1"/>
  <c r="AI95" i="1"/>
  <c r="AI94" i="1"/>
  <c r="AI93" i="1"/>
  <c r="AI92" i="1"/>
  <c r="AI91" i="1"/>
  <c r="AI90" i="1"/>
  <c r="AI89" i="1"/>
  <c r="AI88" i="1"/>
  <c r="AI87" i="1"/>
  <c r="AI86" i="1"/>
  <c r="AI85" i="1"/>
  <c r="AI84" i="1"/>
  <c r="AI83" i="1"/>
  <c r="AI82" i="1"/>
  <c r="AI81" i="1"/>
  <c r="AI80" i="1"/>
  <c r="AI79" i="1"/>
  <c r="AI78" i="1"/>
  <c r="AI77" i="1"/>
  <c r="AI76" i="1"/>
  <c r="AI75" i="1"/>
  <c r="AI74" i="1"/>
  <c r="AI73" i="1"/>
  <c r="AI72" i="1"/>
  <c r="AI71" i="1"/>
  <c r="AI70" i="1"/>
  <c r="AI69" i="1"/>
  <c r="AI68" i="1"/>
  <c r="AI67" i="1"/>
  <c r="AI66" i="1"/>
  <c r="AI64" i="1"/>
  <c r="AI63" i="1"/>
  <c r="AI62" i="1"/>
  <c r="AI61" i="1"/>
  <c r="AI60" i="1"/>
  <c r="AI59" i="1"/>
  <c r="AI58" i="1"/>
  <c r="AI57" i="1"/>
  <c r="AI56" i="1"/>
  <c r="AI55" i="1"/>
  <c r="AI54" i="1"/>
  <c r="AI53" i="1"/>
  <c r="AI52" i="1"/>
  <c r="AI51" i="1"/>
  <c r="AI50" i="1"/>
  <c r="AI49" i="1"/>
  <c r="AI48" i="1"/>
  <c r="AI47" i="1"/>
  <c r="AI46" i="1"/>
  <c r="AI45" i="1"/>
  <c r="AI44" i="1"/>
  <c r="AI43" i="1"/>
  <c r="AI42" i="1"/>
  <c r="AI40" i="1"/>
  <c r="AI39" i="1"/>
  <c r="AI38" i="1"/>
  <c r="AI37" i="1"/>
  <c r="AI36" i="1"/>
  <c r="AI35" i="1"/>
  <c r="AI34" i="1"/>
  <c r="AI33" i="1"/>
  <c r="AI31" i="1"/>
  <c r="AI30" i="1"/>
  <c r="AI29" i="1"/>
  <c r="AI28" i="1"/>
  <c r="AI27" i="1"/>
  <c r="AI26" i="1"/>
  <c r="AI25" i="1"/>
  <c r="AI24" i="1"/>
  <c r="AI23" i="1"/>
  <c r="AI22" i="1"/>
  <c r="AI21" i="1"/>
  <c r="AI20" i="1"/>
  <c r="AI19" i="1"/>
  <c r="AI18" i="1"/>
  <c r="AI17" i="1"/>
  <c r="AI16" i="1"/>
  <c r="AI15" i="1"/>
  <c r="AI14" i="1"/>
  <c r="AI13" i="1"/>
  <c r="AI12" i="1"/>
  <c r="AI11" i="1"/>
  <c r="AI10" i="1"/>
  <c r="AI9" i="1"/>
  <c r="AI8" i="1"/>
  <c r="AI7" i="1"/>
  <c r="AI6" i="1"/>
  <c r="AI5" i="1"/>
  <c r="AI4" i="1"/>
  <c r="AI3" i="1"/>
  <c r="AI2" i="1"/>
  <c r="Z28" i="18" l="1"/>
  <c r="Z22" i="18"/>
  <c r="Z59" i="18"/>
  <c r="Z29" i="18"/>
  <c r="Z45" i="18"/>
  <c r="Z5" i="18"/>
  <c r="Z10" i="18"/>
  <c r="Z7" i="18"/>
  <c r="Z60" i="18"/>
  <c r="Z58" i="18"/>
  <c r="Z4" i="18"/>
  <c r="Z68" i="18"/>
  <c r="M69" i="18"/>
  <c r="N69" i="18" s="1"/>
  <c r="Z23" i="18"/>
  <c r="Z17" i="18"/>
  <c r="Z44" i="18"/>
  <c r="Z69" i="18"/>
  <c r="Z27" i="18"/>
  <c r="Z52" i="18"/>
  <c r="Z46" i="18"/>
  <c r="Z40" i="18"/>
  <c r="Z38" i="18"/>
  <c r="Z65" i="18"/>
  <c r="Z30" i="18"/>
  <c r="Z41" i="18"/>
  <c r="Z39" i="18"/>
  <c r="Z20" i="18"/>
  <c r="Z43" i="18"/>
  <c r="Z13" i="18"/>
  <c r="Z8" i="18"/>
  <c r="Z66" i="18"/>
  <c r="Z31" i="18"/>
  <c r="Z26" i="18"/>
  <c r="Z6" i="18"/>
  <c r="Z33" i="18"/>
  <c r="Z19" i="18"/>
  <c r="Z18" i="18"/>
  <c r="Z49" i="18"/>
  <c r="O69" i="18"/>
  <c r="S64" i="1"/>
  <c r="S40" i="1"/>
  <c r="I19" i="7"/>
  <c r="H107" i="7"/>
  <c r="I107" i="7"/>
  <c r="H28" i="7"/>
  <c r="I28" i="7" s="1"/>
  <c r="H40" i="7"/>
  <c r="I40" i="7" s="1"/>
  <c r="H102" i="7"/>
  <c r="I102" i="7" s="1"/>
  <c r="H24" i="7"/>
  <c r="H25" i="7"/>
  <c r="H61" i="7"/>
  <c r="H98" i="7"/>
  <c r="H37" i="7"/>
  <c r="I37" i="7" s="1"/>
  <c r="H31" i="7"/>
  <c r="H79" i="7"/>
  <c r="I79" i="7" s="1"/>
  <c r="H80" i="7"/>
  <c r="H101" i="7"/>
  <c r="I101" i="7" s="1"/>
  <c r="H32" i="7"/>
  <c r="I32" i="7"/>
  <c r="H56" i="7"/>
  <c r="I56" i="7" s="1"/>
  <c r="H100" i="7"/>
  <c r="I100" i="7" s="1"/>
  <c r="H38" i="7"/>
  <c r="I38" i="7" s="1"/>
  <c r="H99" i="7"/>
  <c r="I99" i="7" s="1"/>
  <c r="H63" i="7"/>
  <c r="I63" i="7" s="1"/>
  <c r="H65" i="7"/>
  <c r="I65" i="7" s="1"/>
  <c r="H127" i="7"/>
  <c r="H111" i="7"/>
  <c r="I111" i="7" s="1"/>
  <c r="I127" i="7"/>
  <c r="H139" i="7"/>
  <c r="I139" i="7" s="1"/>
  <c r="H129" i="7"/>
  <c r="I129" i="7" s="1"/>
  <c r="H119" i="7"/>
  <c r="H118" i="7"/>
  <c r="I118" i="7" s="1"/>
  <c r="H133" i="7"/>
  <c r="H134" i="7"/>
  <c r="I134" i="7" s="1"/>
  <c r="H130" i="7"/>
  <c r="I130" i="7" s="1"/>
  <c r="H138" i="7"/>
  <c r="I138" i="7" s="1"/>
  <c r="H122" i="7"/>
  <c r="H110" i="7"/>
  <c r="H121" i="7"/>
  <c r="H112" i="7"/>
  <c r="H123" i="7"/>
  <c r="H114" i="7"/>
  <c r="H113" i="7"/>
  <c r="H126" i="7"/>
  <c r="H128" i="7"/>
  <c r="H137" i="7"/>
  <c r="I137" i="7" s="1"/>
  <c r="H97" i="7"/>
  <c r="I97" i="7" s="1"/>
  <c r="H76" i="7"/>
  <c r="I76" i="7" s="1"/>
  <c r="H132" i="7"/>
  <c r="I132" i="7" s="1"/>
  <c r="H116" i="7"/>
  <c r="H124" i="7"/>
  <c r="I124" i="7" s="1"/>
  <c r="H108" i="7"/>
  <c r="I108" i="7"/>
  <c r="H85" i="7"/>
  <c r="H106" i="7"/>
  <c r="H96" i="7"/>
  <c r="I96" i="7" s="1"/>
  <c r="H75" i="7"/>
  <c r="I75" i="7" s="1"/>
  <c r="H131" i="7"/>
  <c r="I131" i="7" s="1"/>
  <c r="H115" i="7"/>
  <c r="H136" i="7"/>
  <c r="I136" i="7" s="1"/>
  <c r="H120" i="7"/>
  <c r="I120" i="7" s="1"/>
  <c r="H125" i="7"/>
  <c r="H109" i="7"/>
  <c r="H117" i="7"/>
  <c r="H135" i="7"/>
  <c r="I135" i="7" s="1"/>
  <c r="I30" i="7"/>
  <c r="H82" i="7"/>
  <c r="I82" i="7" s="1"/>
  <c r="H39" i="7"/>
  <c r="I39" i="7" s="1"/>
  <c r="H49" i="7"/>
  <c r="I49" i="7" s="1"/>
  <c r="H50" i="7"/>
  <c r="H27" i="7"/>
  <c r="I27" i="7" s="1"/>
  <c r="H91" i="7"/>
  <c r="I91" i="7" s="1"/>
  <c r="H83" i="7"/>
  <c r="H64" i="7"/>
  <c r="I64" i="7" s="1"/>
  <c r="H26" i="7"/>
  <c r="I26" i="7" s="1"/>
  <c r="H86" i="7"/>
  <c r="I86" i="7" s="1"/>
  <c r="H95" i="7"/>
  <c r="H77" i="7"/>
  <c r="H74" i="7"/>
  <c r="H89" i="7"/>
  <c r="I89" i="7" s="1"/>
  <c r="H81" i="7"/>
  <c r="H103" i="7"/>
  <c r="I103" i="7" s="1"/>
  <c r="H71" i="7"/>
  <c r="I71" i="7" s="1"/>
  <c r="H68" i="7"/>
  <c r="I68" i="7" s="1"/>
  <c r="H78" i="7"/>
  <c r="I78" i="7" s="1"/>
  <c r="H90" i="7"/>
  <c r="I90" i="7" s="1"/>
  <c r="H62" i="7"/>
  <c r="I62" i="7" s="1"/>
  <c r="H51" i="7"/>
  <c r="H70" i="7"/>
  <c r="H104" i="7"/>
  <c r="I104" i="7" s="1"/>
  <c r="H94" i="7"/>
  <c r="I94" i="7" s="1"/>
  <c r="H93" i="7"/>
  <c r="H72" i="7"/>
  <c r="I72" i="7" s="1"/>
  <c r="H73" i="7"/>
  <c r="H84" i="7"/>
  <c r="H92" i="7"/>
  <c r="I92" i="7" s="1"/>
  <c r="H41" i="7"/>
  <c r="I41" i="7" s="1"/>
  <c r="H55" i="7"/>
  <c r="I55" i="7" s="1"/>
  <c r="H67" i="7"/>
  <c r="I67" i="7" s="1"/>
  <c r="H52" i="7"/>
  <c r="H88" i="7"/>
  <c r="H105" i="7"/>
  <c r="I105" i="7" s="1"/>
  <c r="H69" i="7"/>
  <c r="I69" i="7" s="1"/>
  <c r="I3" i="7"/>
  <c r="I2" i="7"/>
  <c r="I33" i="7"/>
  <c r="I44" i="7"/>
  <c r="I57" i="7"/>
  <c r="I21" i="7"/>
  <c r="I34" i="7"/>
  <c r="I45" i="7"/>
  <c r="I58" i="7"/>
  <c r="I22" i="7"/>
  <c r="I35" i="7"/>
  <c r="I46" i="7"/>
  <c r="I59" i="7"/>
  <c r="I23" i="7"/>
  <c r="I36" i="7"/>
  <c r="I47" i="7"/>
  <c r="I60" i="7"/>
  <c r="I48" i="7"/>
  <c r="I20" i="7"/>
  <c r="I54" i="7"/>
  <c r="I43" i="7"/>
  <c r="I17" i="7"/>
  <c r="I9" i="7"/>
  <c r="I16" i="7"/>
  <c r="I8" i="7"/>
  <c r="I15" i="7"/>
  <c r="I7" i="7"/>
  <c r="I14" i="7"/>
  <c r="I6" i="7"/>
  <c r="I13" i="7"/>
  <c r="I5" i="7"/>
  <c r="I12" i="7"/>
  <c r="I4" i="7"/>
  <c r="I11" i="7"/>
  <c r="I10" i="7"/>
  <c r="U12" i="1"/>
  <c r="U4" i="1"/>
  <c r="S12" i="1"/>
  <c r="S4" i="1"/>
  <c r="U11" i="1"/>
  <c r="U3" i="1"/>
  <c r="S11" i="1"/>
  <c r="S3" i="1"/>
  <c r="U10" i="1"/>
  <c r="U2" i="1"/>
  <c r="S10" i="1"/>
  <c r="S2" i="1"/>
  <c r="I93" i="7" l="1"/>
  <c r="I70" i="7"/>
  <c r="I24" i="7"/>
  <c r="I25" i="7"/>
  <c r="I61" i="7"/>
  <c r="I98" i="7"/>
  <c r="I31" i="7"/>
  <c r="I110" i="7"/>
  <c r="I121" i="7"/>
  <c r="I112" i="7"/>
  <c r="I123" i="7"/>
  <c r="I114" i="7"/>
  <c r="I113" i="7"/>
  <c r="I126" i="7"/>
  <c r="I128" i="7"/>
  <c r="I85" i="7"/>
  <c r="I106" i="7"/>
  <c r="I125" i="7"/>
  <c r="I109" i="7"/>
  <c r="I117" i="7"/>
  <c r="I133" i="7"/>
  <c r="I119" i="7"/>
  <c r="I122" i="7"/>
  <c r="I50" i="7"/>
  <c r="I95" i="7"/>
  <c r="I74" i="7"/>
  <c r="I73" i="7"/>
  <c r="I52" i="7"/>
  <c r="I51" i="7"/>
  <c r="I88" i="7"/>
  <c r="I80" i="7"/>
  <c r="I81" i="7"/>
  <c r="I77" i="7"/>
  <c r="I84" i="7"/>
  <c r="I83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LORETO JACQUELINE SILVA BELTRÁN</author>
  </authors>
  <commentList>
    <comment ref="G2" authorId="0" shapeId="0" xr:uid="{29F31EAB-17B2-4924-9CB5-D3733A251E69}">
      <text>
        <r>
          <rPr>
            <sz val="11"/>
            <color theme="1"/>
            <rFont val="Aptos Narrow"/>
            <family val="2"/>
            <scheme val="minor"/>
          </rPr>
          <t>LORETO JACQUELINE SILVA BELTRÁN:
Peso estimado a partir de envase identico</t>
        </r>
      </text>
    </comment>
    <comment ref="G3" authorId="0" shapeId="0" xr:uid="{1F9B6D8E-791F-4537-907C-6AB056CAD41A}">
      <text>
        <r>
          <rPr>
            <sz val="11"/>
            <color theme="1"/>
            <rFont val="Aptos Narrow"/>
            <family val="2"/>
            <scheme val="minor"/>
          </rPr>
          <t>LORETO JACQUELINE SILVA BELTRÁN:
Peso estimado a partir de envase identico</t>
        </r>
      </text>
    </comment>
    <comment ref="G10" authorId="0" shapeId="0" xr:uid="{0F1F30BA-94A7-40F2-BD48-C6C566D93D99}">
      <text>
        <r>
          <rPr>
            <sz val="11"/>
            <color theme="1"/>
            <rFont val="Aptos Narrow"/>
            <family val="2"/>
            <scheme val="minor"/>
          </rPr>
          <t>LORETO JACQUELINE SILVA BELTRÁN:
Peso estimado a partir de envase identico</t>
        </r>
      </text>
    </comment>
    <comment ref="G11" authorId="0" shapeId="0" xr:uid="{C0C99ED1-44F9-400D-A89B-EECA3989A148}">
      <text>
        <r>
          <rPr>
            <sz val="11"/>
            <color theme="1"/>
            <rFont val="Aptos Narrow"/>
            <family val="2"/>
            <scheme val="minor"/>
          </rPr>
          <t>LORETO JACQUELINE SILVA BELTRÁN:
Peso estimado a partir de envase identico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tc={31888C50-64C4-4D7E-B1AC-58B8B79D3E79}</author>
  </authors>
  <commentList>
    <comment ref="F96" authorId="0" shapeId="0" xr:uid="{31888C50-64C4-4D7E-B1AC-58B8B79D3E79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me cayeron 3- 5 ml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tc={7C3A8DCB-84A4-4B86-BC9E-CE03F17F74E0}</author>
    <author>tc={F254C439-16DD-406E-B7A5-D8062C430E64}</author>
  </authors>
  <commentList>
    <comment ref="U37" authorId="0" shapeId="0" xr:uid="{7C3A8DCB-84A4-4B86-BC9E-CE03F17F74E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Revisar BDD Y15 por switch entre GLUFRU</t>
      </text>
    </comment>
    <comment ref="T62" authorId="1" shapeId="0" xr:uid="{F254C439-16DD-406E-B7A5-D8062C430E64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Revisar BDD Y15 por switch GLU/FRU</t>
      </text>
    </comment>
  </commentList>
</comments>
</file>

<file path=xl/sharedStrings.xml><?xml version="1.0" encoding="utf-8"?>
<sst xmlns="http://schemas.openxmlformats.org/spreadsheetml/2006/main" count="11341" uniqueCount="610">
  <si>
    <t>Fecha</t>
  </si>
  <si>
    <t>Proyecto</t>
  </si>
  <si>
    <t>Estado Recepción</t>
  </si>
  <si>
    <t>Nº Ensayo</t>
  </si>
  <si>
    <t>Productor</t>
  </si>
  <si>
    <t>Cuartel</t>
  </si>
  <si>
    <t>Variedad</t>
  </si>
  <si>
    <t>Codigo Ensayo</t>
  </si>
  <si>
    <t>Litros</t>
  </si>
  <si>
    <t>TK</t>
  </si>
  <si>
    <t>Información adicional</t>
  </si>
  <si>
    <t>Capturador de Aromas</t>
  </si>
  <si>
    <t>Mosto corregido</t>
  </si>
  <si>
    <t>San Ignacio</t>
  </si>
  <si>
    <t>N/A</t>
  </si>
  <si>
    <t>Sauvignon blanc</t>
  </si>
  <si>
    <t>ING25-SB001</t>
  </si>
  <si>
    <t>Ensayos lucas capturador de aromas, replica 1</t>
  </si>
  <si>
    <t>ING25-SB002</t>
  </si>
  <si>
    <t>Ensayos lucas capturador de aromas replica 2</t>
  </si>
  <si>
    <t xml:space="preserve">Fecha </t>
  </si>
  <si>
    <t>Código Ensayo</t>
  </si>
  <si>
    <t xml:space="preserve">Estado </t>
  </si>
  <si>
    <t>Lt</t>
  </si>
  <si>
    <t>Levadura VL3 (g)</t>
  </si>
  <si>
    <t>FDA  (g)</t>
  </si>
  <si>
    <t>Siembra</t>
  </si>
  <si>
    <t>F.A.</t>
  </si>
  <si>
    <t> </t>
  </si>
  <si>
    <t>Código</t>
  </si>
  <si>
    <t>Ensayo</t>
  </si>
  <si>
    <t>Fecha y hora</t>
  </si>
  <si>
    <t>CA (0°C)</t>
  </si>
  <si>
    <t>CB (-40°C)</t>
  </si>
  <si>
    <t>ID Análisis 1</t>
  </si>
  <si>
    <t>Valor 1</t>
  </si>
  <si>
    <t>ID Análisis 2</t>
  </si>
  <si>
    <t>Valor 2</t>
  </si>
  <si>
    <t>ID Análisis 3</t>
  </si>
  <si>
    <t>Valor 3</t>
  </si>
  <si>
    <t>ID Análisis 4</t>
  </si>
  <si>
    <t>Valor 4</t>
  </si>
  <si>
    <t>ID Análisis 5</t>
  </si>
  <si>
    <t>Valor 5</t>
  </si>
  <si>
    <t>ID Análisis 6</t>
  </si>
  <si>
    <t>Valor 6</t>
  </si>
  <si>
    <t>ID Análisis 7</t>
  </si>
  <si>
    <t>Valor 7</t>
  </si>
  <si>
    <t>ID Análisis 8</t>
  </si>
  <si>
    <t>Valor 8</t>
  </si>
  <si>
    <t>ID Análisis 9</t>
  </si>
  <si>
    <t>Valor 9</t>
  </si>
  <si>
    <t>ID Análisis 10</t>
  </si>
  <si>
    <t>Valor 10</t>
  </si>
  <si>
    <t>ID Análisis 11</t>
  </si>
  <si>
    <t>Valor 11</t>
  </si>
  <si>
    <t>ID Análisis 12</t>
  </si>
  <si>
    <t>Valor 12</t>
  </si>
  <si>
    <t>ID Análisis 13</t>
  </si>
  <si>
    <t>Valor 13</t>
  </si>
  <si>
    <t>ID Análisis 14</t>
  </si>
  <si>
    <t>Valor 14</t>
  </si>
  <si>
    <t>ID Análisis 15</t>
  </si>
  <si>
    <t>Valor 15</t>
  </si>
  <si>
    <t>ID Análisis 16</t>
  </si>
  <si>
    <t>Valor 16</t>
  </si>
  <si>
    <t>ID Análisis 17</t>
  </si>
  <si>
    <t>Valor 17</t>
  </si>
  <si>
    <t>ID Análisis 18</t>
  </si>
  <si>
    <t>Valor 18</t>
  </si>
  <si>
    <t>ID Análisis 19</t>
  </si>
  <si>
    <t>Valor 19</t>
  </si>
  <si>
    <t>ID Análisis 20</t>
  </si>
  <si>
    <t>Valor 20</t>
  </si>
  <si>
    <t>ID Análisis 21</t>
  </si>
  <si>
    <t>Valor 21</t>
  </si>
  <si>
    <t>ID Análisis 22</t>
  </si>
  <si>
    <t>Valor 22</t>
  </si>
  <si>
    <t>ID Análisis 23</t>
  </si>
  <si>
    <t>Valor 23</t>
  </si>
  <si>
    <t>ING25-SB001-0</t>
  </si>
  <si>
    <t>SB001</t>
  </si>
  <si>
    <t>PESO (Recipiente)</t>
  </si>
  <si>
    <t>Densidad</t>
  </si>
  <si>
    <t>Brix</t>
  </si>
  <si>
    <t>Concentration</t>
  </si>
  <si>
    <t>Viability</t>
  </si>
  <si>
    <t>Budding Index</t>
  </si>
  <si>
    <t>FRUCTOSE</t>
  </si>
  <si>
    <t>GLUCOSE</t>
  </si>
  <si>
    <t>GLYCEROL</t>
  </si>
  <si>
    <t>YAN</t>
  </si>
  <si>
    <t>AMMONIA</t>
  </si>
  <si>
    <t>PAN</t>
  </si>
  <si>
    <t>ACETIC ACID</t>
  </si>
  <si>
    <t>PYRUVIC ACID</t>
  </si>
  <si>
    <t>LOW</t>
  </si>
  <si>
    <t>Peso Humedo</t>
  </si>
  <si>
    <t>Peso Seco</t>
  </si>
  <si>
    <t>ETANOL</t>
  </si>
  <si>
    <t>L-MALIC ACID</t>
  </si>
  <si>
    <t>TARTARIC ACID</t>
  </si>
  <si>
    <t>POLYPHENOLS</t>
  </si>
  <si>
    <t>TOTAL ACIDITY</t>
  </si>
  <si>
    <t>FREE SULFITE</t>
  </si>
  <si>
    <t>TOTAL SULFITE</t>
  </si>
  <si>
    <t>ING25-SB001-1</t>
  </si>
  <si>
    <t>ING25-SB001-2</t>
  </si>
  <si>
    <t>ING25-SB001-3</t>
  </si>
  <si>
    <t>ING25-SB001-4</t>
  </si>
  <si>
    <t>ING25-SB001-5</t>
  </si>
  <si>
    <t>ING25-SB001-6</t>
  </si>
  <si>
    <t>ING25-SB001-7</t>
  </si>
  <si>
    <t>ING25-SB002-0</t>
  </si>
  <si>
    <t>SB002</t>
  </si>
  <si>
    <t>ING25-SB002-1</t>
  </si>
  <si>
    <t>ING25-SB002-2</t>
  </si>
  <si>
    <t>ING25-SB002-3</t>
  </si>
  <si>
    <t>ING25-SB002-4</t>
  </si>
  <si>
    <t>ING25-SB002-5</t>
  </si>
  <si>
    <t>ING25-SB002-6</t>
  </si>
  <si>
    <t>ING25-SB002-7</t>
  </si>
  <si>
    <t>ING25-SB003-0 (25026)</t>
  </si>
  <si>
    <t>SB003</t>
  </si>
  <si>
    <t>ING25-SB003-1  (25026)</t>
  </si>
  <si>
    <t>ING25-SB003-2 (25026)</t>
  </si>
  <si>
    <t>ING25-SB003-3 (25026)</t>
  </si>
  <si>
    <t>ING25-SB003-4 (25026)</t>
  </si>
  <si>
    <t>ING25-SB003-5 (25026)</t>
  </si>
  <si>
    <t>ING25-SB003-6 (25026)</t>
  </si>
  <si>
    <t>ING25-SB003-7 (25026)</t>
  </si>
  <si>
    <t>ING25-SB003-8 (25026)</t>
  </si>
  <si>
    <t>ING25-SB003-9 (25026)</t>
  </si>
  <si>
    <t>ING25-SB003-D (25026)</t>
  </si>
  <si>
    <t>ING25-SB004-0 (25027)</t>
  </si>
  <si>
    <t>SB004</t>
  </si>
  <si>
    <t>ING25-SB004-1  (25027)</t>
  </si>
  <si>
    <t>ING25-SB004-10  (25027)</t>
  </si>
  <si>
    <t>ING25-SB004-11  (25027)</t>
  </si>
  <si>
    <t>ING25-SB004-2  (25027)</t>
  </si>
  <si>
    <t>ING25-SB004-3  (25027)</t>
  </si>
  <si>
    <t>ING25-SB004-4  (25027)</t>
  </si>
  <si>
    <t>ING25-SB004-5  (25027)</t>
  </si>
  <si>
    <t>ING25-SB004-6  (25027)</t>
  </si>
  <si>
    <t>ING25-SB004-7  (25027)</t>
  </si>
  <si>
    <t>ING25-SB004-8  (25027)</t>
  </si>
  <si>
    <t>ING25-SB004-9  (25027)</t>
  </si>
  <si>
    <t>ING25-SB004-D (25027)</t>
  </si>
  <si>
    <t>ING25-SB005-0 (25028)</t>
  </si>
  <si>
    <t>SB005</t>
  </si>
  <si>
    <t>ING25-SB005-1  (25028)</t>
  </si>
  <si>
    <t>ING25-SB005-2  (25028)</t>
  </si>
  <si>
    <t>ING25-SB005-3  (25028)</t>
  </si>
  <si>
    <t>ING25-SB005-4  (25028)</t>
  </si>
  <si>
    <t>ING25-SB005-5  (25028)</t>
  </si>
  <si>
    <t>ING25-SB005-6  (25028)</t>
  </si>
  <si>
    <t xml:space="preserve"> Low  </t>
  </si>
  <si>
    <t>ING25-SB005-7  (25028)</t>
  </si>
  <si>
    <t>ING25-SB005-8  (25028)</t>
  </si>
  <si>
    <t>ING25-SB005-9  (25028)</t>
  </si>
  <si>
    <t>ING25-SB005-D  (25028)</t>
  </si>
  <si>
    <t>ING25-SB006-0 (25029)</t>
  </si>
  <si>
    <t>SB006</t>
  </si>
  <si>
    <t>ING25-SB006-1  (25029)</t>
  </si>
  <si>
    <t>ING25-SB006-10 (25029)</t>
  </si>
  <si>
    <t>ING25-SB006-11 (25029)</t>
  </si>
  <si>
    <t>ING25-SB006-2  (25029)</t>
  </si>
  <si>
    <t>ING25-SB006-3  (25029)</t>
  </si>
  <si>
    <t>ING25-SB006-4  (25029)</t>
  </si>
  <si>
    <t>PESO (Recipiente 15 ml)</t>
  </si>
  <si>
    <t>ING25-SB006-5  (25029)</t>
  </si>
  <si>
    <t>ING25-SB006-6  (25029)</t>
  </si>
  <si>
    <t>Low</t>
  </si>
  <si>
    <t>ING25-SB006-7  (25029)</t>
  </si>
  <si>
    <t>ING25-SB006-8  (25029)</t>
  </si>
  <si>
    <t>ING25-SB006-9  (25029)</t>
  </si>
  <si>
    <t>ING25-SB006-D (25029)</t>
  </si>
  <si>
    <t>ING25-SB007-0 (25085)</t>
  </si>
  <si>
    <t>SB007</t>
  </si>
  <si>
    <t>ING25-SB007-1 (25085)</t>
  </si>
  <si>
    <t>ACETALDEHIDO</t>
  </si>
  <si>
    <t>ING25-SB007-10 (25085)</t>
  </si>
  <si>
    <t>ING25-SB007-11 (25085)</t>
  </si>
  <si>
    <t>ING25-SB007-12 (25085)</t>
  </si>
  <si>
    <t>ING25-SB007-13 (25085)</t>
  </si>
  <si>
    <t>ING25-SB007-14 (25085)</t>
  </si>
  <si>
    <t>ING25-SB007-15 (25085)</t>
  </si>
  <si>
    <t>ING25-SB007-16 (25085)</t>
  </si>
  <si>
    <t>ING25-SB007-17 (25085)</t>
  </si>
  <si>
    <t>ING25-SB007-18 (25085)</t>
  </si>
  <si>
    <t>ING25-SB007-2 (25085)</t>
  </si>
  <si>
    <t>ING25-SB007-3 (25085)</t>
  </si>
  <si>
    <t>ING25-SB007-4 (25085)</t>
  </si>
  <si>
    <t>ING25-SB007-5 (25085)</t>
  </si>
  <si>
    <t>ING25-SB007-6 (25085)</t>
  </si>
  <si>
    <t>ING25-SB007-7 (25085)</t>
  </si>
  <si>
    <t>ING25-SB007-8 (25085)</t>
  </si>
  <si>
    <t>ING25-SB007-9 (25085)</t>
  </si>
  <si>
    <t>ING25-SB007-D (25085)</t>
  </si>
  <si>
    <t>ING25-SB007-PI (25085)</t>
  </si>
  <si>
    <t>ING25-SB008-0 (25086)</t>
  </si>
  <si>
    <t>SB008</t>
  </si>
  <si>
    <t>ING25-SB008-1 (25086)</t>
  </si>
  <si>
    <t>ING25-SB008-10 (25086)</t>
  </si>
  <si>
    <t>ING25-SB008-11 (25086)</t>
  </si>
  <si>
    <t>ING25-SB008-12 (25086)</t>
  </si>
  <si>
    <t>ING25-SB008-13 (25086)</t>
  </si>
  <si>
    <t>ING25-SB008-14 (25086)</t>
  </si>
  <si>
    <t>ING25-SB008-15 (25086)</t>
  </si>
  <si>
    <t>ING25-SB008-16 (25086)</t>
  </si>
  <si>
    <t>ING25-SB008-17 (25086)</t>
  </si>
  <si>
    <t>ING25-SB008-18 (25086)</t>
  </si>
  <si>
    <t>ING25-SB008-2 (25086)</t>
  </si>
  <si>
    <t>ING25-SB008-3 (25086)</t>
  </si>
  <si>
    <t>ING25-SB008-4 (25086)</t>
  </si>
  <si>
    <t>ING25-SB008-5 (25086)</t>
  </si>
  <si>
    <t>ING25-SB008-6 (25086)</t>
  </si>
  <si>
    <t>ING25-SB008-7 (25086)</t>
  </si>
  <si>
    <t>ING25-SB008-8 (25086)</t>
  </si>
  <si>
    <t>ING25-SB008-9 (25086)</t>
  </si>
  <si>
    <t>ING25-SB008-D (25086)</t>
  </si>
  <si>
    <t>ING25-SB008-PI (25086)</t>
  </si>
  <si>
    <t>ING25-SB009-0 (25150)</t>
  </si>
  <si>
    <t>SB009</t>
  </si>
  <si>
    <t>No midió Y15</t>
  </si>
  <si>
    <t>ING25-SB009-1 (25150)</t>
  </si>
  <si>
    <t>ING25-SB009-10 (25150)</t>
  </si>
  <si>
    <t>ING25-SB009-11 (25150)</t>
  </si>
  <si>
    <t>ING25-SB009-12 (25150)</t>
  </si>
  <si>
    <t>ING25-SB009-13 (25150)</t>
  </si>
  <si>
    <t>ING25-SB009-14 (25150)</t>
  </si>
  <si>
    <t>ING25-SB009-2 (25150)</t>
  </si>
  <si>
    <t>ING25-SB009-3 (25150)</t>
  </si>
  <si>
    <t>ING25-SB009-4 (25150) Post Nutri</t>
  </si>
  <si>
    <t>ING25-SB009-5 (25150)</t>
  </si>
  <si>
    <t>ING25-SB009-6 (25150)</t>
  </si>
  <si>
    <t>ING25-SB009-7 (25150)</t>
  </si>
  <si>
    <t>ING25-SB009-8 (25150)</t>
  </si>
  <si>
    <t>ING25-SB009-9 (25150)</t>
  </si>
  <si>
    <t>ING25-SB009-D (25150)</t>
  </si>
  <si>
    <t>ING25-SB010-0 (25151)</t>
  </si>
  <si>
    <t>SB010</t>
  </si>
  <si>
    <t>ING25-SB010-1 (25151)</t>
  </si>
  <si>
    <t>ING25-SB010-10 (25151)</t>
  </si>
  <si>
    <t>ING25-SB010-11 (25151)</t>
  </si>
  <si>
    <t>ING25-SB010-12 (25151)</t>
  </si>
  <si>
    <t>ING25-SB010-13 (25151)</t>
  </si>
  <si>
    <t>ING25-SB010-14 (25151)</t>
  </si>
  <si>
    <t>ING25-SB010-2 (25151)</t>
  </si>
  <si>
    <t>ING25-SB010-3 (25151)</t>
  </si>
  <si>
    <t>ING25-SB010-4 (25151) Post Nutri</t>
  </si>
  <si>
    <t>ING25-SB010-5 (25151)</t>
  </si>
  <si>
    <t>ING25-SB010-6 (25151)</t>
  </si>
  <si>
    <t>ING25-SB010-7 (25151)</t>
  </si>
  <si>
    <t>ING25-SB010-8 (25151)</t>
  </si>
  <si>
    <t>ING25-SB010-9 (25151)</t>
  </si>
  <si>
    <t>ING25-SB010-D (25151)</t>
  </si>
  <si>
    <t>ING25-SB011-1 (25170)</t>
  </si>
  <si>
    <t>SB011</t>
  </si>
  <si>
    <t>ING25-SB011-10 (25170)</t>
  </si>
  <si>
    <t>ING25-SB011-11 (25170)</t>
  </si>
  <si>
    <t>ING25-SB011-12 (25170)</t>
  </si>
  <si>
    <t>ING25-SB011-13 (25170)</t>
  </si>
  <si>
    <t>ING25-SB011-14 (25170)</t>
  </si>
  <si>
    <t>ING25-SB011-15 (25170)</t>
  </si>
  <si>
    <t>ING25-SB011-16 (25170)</t>
  </si>
  <si>
    <t>ING25-SB011-17 (25170)</t>
  </si>
  <si>
    <t>ING25-SB011-18 (25170)</t>
  </si>
  <si>
    <t>ING25-SB011-19 (25170)</t>
  </si>
  <si>
    <t>ING25-SB011-2 (25170)</t>
  </si>
  <si>
    <t>ING25-SB011-20 (25170)</t>
  </si>
  <si>
    <t>ING25-SB011-21 (25170)</t>
  </si>
  <si>
    <t>ING25-SB011-22 (25170)</t>
  </si>
  <si>
    <t>ING25-SB011-23 (25170)</t>
  </si>
  <si>
    <t>ING25-SB011-24 (25170)</t>
  </si>
  <si>
    <t>ING25-SB011-3 (25170)</t>
  </si>
  <si>
    <t>ING25-SB011-4 (25170)</t>
  </si>
  <si>
    <t>ING25-SB011-5 (25170)</t>
  </si>
  <si>
    <t>ING25-SB011-6 (25170)</t>
  </si>
  <si>
    <t>ING25-SB011-7 (25170)</t>
  </si>
  <si>
    <t>ING25-SB011-8 (25170)</t>
  </si>
  <si>
    <t>ING25-SB011-9 (25170)</t>
  </si>
  <si>
    <t>ING25-SB011-PI (25170)</t>
  </si>
  <si>
    <t>ING25-SB012- PI (25171)</t>
  </si>
  <si>
    <t>SB012</t>
  </si>
  <si>
    <t>ING25-SB012-1 (25171)</t>
  </si>
  <si>
    <t>ING25-SB012-10 (25171)</t>
  </si>
  <si>
    <t>ING25-SB012-11 (25171)</t>
  </si>
  <si>
    <t>ING25-SB012-12 (25171)</t>
  </si>
  <si>
    <t>ING25-SB012-13 (25171)</t>
  </si>
  <si>
    <t>ING25-SB012-14 (25171)</t>
  </si>
  <si>
    <t>ING25-SB012-15 (25171)</t>
  </si>
  <si>
    <t>ING25-SB012-16 (25171)</t>
  </si>
  <si>
    <t>ING25-SB012-17 (25171)</t>
  </si>
  <si>
    <t>ING25-SB012-18 (25171)</t>
  </si>
  <si>
    <t>ING25-SB012-19 (25171)</t>
  </si>
  <si>
    <t>ING25-SB012-2 (25171)</t>
  </si>
  <si>
    <t>ING25-SB012-20 (25171)</t>
  </si>
  <si>
    <t>ING25-SB012-21 (25171)</t>
  </si>
  <si>
    <t>ING25-SB012-22 (25171)</t>
  </si>
  <si>
    <t>ING25-SB012-23 (25171)</t>
  </si>
  <si>
    <t>ING25-SB012-24 (25171)</t>
  </si>
  <si>
    <t>ING25-SB012-3 (25171)</t>
  </si>
  <si>
    <t>ING25-SB012-4 (25171)</t>
  </si>
  <si>
    <t>ING25-SB012-5 (25171)</t>
  </si>
  <si>
    <t>ING25-SB012-6 (25171)</t>
  </si>
  <si>
    <t>ING25-SB012-7 (25171)</t>
  </si>
  <si>
    <t>ING25-SB012-8 (25171)</t>
  </si>
  <si>
    <t>ING25-SB012-9 (25171)</t>
  </si>
  <si>
    <t>ING25-SB012-Pre reinóculo (25171)</t>
  </si>
  <si>
    <t>Código (paste)</t>
  </si>
  <si>
    <t>ID</t>
  </si>
  <si>
    <t>Vi (mL)</t>
  </si>
  <si>
    <t>Vf (mL)</t>
  </si>
  <si>
    <t>Cf (Alcolyzer dato real) % v/v</t>
  </si>
  <si>
    <t>Ci % v/v  ( Uso de fórmula : (Vf*Cf) / Vi</t>
  </si>
  <si>
    <t>ID Ensayo</t>
  </si>
  <si>
    <t>ID Muestra</t>
  </si>
  <si>
    <t>Hora de muestreo</t>
  </si>
  <si>
    <t>Volumen (ml)</t>
  </si>
  <si>
    <t>Comentarios</t>
  </si>
  <si>
    <t>Lugar de guarda</t>
  </si>
  <si>
    <t>11:00 a.m</t>
  </si>
  <si>
    <t xml:space="preserve">Rotulado tanto como SB003-1 / 25026-1 y Densidad especifica 1042 </t>
  </si>
  <si>
    <t>Congelador -20°C</t>
  </si>
  <si>
    <t>Rotulado tanto como SB004-1 / 25027-1 y Densidad especifica 1052</t>
  </si>
  <si>
    <t>12:10 p.m</t>
  </si>
  <si>
    <t>Rotulado tanto como SB003-2 / 25026-2 PARTE 1 y Densidad especifica 1020</t>
  </si>
  <si>
    <t>Rotulado tanto como SB004-2 / 25027-2 PARTE 1 y Densidad especifica 1017</t>
  </si>
  <si>
    <t>Rotulado tanto como SB004-2 / 25027-2 y Densidad especifica 1017</t>
  </si>
  <si>
    <t>15:00 p.m</t>
  </si>
  <si>
    <t>Rotulado tanto como SB003-3/ 25026-3 y Densidad especifica 1013</t>
  </si>
  <si>
    <t>Rotulado tanto como SB003-3 / 25026-3  y Densidad especifica 1013</t>
  </si>
  <si>
    <t>15:10 p.m</t>
  </si>
  <si>
    <t>Rotulado tanto como SB004-3 / 25027-3 y Densidad especifica  1000,3</t>
  </si>
  <si>
    <t>Rotulado tanto como SB004-3 / 25027-3 y Densidad especifica 1000,3</t>
  </si>
  <si>
    <t>15:20 p.m</t>
  </si>
  <si>
    <t xml:space="preserve">Rotulado tanto como SB003-4/ 25026-4 y Densidad especifica </t>
  </si>
  <si>
    <t xml:space="preserve">Rotulado tanto como SB003-4 / 25026-4  y Densidad especifica </t>
  </si>
  <si>
    <t>10:00 a.m</t>
  </si>
  <si>
    <t>17.5</t>
  </si>
  <si>
    <t>Rotulado tanto como SB004-3 / 25027-3 y Densidad especifica 991.3</t>
  </si>
  <si>
    <t>Rotulado tanto como SB004-3 / 25027-3 y Densidad especifica 991.3 - NOTA: SE PIERDEN APROX 3-5ML EN MUESTREO</t>
  </si>
  <si>
    <t>Rotulado tanto como SB007-1 / 25085-1 y Densidad especifica 1039</t>
  </si>
  <si>
    <t>Rotulado tanto como SB008-1 / 25086-1 y Densidad especifica 1039</t>
  </si>
  <si>
    <t>12:00 P.m</t>
  </si>
  <si>
    <t xml:space="preserve">Rotulado tanto como SB007-2 / 25085-2 y Densidad especifica </t>
  </si>
  <si>
    <t xml:space="preserve">Rotulado tanto como SB008-2 / 25086-2 y Densidad especifica </t>
  </si>
  <si>
    <t>16:20 P.m</t>
  </si>
  <si>
    <t xml:space="preserve">Rotulado tanto como SB007-3 / 25085-3 y Densidad especifica </t>
  </si>
  <si>
    <t xml:space="preserve">Rotulado tanto como SB008-3 / 25086-3 y Densidad especifica </t>
  </si>
  <si>
    <t xml:space="preserve">Rotulado tanto como SB007-4 / 25085-4 y Densidad especifica </t>
  </si>
  <si>
    <t xml:space="preserve">Rotulado tanto como SB008-4 / 25086-4 y Densidad especifica </t>
  </si>
  <si>
    <t>12:00 p.m</t>
  </si>
  <si>
    <t xml:space="preserve">Rotulado tanto como SB009-1 / 25150-1 y Densidad especifica </t>
  </si>
  <si>
    <t xml:space="preserve">Rotulado tanto como SB0010-1 / 25151-1 y Densidad especifica </t>
  </si>
  <si>
    <t xml:space="preserve">Rotulado tanto como SB010-1 / 25151-1 y Densidad especifica </t>
  </si>
  <si>
    <t>09:00 a.m</t>
  </si>
  <si>
    <t xml:space="preserve">Rotulado tanto como SB009-2 / 25150-2 y Densidad especifica </t>
  </si>
  <si>
    <t xml:space="preserve">Rotulado tanto como SB010-2 / 25151-2 y Densidad especifica </t>
  </si>
  <si>
    <t>Rotulado tanto como SB009-3 / 25150-3 y Densidad especifica 1013,3</t>
  </si>
  <si>
    <t xml:space="preserve">Rotulado tanto como SB009-3 / 25150-3 y Densidad especifica 1013,3 </t>
  </si>
  <si>
    <t>Rotulado tanto como SB010-3 / 25151-3 y Densidad especifica 1012,7</t>
  </si>
  <si>
    <t>Rotulado tanto como SB009-4 / 25150-4 y Densidad especifica 1003,7</t>
  </si>
  <si>
    <t>Rotulado tanto como SB010-4 / 25151-4 y Densidad especifica 1002,4</t>
  </si>
  <si>
    <t>Rotulado tanto como SB009-5 / 25150-5 y Densidad especifica 997,7</t>
  </si>
  <si>
    <t>Rotulado tanto como SB010-5 / 25151-5 y Densidad especifica 997,3</t>
  </si>
  <si>
    <t>Rotulado tanto como SB009-6 / 25150-6 y Densidad especifica 994,3</t>
  </si>
  <si>
    <t>Rotulado tanto como SB010-6 / 25151-6 y Densidad especifica 993,3</t>
  </si>
  <si>
    <t>Rotulado tanto como SB009-7 / 25150-7 y Densidad especifica 991,8</t>
  </si>
  <si>
    <t>Rotulado tanto como SB010-7 / 25151-7 y Densidad especifica 991,1</t>
  </si>
  <si>
    <t>Rotulado tanto como SB011-1 / 25170-1 y Densidad especifica  1058</t>
  </si>
  <si>
    <t>Rotulado tanto como SB012-1 / 25171-1 y Densidad especifica 1058,6</t>
  </si>
  <si>
    <t xml:space="preserve">Rotulado tanto como SB011-1 / 25170-2 y Densidad especifica </t>
  </si>
  <si>
    <t>Rotulado tanto como SB012-1 / 25171-2 y Densidad especifica 1058</t>
  </si>
  <si>
    <t>Rotulado tanto como SB011-1 / 25170-3 y Densidad especifica  1047,2</t>
  </si>
  <si>
    <t>Rotulado tanto como SB012-1 / 25171-3 y Densidad especifica  1057,2</t>
  </si>
  <si>
    <t xml:space="preserve">Rotulado tanto como SB012-4 / 25171-4 y Densidad especifica </t>
  </si>
  <si>
    <t xml:space="preserve">Rotulado tanto como SB011-4 / 25170-4 y Densidad especifica  </t>
  </si>
  <si>
    <t>Rotulado tanto como SB011-5 / 25170-5 y Densidad especifica  1025,2</t>
  </si>
  <si>
    <t>Rotulado tanto como SB012-5 / 25171-5 y Densidad especifica 1037,6</t>
  </si>
  <si>
    <t>Rotulado tanto como SB011-6 / 25170-6 y Densidad especifica  1019,3</t>
  </si>
  <si>
    <t>Rotulado tanto como SB012-6 / 25171-6 y Densidad especifica 1024,5</t>
  </si>
  <si>
    <t>Rotulado tanto como SB011-7 / 25170-7 y Densidad especifica 1012,9</t>
  </si>
  <si>
    <t>Rotulado tanto como SB012-7 / 25171-7 y Densidad especifica 1015,5</t>
  </si>
  <si>
    <t>Rotulado tanto como SB011-8 / 25170-8 y Densidad especifica 1008,6</t>
  </si>
  <si>
    <t>Rotulado tanto como SB012-8 / 25171-8 y Densidad especifica 1010,4</t>
  </si>
  <si>
    <t xml:space="preserve">Rotulado tanto como SB011-11 / 25170-11 y Densidad especifica </t>
  </si>
  <si>
    <t>Rotulado tanto como SB011-11 / 25170-11 y Densidad especifica</t>
  </si>
  <si>
    <t xml:space="preserve">Rotulado tanto como SB012-11 / 25171-11 y Densidad especifica </t>
  </si>
  <si>
    <t xml:space="preserve">Rotulado tanto como SB011-12 / 25170-12 y Densidad especifica </t>
  </si>
  <si>
    <t xml:space="preserve">Rotulado tanto como SB012-12 / 25171-12 y Densidad especifica </t>
  </si>
  <si>
    <t>Rotulado tanto como SB011-13 / 25170-13 y Densidad especifica 996</t>
  </si>
  <si>
    <t>Rotulado tanto como SB012-13 / 25171-13 y Densidad especifica 997,1</t>
  </si>
  <si>
    <t>ID Análisis 24</t>
  </si>
  <si>
    <t>Valor 24</t>
  </si>
  <si>
    <t>ID Análisis 25</t>
  </si>
  <si>
    <t>Valor 25</t>
  </si>
  <si>
    <t>ID Análisis 26</t>
  </si>
  <si>
    <t>Valor 26</t>
  </si>
  <si>
    <t xml:space="preserve">Low  </t>
  </si>
  <si>
    <t>ING25-SB005-D (25028)</t>
  </si>
  <si>
    <t>ING25-SB009-0</t>
  </si>
  <si>
    <t xml:space="preserve">ING25-SB010-0 </t>
  </si>
  <si>
    <t xml:space="preserve">ING25-SB009-1 </t>
  </si>
  <si>
    <t xml:space="preserve">ING25-SB010-1 </t>
  </si>
  <si>
    <t>ING25-SB009-2</t>
  </si>
  <si>
    <t xml:space="preserve">ING25-SB010-2 </t>
  </si>
  <si>
    <t>ING25-SB009-11</t>
  </si>
  <si>
    <t>ING25-SB009-13</t>
  </si>
  <si>
    <t>ING25-SB009-4  Post Nutri</t>
  </si>
  <si>
    <t>ING25-SB010-4  Post Nutri</t>
  </si>
  <si>
    <t xml:space="preserve">ING25-SB009-5 </t>
  </si>
  <si>
    <t xml:space="preserve">ING25-SB010-5 </t>
  </si>
  <si>
    <t xml:space="preserve">ING25-SB009-3 </t>
  </si>
  <si>
    <t>ING25-SB009-6</t>
  </si>
  <si>
    <t>ING25-SB009-7</t>
  </si>
  <si>
    <t>ING25-SB010-7</t>
  </si>
  <si>
    <t>ING25-SB009-8</t>
  </si>
  <si>
    <t>ING25-SB009-9</t>
  </si>
  <si>
    <t>ING25-SB010-9</t>
  </si>
  <si>
    <t>ING25-SB009-10</t>
  </si>
  <si>
    <t>ING25-SB010-10</t>
  </si>
  <si>
    <t>ING25-SB010-11</t>
  </si>
  <si>
    <t>ING25-SB010-13</t>
  </si>
  <si>
    <t>ING25-SB009-12</t>
  </si>
  <si>
    <t>ING25-SB010-12</t>
  </si>
  <si>
    <t xml:space="preserve">ING25-SB010-3 </t>
  </si>
  <si>
    <t>ING25-SB010-6</t>
  </si>
  <si>
    <t xml:space="preserve">ING25-SB009-14 </t>
  </si>
  <si>
    <t xml:space="preserve">ING25-SB010-14 </t>
  </si>
  <si>
    <t>ING25-SB010-8</t>
  </si>
  <si>
    <t>ING25-SB011-25 (25170)</t>
  </si>
  <si>
    <t>ING25-SB011-D (25170)</t>
  </si>
  <si>
    <t>ING25-SB012-25 (25171)</t>
  </si>
  <si>
    <t>ING25-SB011-26 (25170)</t>
  </si>
  <si>
    <t>ING25-SB012-26 (25171)</t>
  </si>
  <si>
    <t>ING25-SB012-D (25171)</t>
  </si>
  <si>
    <t>Análisis 1</t>
  </si>
  <si>
    <t>Análisis 2</t>
  </si>
  <si>
    <t>Análisis 3</t>
  </si>
  <si>
    <t>Análisis 4</t>
  </si>
  <si>
    <t>Análisis 5</t>
  </si>
  <si>
    <t>Análisis 6</t>
  </si>
  <si>
    <t>Análisis 7</t>
  </si>
  <si>
    <t>Análisis 8</t>
  </si>
  <si>
    <t>FRUCTOSE320</t>
  </si>
  <si>
    <t>GLUCOSE320</t>
  </si>
  <si>
    <t>BDD MEF</t>
  </si>
  <si>
    <t>PROCEDIMIENTO ANÁLISIS VOLÁTILES (MEF)</t>
  </si>
  <si>
    <t>Vol GC (mL)</t>
  </si>
  <si>
    <t>DIL (1:X)</t>
  </si>
  <si>
    <t>Muestra MEF (ml)</t>
  </si>
  <si>
    <t>GA Muestra (%)</t>
  </si>
  <si>
    <t>CB (ml)</t>
  </si>
  <si>
    <t>GA CB (%v/v)</t>
  </si>
  <si>
    <t>EtOH Objetivo (%)</t>
  </si>
  <si>
    <r>
      <t>VOL CA (</t>
    </r>
    <r>
      <rPr>
        <b/>
        <sz val="11"/>
        <color theme="1"/>
        <rFont val="Aptos Narrow"/>
        <family val="2"/>
      </rPr>
      <t>µL)</t>
    </r>
  </si>
  <si>
    <t>VOL CB(µL)</t>
  </si>
  <si>
    <t>Etanol (µL)</t>
  </si>
  <si>
    <t>Agua (µL)</t>
  </si>
  <si>
    <t>Conc Final</t>
  </si>
  <si>
    <t xml:space="preserve">ING25-SB003-0 </t>
  </si>
  <si>
    <t xml:space="preserve">ING25-SB003-2 </t>
  </si>
  <si>
    <t xml:space="preserve">ING25-SB003-4 </t>
  </si>
  <si>
    <t xml:space="preserve">ING25-SB003-6 </t>
  </si>
  <si>
    <t xml:space="preserve">ING25-SB003-D </t>
  </si>
  <si>
    <t xml:space="preserve">ING25-SB004-0 </t>
  </si>
  <si>
    <t>ING25-SB004-2</t>
  </si>
  <si>
    <t>ING25-SB004-5</t>
  </si>
  <si>
    <t>ING25-SB004-8</t>
  </si>
  <si>
    <t>ING25-SB004-D</t>
  </si>
  <si>
    <t>ING25-SB005-0</t>
  </si>
  <si>
    <t>ING25-SB005-D</t>
  </si>
  <si>
    <t>ING25-SB006-0</t>
  </si>
  <si>
    <t>ING25-SB006-D</t>
  </si>
  <si>
    <t xml:space="preserve">ING25-SB007-7 </t>
  </si>
  <si>
    <t xml:space="preserve">ING25-SB007-9 </t>
  </si>
  <si>
    <t xml:space="preserve">ING25-SB007-12 </t>
  </si>
  <si>
    <t xml:space="preserve">ING25-SB007-D </t>
  </si>
  <si>
    <t xml:space="preserve">ING25-SB008-7 </t>
  </si>
  <si>
    <t xml:space="preserve">ING25-SB008-9 </t>
  </si>
  <si>
    <t xml:space="preserve">ING25-SB008-12 </t>
  </si>
  <si>
    <t xml:space="preserve">ING25-SB008-D </t>
  </si>
  <si>
    <t xml:space="preserve">ING25-SB009-0 </t>
  </si>
  <si>
    <t>ING25-SB009-D</t>
  </si>
  <si>
    <t>ING25-SB010-D</t>
  </si>
  <si>
    <t>ING25-SB011-PI</t>
  </si>
  <si>
    <t xml:space="preserve">ING25-SB011-9 </t>
  </si>
  <si>
    <t xml:space="preserve">ING25-SB011-10 </t>
  </si>
  <si>
    <t xml:space="preserve">ING25-SB011-12 </t>
  </si>
  <si>
    <t xml:space="preserve">ING25-SB011-13 </t>
  </si>
  <si>
    <t xml:space="preserve">ING25-SB011-15 </t>
  </si>
  <si>
    <t xml:space="preserve">ING25-SB011-17 </t>
  </si>
  <si>
    <t xml:space="preserve">ING25-SB011-19 </t>
  </si>
  <si>
    <t xml:space="preserve">ING25-SB011-21 </t>
  </si>
  <si>
    <t xml:space="preserve">ING25-SB011-23 </t>
  </si>
  <si>
    <t xml:space="preserve">ING25-SB011-D </t>
  </si>
  <si>
    <t>ING25-SB012-PI</t>
  </si>
  <si>
    <t xml:space="preserve">ING25-SB012-10 </t>
  </si>
  <si>
    <t xml:space="preserve">ING25-SB012-12 </t>
  </si>
  <si>
    <t xml:space="preserve">ING25-SB012-13 </t>
  </si>
  <si>
    <t xml:space="preserve">ING25-SB012-15 </t>
  </si>
  <si>
    <t xml:space="preserve">ING25-SB012-17 </t>
  </si>
  <si>
    <t xml:space="preserve">ING25-SB012-19 </t>
  </si>
  <si>
    <t xml:space="preserve">ING25-SB012-21 </t>
  </si>
  <si>
    <t xml:space="preserve">ING25-SB012-D </t>
  </si>
  <si>
    <t>ETANOL FALTANTE O ERRONEO</t>
  </si>
  <si>
    <t>PROCEDIMIENTO ALCOLYZER  (MIX CA+CB)</t>
  </si>
  <si>
    <t>PROCEDIMIENTO MUESTRAS ANÁLISIS VOLÁTILES (MIX CA+CB)</t>
  </si>
  <si>
    <t>MUESTRA RESTANTE</t>
  </si>
  <si>
    <t>Código (MEF)</t>
  </si>
  <si>
    <t>Código (Aroma)</t>
  </si>
  <si>
    <t>Vol Muestra (µL)</t>
  </si>
  <si>
    <t>Vol CA (µL)</t>
  </si>
  <si>
    <t>Vol CB (µL)</t>
  </si>
  <si>
    <t>Vol Mix CA+CB( µL) [ALCOLYZER]</t>
  </si>
  <si>
    <t>Vol Mix CA+CB( µL) [GC-MS/MS]</t>
  </si>
  <si>
    <t>GA Mix (%v/v) [alcolyzer]</t>
  </si>
  <si>
    <t>Vol GC (µL)</t>
  </si>
  <si>
    <t>Vol Mix CA+CB( µL)</t>
  </si>
  <si>
    <t>GA Mix CA +CB (%v/v)</t>
  </si>
  <si>
    <t>Vol CAf (mL)</t>
  </si>
  <si>
    <t>Vol CBf (mL)</t>
  </si>
  <si>
    <t>ING25-SB003-2</t>
  </si>
  <si>
    <t>ING25-SB003-1</t>
  </si>
  <si>
    <t>ING25-SB003-3</t>
  </si>
  <si>
    <t>ING25-SB003-4</t>
  </si>
  <si>
    <t>ING25-SB004-1</t>
  </si>
  <si>
    <t>ING25-SB004-3</t>
  </si>
  <si>
    <t>ING25-SB004-4</t>
  </si>
  <si>
    <t>ING25-SB007-1</t>
  </si>
  <si>
    <t>ING25-SB007-2</t>
  </si>
  <si>
    <t>ING25-SB007-3</t>
  </si>
  <si>
    <t>ING25-SB007-4</t>
  </si>
  <si>
    <t>ING25-SB008-1</t>
  </si>
  <si>
    <t>ING25-SB008-2</t>
  </si>
  <si>
    <t>ING25-SB008-3</t>
  </si>
  <si>
    <t>ING25-SB008-4</t>
  </si>
  <si>
    <t>ING25-SB009-1</t>
  </si>
  <si>
    <t>ING25-SB009-3</t>
  </si>
  <si>
    <t>ING25-SB009-4</t>
  </si>
  <si>
    <t>ING25-SB009-5</t>
  </si>
  <si>
    <t>ING25-SB009-MIX 5-6</t>
  </si>
  <si>
    <t>ING25-SB010-1</t>
  </si>
  <si>
    <t>ING25-SB010-2</t>
  </si>
  <si>
    <t>ING25-SB010-3</t>
  </si>
  <si>
    <t>ING25-SB010-4</t>
  </si>
  <si>
    <t>ING25-SB010-5</t>
  </si>
  <si>
    <t>ING25-SB010-MIX 5-6</t>
  </si>
  <si>
    <t xml:space="preserve">ING25-SB011-4 </t>
  </si>
  <si>
    <t>ING25-SB011-1</t>
  </si>
  <si>
    <t xml:space="preserve">ING25-SB011-7 </t>
  </si>
  <si>
    <t>ING25-SB011-2</t>
  </si>
  <si>
    <t>ING25-SB011-3</t>
  </si>
  <si>
    <t>ING25-SB011-MIX 1-3</t>
  </si>
  <si>
    <t>ING25-SB011-4</t>
  </si>
  <si>
    <t>ING25-SB011-5</t>
  </si>
  <si>
    <t>ING25-SB011-6</t>
  </si>
  <si>
    <t>ING25-SB011-7</t>
  </si>
  <si>
    <t>ING25-SB011-8</t>
  </si>
  <si>
    <t>ING25-SB011-9</t>
  </si>
  <si>
    <t xml:space="preserve">ING25-SB011-20 </t>
  </si>
  <si>
    <t>ING25-SB011-10</t>
  </si>
  <si>
    <t>ING25-SB011-11</t>
  </si>
  <si>
    <t xml:space="preserve">ING25-SB011-22 </t>
  </si>
  <si>
    <t>ING25-SB011-12</t>
  </si>
  <si>
    <t>ING25-SB011-13</t>
  </si>
  <si>
    <t>ING25-SB011-MIX 10-11</t>
  </si>
  <si>
    <t>ING25-SB011-MIX 12-13</t>
  </si>
  <si>
    <t xml:space="preserve">ING25-SB011-25 </t>
  </si>
  <si>
    <t>ING25-SB011-14</t>
  </si>
  <si>
    <t>ING25-SB011-15</t>
  </si>
  <si>
    <t>ING25-SB011-MIX 14-15</t>
  </si>
  <si>
    <t xml:space="preserve">ING25-SB012-4 </t>
  </si>
  <si>
    <t>ING25-SB012-1</t>
  </si>
  <si>
    <t xml:space="preserve">ING25-SB012-7 </t>
  </si>
  <si>
    <t>ING25-SB012-2</t>
  </si>
  <si>
    <t xml:space="preserve">ING25-SB012-9 </t>
  </si>
  <si>
    <t>ING25-SB012-3</t>
  </si>
  <si>
    <t>ING25-SB012-4</t>
  </si>
  <si>
    <t>ING25-SB012-MIX 1-4</t>
  </si>
  <si>
    <t>ING25-SB012-5</t>
  </si>
  <si>
    <t>ING25-SB012-6</t>
  </si>
  <si>
    <t>ING25-SB012-7</t>
  </si>
  <si>
    <t>ING25-SB012-8</t>
  </si>
  <si>
    <t>ING25-SB012-9</t>
  </si>
  <si>
    <t xml:space="preserve">ING25-SB012-20 </t>
  </si>
  <si>
    <t>ING25-SB012-10</t>
  </si>
  <si>
    <t>ING25-SB012-11</t>
  </si>
  <si>
    <t>ING25-SB012-MIX 10-11</t>
  </si>
  <si>
    <t xml:space="preserve">ING25-SB012-22 </t>
  </si>
  <si>
    <t>ING25-SB012-12</t>
  </si>
  <si>
    <t xml:space="preserve">ING25-SB012-23 </t>
  </si>
  <si>
    <t>ING25-SB012-13</t>
  </si>
  <si>
    <t xml:space="preserve">ING25-SB012-25 </t>
  </si>
  <si>
    <t>ING25-SB012-14</t>
  </si>
  <si>
    <t>ING25-SB012-15</t>
  </si>
  <si>
    <t>ING25-SB012-MIX 12-15</t>
  </si>
  <si>
    <t xml:space="preserve">MEZCLAR CONTENIDO COMPLETO CA Y CB </t>
  </si>
  <si>
    <t>Tiempo</t>
  </si>
  <si>
    <t xml:space="preserve">SG </t>
  </si>
  <si>
    <t>Brix (calc)</t>
  </si>
  <si>
    <t>Alcolyzer</t>
  </si>
  <si>
    <t>EtOH (calc)</t>
  </si>
  <si>
    <t>Etanol Rep (Pre calibración)</t>
  </si>
  <si>
    <t>Etanol Rep (Calibración)</t>
  </si>
  <si>
    <t>Factor</t>
  </si>
  <si>
    <t>ING25-SB007-PI</t>
  </si>
  <si>
    <t>ING25-SB008-PI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</si>
</sst>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0"/>
    <numFmt numFmtId="165" formatCode="0.0"/>
    <numFmt numFmtId="166" formatCode="0.000"/>
  </numFmts>
  <fonts count="1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0"/>
      <color rgb="FF000000"/>
      <name val="Arial"/>
      <family val="2"/>
    </font>
    <font>
      <b/>
      <sz val="10"/>
      <name val="Arial"/>
      <family val="2"/>
    </font>
    <font>
      <sz val="10"/>
      <color theme="1"/>
      <name val="Aptos Narrow"/>
      <family val="2"/>
      <scheme val="minor"/>
    </font>
    <font>
      <sz val="10"/>
      <color rgb="FF000000"/>
      <name val="Arial"/>
      <family val="2"/>
    </font>
    <font>
      <b/>
      <sz val="11"/>
      <color rgb="FF000000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1"/>
      <color rgb="FF000000"/>
      <name val="Aptos Narrow"/>
      <family val="2"/>
    </font>
    <font>
      <sz val="11"/>
      <color rgb="FFFF0000"/>
      <name val="Aptos Narrow"/>
      <family val="2"/>
      <scheme val="minor"/>
    </font>
    <font>
      <sz val="10"/>
      <color rgb="FFFF0000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1"/>
      <color theme="1"/>
      <name val="Aptos Narrow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5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20">
    <xf numFmtId="0" fontId="0" fillId="0" borderId="0" xfId="0"/>
    <xf numFmtId="0" fontId="0" fillId="0" borderId="0" xfId="0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22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2" fontId="5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2" fontId="1" fillId="0" borderId="0" xfId="0" applyNumberFormat="1" applyFont="1" applyAlignment="1">
      <alignment horizontal="center"/>
    </xf>
    <xf numFmtId="0" fontId="1" fillId="0" borderId="9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8" fillId="2" borderId="9" xfId="0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/>
    </xf>
    <xf numFmtId="14" fontId="0" fillId="0" borderId="9" xfId="0" applyNumberForma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14" fontId="8" fillId="0" borderId="9" xfId="0" applyNumberFormat="1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 wrapText="1"/>
    </xf>
    <xf numFmtId="14" fontId="8" fillId="2" borderId="9" xfId="0" applyNumberFormat="1" applyFont="1" applyFill="1" applyBorder="1" applyAlignment="1">
      <alignment horizontal="center" vertical="center"/>
    </xf>
    <xf numFmtId="0" fontId="8" fillId="2" borderId="9" xfId="0" applyFont="1" applyFill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/>
    </xf>
    <xf numFmtId="20" fontId="0" fillId="0" borderId="9" xfId="0" applyNumberForma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165" fontId="0" fillId="0" borderId="9" xfId="0" applyNumberFormat="1" applyBorder="1" applyAlignment="1">
      <alignment horizontal="center" vertical="center"/>
    </xf>
    <xf numFmtId="165" fontId="5" fillId="0" borderId="9" xfId="0" applyNumberFormat="1" applyFont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165" fontId="11" fillId="0" borderId="9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22" fontId="0" fillId="0" borderId="9" xfId="0" applyNumberFormat="1" applyBorder="1" applyAlignment="1">
      <alignment horizontal="center" vertical="center"/>
    </xf>
    <xf numFmtId="22" fontId="0" fillId="0" borderId="0" xfId="0" applyNumberFormat="1"/>
    <xf numFmtId="165" fontId="0" fillId="0" borderId="0" xfId="0" applyNumberFormat="1"/>
    <xf numFmtId="1" fontId="0" fillId="0" borderId="9" xfId="0" applyNumberFormat="1" applyBorder="1" applyAlignment="1">
      <alignment horizontal="center" vertical="center"/>
    </xf>
    <xf numFmtId="0" fontId="0" fillId="0" borderId="9" xfId="0" applyBorder="1" applyAlignment="1">
      <alignment horizontal="center"/>
    </xf>
    <xf numFmtId="1" fontId="0" fillId="0" borderId="9" xfId="0" applyNumberFormat="1" applyBorder="1" applyAlignment="1">
      <alignment horizontal="center"/>
    </xf>
    <xf numFmtId="0" fontId="1" fillId="0" borderId="0" xfId="0" applyFont="1" applyAlignment="1">
      <alignment wrapText="1"/>
    </xf>
    <xf numFmtId="22" fontId="0" fillId="0" borderId="9" xfId="0" applyNumberFormat="1" applyBorder="1" applyAlignment="1">
      <alignment horizontal="center"/>
    </xf>
    <xf numFmtId="0" fontId="1" fillId="0" borderId="13" xfId="0" applyFont="1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1" fillId="0" borderId="18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165" fontId="0" fillId="0" borderId="18" xfId="0" applyNumberFormat="1" applyBorder="1" applyAlignment="1">
      <alignment horizontal="center"/>
    </xf>
    <xf numFmtId="0" fontId="0" fillId="0" borderId="20" xfId="0" applyBorder="1"/>
    <xf numFmtId="0" fontId="0" fillId="0" borderId="21" xfId="0" applyBorder="1"/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/>
    </xf>
    <xf numFmtId="0" fontId="0" fillId="0" borderId="21" xfId="0" applyBorder="1" applyAlignment="1">
      <alignment horizontal="center" vertical="center"/>
    </xf>
    <xf numFmtId="166" fontId="0" fillId="0" borderId="13" xfId="0" applyNumberFormat="1" applyBorder="1" applyAlignment="1">
      <alignment horizontal="center" vertical="center"/>
    </xf>
    <xf numFmtId="0" fontId="1" fillId="0" borderId="22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165" fontId="0" fillId="0" borderId="18" xfId="0" applyNumberFormat="1" applyBorder="1" applyAlignment="1">
      <alignment horizontal="center" vertical="center"/>
    </xf>
    <xf numFmtId="165" fontId="0" fillId="0" borderId="19" xfId="0" applyNumberFormat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/>
    </xf>
    <xf numFmtId="0" fontId="0" fillId="2" borderId="0" xfId="0" applyFill="1" applyAlignment="1">
      <alignment horizontal="left" vertical="center" wrapText="1"/>
    </xf>
    <xf numFmtId="0" fontId="0" fillId="2" borderId="0" xfId="0" applyFill="1"/>
    <xf numFmtId="0" fontId="0" fillId="4" borderId="0" xfId="0" applyFill="1"/>
    <xf numFmtId="0" fontId="8" fillId="0" borderId="0" xfId="0" applyFont="1"/>
    <xf numFmtId="22" fontId="8" fillId="0" borderId="0" xfId="0" applyNumberFormat="1" applyFont="1"/>
    <xf numFmtId="22" fontId="10" fillId="0" borderId="0" xfId="0" applyNumberFormat="1" applyFont="1"/>
    <xf numFmtId="0" fontId="1" fillId="0" borderId="40" xfId="0" applyFont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1" fillId="0" borderId="41" xfId="0" applyFont="1" applyBorder="1"/>
    <xf numFmtId="0" fontId="1" fillId="0" borderId="42" xfId="0" applyFont="1" applyBorder="1"/>
    <xf numFmtId="0" fontId="0" fillId="0" borderId="43" xfId="0" applyBorder="1" applyAlignment="1">
      <alignment horizontal="center" vertical="center"/>
    </xf>
    <xf numFmtId="22" fontId="0" fillId="0" borderId="1" xfId="0" applyNumberFormat="1" applyBorder="1"/>
    <xf numFmtId="2" fontId="0" fillId="0" borderId="1" xfId="0" applyNumberFormat="1" applyBorder="1"/>
    <xf numFmtId="2" fontId="0" fillId="0" borderId="1" xfId="0" applyNumberFormat="1" applyBorder="1" applyAlignment="1">
      <alignment horizontal="center" vertical="center"/>
    </xf>
    <xf numFmtId="2" fontId="0" fillId="0" borderId="41" xfId="0" applyNumberFormat="1" applyBorder="1" applyAlignment="1">
      <alignment horizontal="center" vertical="center"/>
    </xf>
    <xf numFmtId="0" fontId="0" fillId="0" borderId="1" xfId="0" applyBorder="1"/>
    <xf numFmtId="0" fontId="0" fillId="0" borderId="44" xfId="0" applyBorder="1"/>
    <xf numFmtId="0" fontId="0" fillId="3" borderId="1" xfId="0" applyFill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/>
    </xf>
    <xf numFmtId="2" fontId="0" fillId="0" borderId="0" xfId="0" applyNumberFormat="1"/>
    <xf numFmtId="0" fontId="0" fillId="0" borderId="45" xfId="0" applyBorder="1" applyAlignment="1">
      <alignment horizontal="center" vertical="center"/>
    </xf>
    <xf numFmtId="22" fontId="0" fillId="0" borderId="46" xfId="0" applyNumberFormat="1" applyBorder="1"/>
    <xf numFmtId="2" fontId="0" fillId="0" borderId="46" xfId="0" applyNumberFormat="1" applyBorder="1"/>
    <xf numFmtId="0" fontId="0" fillId="0" borderId="46" xfId="0" applyBorder="1" applyAlignment="1">
      <alignment horizontal="center" vertical="center"/>
    </xf>
    <xf numFmtId="2" fontId="0" fillId="0" borderId="46" xfId="0" applyNumberFormat="1" applyBorder="1" applyAlignment="1">
      <alignment horizontal="center" vertical="center"/>
    </xf>
    <xf numFmtId="0" fontId="0" fillId="0" borderId="46" xfId="0" applyBorder="1"/>
    <xf numFmtId="0" fontId="0" fillId="0" borderId="40" xfId="0" applyBorder="1"/>
    <xf numFmtId="22" fontId="0" fillId="0" borderId="41" xfId="0" applyNumberFormat="1" applyBorder="1"/>
    <xf numFmtId="2" fontId="0" fillId="0" borderId="41" xfId="0" applyNumberFormat="1" applyBorder="1"/>
    <xf numFmtId="0" fontId="0" fillId="0" borderId="41" xfId="0" applyBorder="1" applyAlignment="1">
      <alignment horizontal="center" vertical="center"/>
    </xf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1" fillId="2" borderId="1" xfId="0" applyFont="1" applyFill="1" applyBorder="1" applyAlignment="1">
      <alignment horizontal="center" vertical="center"/>
    </xf>
    <xf numFmtId="0" fontId="0" fillId="0" borderId="48" xfId="0" applyBorder="1"/>
    <xf numFmtId="22" fontId="0" fillId="0" borderId="49" xfId="0" applyNumberFormat="1" applyBorder="1"/>
    <xf numFmtId="2" fontId="0" fillId="0" borderId="49" xfId="0" applyNumberFormat="1" applyBorder="1"/>
    <xf numFmtId="0" fontId="0" fillId="0" borderId="49" xfId="0" applyBorder="1" applyAlignment="1">
      <alignment horizontal="center" vertical="center"/>
    </xf>
    <xf numFmtId="2" fontId="0" fillId="0" borderId="49" xfId="0" applyNumberFormat="1" applyBorder="1" applyAlignment="1">
      <alignment horizontal="center" vertical="center"/>
    </xf>
    <xf numFmtId="0" fontId="0" fillId="0" borderId="49" xfId="0" applyBorder="1"/>
    <xf numFmtId="0" fontId="0" fillId="0" borderId="51" xfId="0" applyBorder="1"/>
    <xf numFmtId="22" fontId="0" fillId="0" borderId="52" xfId="0" applyNumberFormat="1" applyBorder="1"/>
    <xf numFmtId="2" fontId="0" fillId="0" borderId="52" xfId="0" applyNumberFormat="1" applyBorder="1"/>
    <xf numFmtId="0" fontId="0" fillId="0" borderId="52" xfId="0" applyBorder="1" applyAlignment="1">
      <alignment horizontal="center" vertical="center"/>
    </xf>
    <xf numFmtId="2" fontId="0" fillId="0" borderId="52" xfId="0" applyNumberFormat="1" applyBorder="1" applyAlignment="1">
      <alignment horizontal="center" vertical="center"/>
    </xf>
    <xf numFmtId="0" fontId="0" fillId="0" borderId="52" xfId="0" applyBorder="1"/>
    <xf numFmtId="0" fontId="0" fillId="0" borderId="53" xfId="0" applyBorder="1"/>
    <xf numFmtId="0" fontId="0" fillId="0" borderId="45" xfId="0" applyBorder="1"/>
    <xf numFmtId="0" fontId="8" fillId="0" borderId="43" xfId="0" applyFont="1" applyBorder="1"/>
    <xf numFmtId="22" fontId="8" fillId="0" borderId="1" xfId="0" applyNumberFormat="1" applyFont="1" applyBorder="1"/>
    <xf numFmtId="2" fontId="1" fillId="0" borderId="1" xfId="0" applyNumberFormat="1" applyFont="1" applyBorder="1" applyAlignment="1">
      <alignment horizontal="center" vertical="center"/>
    </xf>
    <xf numFmtId="22" fontId="8" fillId="0" borderId="46" xfId="0" applyNumberFormat="1" applyFont="1" applyBorder="1"/>
    <xf numFmtId="22" fontId="8" fillId="0" borderId="41" xfId="0" applyNumberFormat="1" applyFont="1" applyBorder="1"/>
    <xf numFmtId="2" fontId="7" fillId="2" borderId="1" xfId="0" applyNumberFormat="1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2" fontId="1" fillId="0" borderId="44" xfId="0" applyNumberFormat="1" applyFont="1" applyBorder="1" applyAlignment="1">
      <alignment horizontal="center" vertical="center"/>
    </xf>
    <xf numFmtId="0" fontId="1" fillId="0" borderId="44" xfId="0" applyFont="1" applyBorder="1" applyAlignment="1">
      <alignment horizontal="center" vertical="center"/>
    </xf>
    <xf numFmtId="2" fontId="7" fillId="2" borderId="44" xfId="0" applyNumberFormat="1" applyFont="1" applyFill="1" applyBorder="1" applyAlignment="1">
      <alignment horizontal="center" vertical="center"/>
    </xf>
    <xf numFmtId="0" fontId="0" fillId="0" borderId="46" xfId="0" applyBorder="1" applyAlignment="1">
      <alignment horizontal="center"/>
    </xf>
    <xf numFmtId="2" fontId="7" fillId="0" borderId="44" xfId="0" applyNumberFormat="1" applyFont="1" applyBorder="1" applyAlignment="1">
      <alignment horizontal="center" vertical="center"/>
    </xf>
    <xf numFmtId="0" fontId="0" fillId="3" borderId="49" xfId="0" applyFill="1" applyBorder="1" applyAlignment="1">
      <alignment horizontal="center"/>
    </xf>
    <xf numFmtId="22" fontId="0" fillId="0" borderId="0" xfId="0" applyNumberFormat="1" applyAlignment="1">
      <alignment horizontal="center" vertical="center"/>
    </xf>
    <xf numFmtId="1" fontId="0" fillId="0" borderId="0" xfId="0" applyNumberFormat="1"/>
    <xf numFmtId="0" fontId="0" fillId="3" borderId="0" xfId="0" applyFill="1"/>
    <xf numFmtId="0" fontId="0" fillId="4" borderId="9" xfId="0" applyFill="1" applyBorder="1" applyAlignment="1">
      <alignment horizontal="center" vertical="center"/>
    </xf>
    <xf numFmtId="166" fontId="0" fillId="0" borderId="19" xfId="0" applyNumberFormat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4" borderId="28" xfId="0" applyFill="1" applyBorder="1" applyAlignment="1">
      <alignment horizontal="center" vertical="center"/>
    </xf>
    <xf numFmtId="165" fontId="0" fillId="0" borderId="28" xfId="0" applyNumberFormat="1" applyBorder="1" applyAlignment="1">
      <alignment horizontal="center" vertical="center"/>
    </xf>
    <xf numFmtId="1" fontId="0" fillId="0" borderId="28" xfId="0" applyNumberFormat="1" applyBorder="1" applyAlignment="1">
      <alignment horizontal="center" vertical="center"/>
    </xf>
    <xf numFmtId="166" fontId="0" fillId="0" borderId="27" xfId="0" applyNumberFormat="1" applyBorder="1" applyAlignment="1">
      <alignment horizontal="center" vertical="center"/>
    </xf>
    <xf numFmtId="22" fontId="0" fillId="0" borderId="28" xfId="0" applyNumberForma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22" fontId="0" fillId="0" borderId="23" xfId="0" applyNumberFormat="1" applyBorder="1" applyAlignment="1">
      <alignment horizontal="center" vertical="center"/>
    </xf>
    <xf numFmtId="165" fontId="0" fillId="0" borderId="23" xfId="0" applyNumberFormat="1" applyBorder="1" applyAlignment="1">
      <alignment horizontal="center" vertical="center"/>
    </xf>
    <xf numFmtId="1" fontId="0" fillId="0" borderId="23" xfId="0" applyNumberFormat="1" applyBorder="1" applyAlignment="1">
      <alignment horizontal="center" vertical="center"/>
    </xf>
    <xf numFmtId="166" fontId="0" fillId="0" borderId="24" xfId="0" applyNumberFormat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22" fontId="0" fillId="0" borderId="32" xfId="0" applyNumberFormat="1" applyBorder="1" applyAlignment="1">
      <alignment horizontal="center" vertical="center"/>
    </xf>
    <xf numFmtId="165" fontId="0" fillId="0" borderId="32" xfId="0" applyNumberFormat="1" applyBorder="1" applyAlignment="1">
      <alignment horizontal="center" vertical="center"/>
    </xf>
    <xf numFmtId="1" fontId="0" fillId="0" borderId="32" xfId="0" applyNumberFormat="1" applyBorder="1" applyAlignment="1">
      <alignment horizontal="center" vertical="center"/>
    </xf>
    <xf numFmtId="166" fontId="0" fillId="0" borderId="33" xfId="0" applyNumberForma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22" fontId="0" fillId="0" borderId="19" xfId="0" applyNumberFormat="1" applyBorder="1" applyAlignment="1">
      <alignment horizontal="center" vertical="center"/>
    </xf>
    <xf numFmtId="22" fontId="0" fillId="0" borderId="27" xfId="0" applyNumberFormat="1" applyBorder="1" applyAlignment="1">
      <alignment horizontal="center" vertical="center"/>
    </xf>
    <xf numFmtId="22" fontId="0" fillId="0" borderId="33" xfId="0" applyNumberFormat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22" fontId="0" fillId="0" borderId="25" xfId="0" applyNumberFormat="1" applyBorder="1" applyAlignment="1">
      <alignment horizontal="center"/>
    </xf>
    <xf numFmtId="0" fontId="0" fillId="0" borderId="29" xfId="0" applyBorder="1" applyAlignment="1">
      <alignment horizontal="center" vertical="center"/>
    </xf>
    <xf numFmtId="22" fontId="0" fillId="0" borderId="23" xfId="0" applyNumberFormat="1" applyBorder="1" applyAlignment="1">
      <alignment horizontal="center"/>
    </xf>
    <xf numFmtId="22" fontId="0" fillId="0" borderId="24" xfId="0" applyNumberFormat="1" applyBorder="1" applyAlignment="1">
      <alignment horizontal="center" vertical="center"/>
    </xf>
    <xf numFmtId="0" fontId="0" fillId="4" borderId="32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22" fontId="0" fillId="0" borderId="38" xfId="0" applyNumberForma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165" fontId="0" fillId="0" borderId="37" xfId="0" applyNumberFormat="1" applyBorder="1" applyAlignment="1">
      <alignment horizontal="center" vertical="center"/>
    </xf>
    <xf numFmtId="1" fontId="0" fillId="0" borderId="37" xfId="0" applyNumberFormat="1" applyBorder="1" applyAlignment="1">
      <alignment horizontal="center" vertical="center"/>
    </xf>
    <xf numFmtId="166" fontId="0" fillId="0" borderId="38" xfId="0" applyNumberFormat="1" applyBorder="1" applyAlignment="1">
      <alignment horizontal="center" vertical="center"/>
    </xf>
    <xf numFmtId="0" fontId="1" fillId="3" borderId="0" xfId="0" applyFont="1" applyFill="1" applyAlignment="1">
      <alignment horizontal="center"/>
    </xf>
    <xf numFmtId="2" fontId="0" fillId="0" borderId="9" xfId="0" applyNumberFormat="1" applyBorder="1" applyAlignment="1">
      <alignment horizontal="center" vertical="center"/>
    </xf>
    <xf numFmtId="2" fontId="0" fillId="0" borderId="28" xfId="0" applyNumberFormat="1" applyBorder="1" applyAlignment="1">
      <alignment horizontal="center" vertical="center"/>
    </xf>
    <xf numFmtId="2" fontId="0" fillId="4" borderId="23" xfId="0" applyNumberFormat="1" applyFill="1" applyBorder="1" applyAlignment="1">
      <alignment horizontal="center" vertical="center"/>
    </xf>
    <xf numFmtId="2" fontId="0" fillId="4" borderId="9" xfId="0" applyNumberFormat="1" applyFill="1" applyBorder="1" applyAlignment="1">
      <alignment horizontal="center" vertical="center"/>
    </xf>
    <xf numFmtId="2" fontId="0" fillId="4" borderId="28" xfId="0" applyNumberFormat="1" applyFill="1" applyBorder="1" applyAlignment="1">
      <alignment horizontal="center" vertical="center"/>
    </xf>
    <xf numFmtId="2" fontId="0" fillId="4" borderId="37" xfId="0" applyNumberFormat="1" applyFill="1" applyBorder="1" applyAlignment="1">
      <alignment horizontal="center" vertical="center"/>
    </xf>
    <xf numFmtId="2" fontId="0" fillId="0" borderId="23" xfId="0" applyNumberFormat="1" applyBorder="1" applyAlignment="1">
      <alignment horizontal="center" vertical="center"/>
    </xf>
    <xf numFmtId="2" fontId="0" fillId="4" borderId="32" xfId="0" applyNumberFormat="1" applyFill="1" applyBorder="1" applyAlignment="1">
      <alignment horizontal="center" vertical="center"/>
    </xf>
    <xf numFmtId="0" fontId="0" fillId="4" borderId="22" xfId="0" applyFill="1" applyBorder="1" applyAlignment="1">
      <alignment horizontal="center"/>
    </xf>
    <xf numFmtId="0" fontId="0" fillId="4" borderId="18" xfId="0" applyFill="1" applyBorder="1" applyAlignment="1">
      <alignment horizontal="center" vertical="center"/>
    </xf>
    <xf numFmtId="0" fontId="0" fillId="4" borderId="26" xfId="0" applyFill="1" applyBorder="1" applyAlignment="1">
      <alignment horizontal="center" vertical="center"/>
    </xf>
    <xf numFmtId="0" fontId="0" fillId="4" borderId="2" xfId="0" applyFill="1" applyBorder="1" applyAlignment="1">
      <alignment horizontal="center"/>
    </xf>
    <xf numFmtId="0" fontId="0" fillId="4" borderId="36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0" fillId="4" borderId="31" xfId="0" applyFill="1" applyBorder="1" applyAlignment="1">
      <alignment horizontal="center" vertical="center"/>
    </xf>
    <xf numFmtId="0" fontId="0" fillId="4" borderId="20" xfId="0" applyFill="1" applyBorder="1" applyAlignment="1">
      <alignment horizontal="center"/>
    </xf>
    <xf numFmtId="0" fontId="1" fillId="5" borderId="50" xfId="0" applyFont="1" applyFill="1" applyBorder="1" applyAlignment="1">
      <alignment horizontal="center" vertical="center"/>
    </xf>
    <xf numFmtId="0" fontId="1" fillId="5" borderId="41" xfId="0" applyFont="1" applyFill="1" applyBorder="1" applyAlignment="1">
      <alignment horizontal="center" vertical="center"/>
    </xf>
    <xf numFmtId="0" fontId="1" fillId="5" borderId="47" xfId="0" applyFont="1" applyFill="1" applyBorder="1" applyAlignment="1">
      <alignment horizontal="center"/>
    </xf>
    <xf numFmtId="0" fontId="1" fillId="5" borderId="41" xfId="0" applyFont="1" applyFill="1" applyBorder="1" applyAlignment="1">
      <alignment horizontal="center"/>
    </xf>
    <xf numFmtId="0" fontId="1" fillId="5" borderId="52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50" xfId="0" applyFont="1" applyFill="1" applyBorder="1" applyAlignment="1">
      <alignment horizontal="center"/>
    </xf>
    <xf numFmtId="0" fontId="0" fillId="0" borderId="42" xfId="0" applyBorder="1" applyAlignment="1">
      <alignment horizontal="center"/>
    </xf>
    <xf numFmtId="0" fontId="0" fillId="5" borderId="0" xfId="0" applyFill="1"/>
    <xf numFmtId="2" fontId="0" fillId="6" borderId="1" xfId="0" applyNumberFormat="1" applyFill="1" applyBorder="1" applyAlignment="1">
      <alignment horizontal="center" vertical="center"/>
    </xf>
    <xf numFmtId="0" fontId="0" fillId="6" borderId="0" xfId="0" applyFill="1"/>
    <xf numFmtId="2" fontId="0" fillId="6" borderId="0" xfId="0" applyNumberFormat="1" applyFill="1"/>
    <xf numFmtId="0" fontId="1" fillId="0" borderId="0" xfId="0" applyFont="1" applyAlignment="1">
      <alignment horizontal="center" vertical="center"/>
    </xf>
    <xf numFmtId="0" fontId="13" fillId="0" borderId="2" xfId="0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13" fillId="0" borderId="10" xfId="0" applyFont="1" applyBorder="1" applyAlignment="1">
      <alignment horizontal="center"/>
    </xf>
    <xf numFmtId="0" fontId="13" fillId="0" borderId="11" xfId="0" applyFont="1" applyBorder="1" applyAlignment="1">
      <alignment horizontal="center"/>
    </xf>
    <xf numFmtId="0" fontId="13" fillId="0" borderId="12" xfId="0" applyFont="1" applyBorder="1" applyAlignment="1">
      <alignment horizontal="center"/>
    </xf>
    <xf numFmtId="0" fontId="13" fillId="0" borderId="22" xfId="0" applyFont="1" applyBorder="1" applyAlignment="1">
      <alignment horizontal="center"/>
    </xf>
    <xf numFmtId="0" fontId="13" fillId="0" borderId="29" xfId="0" applyFont="1" applyBorder="1" applyAlignment="1">
      <alignment horizontal="center"/>
    </xf>
    <xf numFmtId="0" fontId="13" fillId="0" borderId="23" xfId="0" applyFont="1" applyBorder="1" applyAlignment="1">
      <alignment horizontal="center"/>
    </xf>
    <xf numFmtId="0" fontId="13" fillId="0" borderId="24" xfId="0" applyFont="1" applyBorder="1" applyAlignment="1">
      <alignment horizontal="center"/>
    </xf>
    <xf numFmtId="0" fontId="13" fillId="0" borderId="15" xfId="0" applyFont="1" applyBorder="1" applyAlignment="1">
      <alignment horizontal="center"/>
    </xf>
    <xf numFmtId="0" fontId="13" fillId="0" borderId="16" xfId="0" applyFont="1" applyBorder="1" applyAlignment="1">
      <alignment horizontal="center"/>
    </xf>
    <xf numFmtId="0" fontId="13" fillId="0" borderId="17" xfId="0" applyFont="1" applyBorder="1" applyAlignment="1">
      <alignment horizontal="center"/>
    </xf>
    <xf numFmtId="0" fontId="13" fillId="0" borderId="2" xfId="0" applyFont="1" applyBorder="1" applyAlignment="1">
      <alignment horizontal="center" vertical="center"/>
    </xf>
    <xf numFmtId="0" fontId="13" fillId="0" borderId="25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[1]Hoja1!$C$13:$C$25</c:f>
              <c:numCache>
                <c:formatCode>General</c:formatCode>
                <c:ptCount val="13"/>
                <c:pt idx="0">
                  <c:v>0</c:v>
                </c:pt>
                <c:pt idx="1">
                  <c:v>12.700000000011642</c:v>
                </c:pt>
                <c:pt idx="2">
                  <c:v>37.000000000116415</c:v>
                </c:pt>
                <c:pt idx="3">
                  <c:v>40.833333333372138</c:v>
                </c:pt>
                <c:pt idx="4">
                  <c:v>61.250000000058208</c:v>
                </c:pt>
                <c:pt idx="5">
                  <c:v>84.833333333430346</c:v>
                </c:pt>
                <c:pt idx="6">
                  <c:v>89.000000000058208</c:v>
                </c:pt>
                <c:pt idx="7">
                  <c:v>108.33333333337214</c:v>
                </c:pt>
                <c:pt idx="8">
                  <c:v>113.16666666674428</c:v>
                </c:pt>
                <c:pt idx="9">
                  <c:v>131.25</c:v>
                </c:pt>
                <c:pt idx="10">
                  <c:v>136.83333333337214</c:v>
                </c:pt>
                <c:pt idx="11">
                  <c:v>156</c:v>
                </c:pt>
                <c:pt idx="12">
                  <c:v>180</c:v>
                </c:pt>
              </c:numCache>
            </c:numRef>
          </c:xVal>
          <c:yVal>
            <c:numRef>
              <c:f>[1]Hoja1!$D$13:$D$25</c:f>
              <c:numCache>
                <c:formatCode>General</c:formatCode>
                <c:ptCount val="13"/>
                <c:pt idx="0">
                  <c:v>1063.0999999999999</c:v>
                </c:pt>
                <c:pt idx="1">
                  <c:v>1063.7</c:v>
                </c:pt>
                <c:pt idx="2">
                  <c:v>1050.4000000000001</c:v>
                </c:pt>
                <c:pt idx="3">
                  <c:v>1046.0999999999999</c:v>
                </c:pt>
                <c:pt idx="4">
                  <c:v>1028</c:v>
                </c:pt>
                <c:pt idx="5">
                  <c:v>1013.9</c:v>
                </c:pt>
                <c:pt idx="6">
                  <c:v>1009.4</c:v>
                </c:pt>
                <c:pt idx="7">
                  <c:v>1002.2</c:v>
                </c:pt>
                <c:pt idx="8">
                  <c:v>1000.3</c:v>
                </c:pt>
                <c:pt idx="9">
                  <c:v>997.1</c:v>
                </c:pt>
                <c:pt idx="10">
                  <c:v>995.1</c:v>
                </c:pt>
                <c:pt idx="11">
                  <c:v>994</c:v>
                </c:pt>
                <c:pt idx="12">
                  <c:v>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B5B-41A4-8E42-C3E3BECFFABC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[1]Hoja1!$C$13:$C$25</c:f>
              <c:numCache>
                <c:formatCode>General</c:formatCode>
                <c:ptCount val="13"/>
                <c:pt idx="0">
                  <c:v>0</c:v>
                </c:pt>
                <c:pt idx="1">
                  <c:v>12.700000000011642</c:v>
                </c:pt>
                <c:pt idx="2">
                  <c:v>37.000000000116415</c:v>
                </c:pt>
                <c:pt idx="3">
                  <c:v>40.833333333372138</c:v>
                </c:pt>
                <c:pt idx="4">
                  <c:v>61.250000000058208</c:v>
                </c:pt>
                <c:pt idx="5">
                  <c:v>84.833333333430346</c:v>
                </c:pt>
                <c:pt idx="6">
                  <c:v>89.000000000058208</c:v>
                </c:pt>
                <c:pt idx="7">
                  <c:v>108.33333333337214</c:v>
                </c:pt>
                <c:pt idx="8">
                  <c:v>113.16666666674428</c:v>
                </c:pt>
                <c:pt idx="9">
                  <c:v>131.25</c:v>
                </c:pt>
                <c:pt idx="10">
                  <c:v>136.83333333337214</c:v>
                </c:pt>
                <c:pt idx="11">
                  <c:v>156</c:v>
                </c:pt>
                <c:pt idx="12">
                  <c:v>180</c:v>
                </c:pt>
              </c:numCache>
            </c:numRef>
          </c:xVal>
          <c:yVal>
            <c:numRef>
              <c:f>[1]Hoja1!$E$13:$E$25</c:f>
              <c:numCache>
                <c:formatCode>General</c:formatCode>
                <c:ptCount val="13"/>
                <c:pt idx="0">
                  <c:v>1.0630999999999999</c:v>
                </c:pt>
                <c:pt idx="1">
                  <c:v>1.0637000000000001</c:v>
                </c:pt>
                <c:pt idx="2">
                  <c:v>1.0504</c:v>
                </c:pt>
                <c:pt idx="3">
                  <c:v>1.0460999999999998</c:v>
                </c:pt>
                <c:pt idx="4">
                  <c:v>1.028</c:v>
                </c:pt>
                <c:pt idx="5">
                  <c:v>1.0139</c:v>
                </c:pt>
                <c:pt idx="6">
                  <c:v>1.0094000000000001</c:v>
                </c:pt>
                <c:pt idx="7">
                  <c:v>1.0022</c:v>
                </c:pt>
                <c:pt idx="8">
                  <c:v>1.0003</c:v>
                </c:pt>
                <c:pt idx="9">
                  <c:v>0.99709999999999999</c:v>
                </c:pt>
                <c:pt idx="10">
                  <c:v>0.99509999999999998</c:v>
                </c:pt>
                <c:pt idx="11">
                  <c:v>0.99399999999999999</c:v>
                </c:pt>
                <c:pt idx="12">
                  <c:v>0.99399999999999999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B5B-41A4-8E42-C3E3BECFFABC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[1]Hoja1!$C$13:$C$25</c:f>
              <c:numCache>
                <c:formatCode>General</c:formatCode>
                <c:ptCount val="13"/>
                <c:pt idx="0">
                  <c:v>0</c:v>
                </c:pt>
                <c:pt idx="1">
                  <c:v>12.700000000011642</c:v>
                </c:pt>
                <c:pt idx="2">
                  <c:v>37.000000000116415</c:v>
                </c:pt>
                <c:pt idx="3">
                  <c:v>40.833333333372138</c:v>
                </c:pt>
                <c:pt idx="4">
                  <c:v>61.250000000058208</c:v>
                </c:pt>
                <c:pt idx="5">
                  <c:v>84.833333333430346</c:v>
                </c:pt>
                <c:pt idx="6">
                  <c:v>89.000000000058208</c:v>
                </c:pt>
                <c:pt idx="7">
                  <c:v>108.33333333337214</c:v>
                </c:pt>
                <c:pt idx="8">
                  <c:v>113.16666666674428</c:v>
                </c:pt>
                <c:pt idx="9">
                  <c:v>131.25</c:v>
                </c:pt>
                <c:pt idx="10">
                  <c:v>136.83333333337214</c:v>
                </c:pt>
                <c:pt idx="11">
                  <c:v>156</c:v>
                </c:pt>
                <c:pt idx="12">
                  <c:v>180</c:v>
                </c:pt>
              </c:numCache>
            </c:numRef>
          </c:xVal>
          <c:yVal>
            <c:numRef>
              <c:f>[1]Hoja1!$F$13:$F$25</c:f>
              <c:numCache>
                <c:formatCode>General</c:formatCode>
                <c:ptCount val="13"/>
                <c:pt idx="0">
                  <c:v>15.462028520999638</c:v>
                </c:pt>
                <c:pt idx="1">
                  <c:v>15.601256766683719</c:v>
                </c:pt>
                <c:pt idx="2">
                  <c:v>12.481929383232</c:v>
                </c:pt>
                <c:pt idx="3">
                  <c:v>11.458359295564264</c:v>
                </c:pt>
                <c:pt idx="4">
                  <c:v>7.0664907529152288</c:v>
                </c:pt>
                <c:pt idx="5">
                  <c:v>3.5488372775333801</c:v>
                </c:pt>
                <c:pt idx="6">
                  <c:v>2.4078565013917341</c:v>
                </c:pt>
                <c:pt idx="7">
                  <c:v>0.56344706212325946</c:v>
                </c:pt>
                <c:pt idx="8">
                  <c:v>7.2818107764419437E-2</c:v>
                </c:pt>
                <c:pt idx="9">
                  <c:v>-0.75723141815740291</c:v>
                </c:pt>
                <c:pt idx="10">
                  <c:v>-1.2784009424664191</c:v>
                </c:pt>
                <c:pt idx="11">
                  <c:v>-1.5658312761817115</c:v>
                </c:pt>
                <c:pt idx="12">
                  <c:v>-1.5658312761817115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B5B-41A4-8E42-C3E3BECFFABC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[1]Hoja1!$C$13:$C$25</c:f>
              <c:numCache>
                <c:formatCode>General</c:formatCode>
                <c:ptCount val="13"/>
                <c:pt idx="0">
                  <c:v>0</c:v>
                </c:pt>
                <c:pt idx="1">
                  <c:v>12.700000000011642</c:v>
                </c:pt>
                <c:pt idx="2">
                  <c:v>37.000000000116415</c:v>
                </c:pt>
                <c:pt idx="3">
                  <c:v>40.833333333372138</c:v>
                </c:pt>
                <c:pt idx="4">
                  <c:v>61.250000000058208</c:v>
                </c:pt>
                <c:pt idx="5">
                  <c:v>84.833333333430346</c:v>
                </c:pt>
                <c:pt idx="6">
                  <c:v>89.000000000058208</c:v>
                </c:pt>
                <c:pt idx="7">
                  <c:v>108.33333333337214</c:v>
                </c:pt>
                <c:pt idx="8">
                  <c:v>113.16666666674428</c:v>
                </c:pt>
                <c:pt idx="9">
                  <c:v>131.25</c:v>
                </c:pt>
                <c:pt idx="10">
                  <c:v>136.83333333337214</c:v>
                </c:pt>
                <c:pt idx="11">
                  <c:v>156</c:v>
                </c:pt>
                <c:pt idx="12">
                  <c:v>180</c:v>
                </c:pt>
              </c:numCache>
            </c:numRef>
          </c:xVal>
          <c:yVal>
            <c:numRef>
              <c:f>[1]Hoja1!$H$13:$H$25</c:f>
              <c:numCache>
                <c:formatCode>General</c:formatCode>
                <c:ptCount val="13"/>
                <c:pt idx="0">
                  <c:v>0.78</c:v>
                </c:pt>
                <c:pt idx="1">
                  <c:v>0.68766963432846828</c:v>
                </c:pt>
                <c:pt idx="2">
                  <c:v>2.7562774555950904</c:v>
                </c:pt>
                <c:pt idx="3">
                  <c:v>3.4350664471568066</c:v>
                </c:pt>
                <c:pt idx="4">
                  <c:v>6.3475704906552783</c:v>
                </c:pt>
                <c:pt idx="5">
                  <c:v>8.6803315628927713</c:v>
                </c:pt>
                <c:pt idx="6">
                  <c:v>9.4369824261406432</c:v>
                </c:pt>
                <c:pt idx="7">
                  <c:v>10.660117840502579</c:v>
                </c:pt>
                <c:pt idx="8">
                  <c:v>10.985482500111823</c:v>
                </c:pt>
                <c:pt idx="9">
                  <c:v>11.535936726388169</c:v>
                </c:pt>
                <c:pt idx="10">
                  <c:v>11.881554618216651</c:v>
                </c:pt>
                <c:pt idx="11">
                  <c:v>12.072166427527538</c:v>
                </c:pt>
                <c:pt idx="12">
                  <c:v>12.072166427527538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B5B-41A4-8E42-C3E3BECFFABC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[1]Hoja1!$C$13:$C$25</c:f>
              <c:numCache>
                <c:formatCode>General</c:formatCode>
                <c:ptCount val="13"/>
                <c:pt idx="0">
                  <c:v>0</c:v>
                </c:pt>
                <c:pt idx="1">
                  <c:v>12.700000000011642</c:v>
                </c:pt>
                <c:pt idx="2">
                  <c:v>37.000000000116415</c:v>
                </c:pt>
                <c:pt idx="3">
                  <c:v>40.833333333372138</c:v>
                </c:pt>
                <c:pt idx="4">
                  <c:v>61.250000000058208</c:v>
                </c:pt>
                <c:pt idx="5">
                  <c:v>84.833333333430346</c:v>
                </c:pt>
                <c:pt idx="6">
                  <c:v>89.000000000058208</c:v>
                </c:pt>
                <c:pt idx="7">
                  <c:v>108.33333333337214</c:v>
                </c:pt>
                <c:pt idx="8">
                  <c:v>113.16666666674428</c:v>
                </c:pt>
                <c:pt idx="9">
                  <c:v>131.25</c:v>
                </c:pt>
                <c:pt idx="10">
                  <c:v>136.83333333337214</c:v>
                </c:pt>
                <c:pt idx="11">
                  <c:v>156</c:v>
                </c:pt>
                <c:pt idx="12">
                  <c:v>180</c:v>
                </c:pt>
              </c:numCache>
            </c:numRef>
          </c:xVal>
          <c:yVal>
            <c:numRef>
              <c:f>[1]Hoja1!$G$13:$G$25</c:f>
              <c:numCache>
                <c:formatCode>General</c:formatCode>
                <c:ptCount val="13"/>
                <c:pt idx="0">
                  <c:v>0.78</c:v>
                </c:pt>
                <c:pt idx="1">
                  <c:v>1.3</c:v>
                </c:pt>
                <c:pt idx="2">
                  <c:v>2.25</c:v>
                </c:pt>
                <c:pt idx="3">
                  <c:v>1.9</c:v>
                </c:pt>
                <c:pt idx="4">
                  <c:v>2.8000000000000003</c:v>
                </c:pt>
                <c:pt idx="5">
                  <c:v>7.85</c:v>
                </c:pt>
                <c:pt idx="6">
                  <c:v>4.8</c:v>
                </c:pt>
                <c:pt idx="7">
                  <c:v>7.05</c:v>
                </c:pt>
                <c:pt idx="8">
                  <c:v>5.3999999999999995</c:v>
                </c:pt>
                <c:pt idx="9">
                  <c:v>7.3</c:v>
                </c:pt>
                <c:pt idx="10">
                  <c:v>7.05</c:v>
                </c:pt>
                <c:pt idx="11">
                  <c:v>7.85</c:v>
                </c:pt>
                <c:pt idx="12">
                  <c:v>12.1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B5B-41A4-8E42-C3E3BECFFABC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[1]Hoja1!$C$13:$C$25</c:f>
              <c:numCache>
                <c:formatCode>General</c:formatCode>
                <c:ptCount val="13"/>
                <c:pt idx="0">
                  <c:v>0</c:v>
                </c:pt>
                <c:pt idx="1">
                  <c:v>12.700000000011642</c:v>
                </c:pt>
                <c:pt idx="2">
                  <c:v>37.000000000116415</c:v>
                </c:pt>
                <c:pt idx="3">
                  <c:v>40.833333333372138</c:v>
                </c:pt>
                <c:pt idx="4">
                  <c:v>61.250000000058208</c:v>
                </c:pt>
                <c:pt idx="5">
                  <c:v>84.833333333430346</c:v>
                </c:pt>
                <c:pt idx="6">
                  <c:v>89.000000000058208</c:v>
                </c:pt>
                <c:pt idx="7">
                  <c:v>108.33333333337214</c:v>
                </c:pt>
                <c:pt idx="8">
                  <c:v>113.16666666674428</c:v>
                </c:pt>
                <c:pt idx="9">
                  <c:v>131.25</c:v>
                </c:pt>
                <c:pt idx="10">
                  <c:v>136.83333333337214</c:v>
                </c:pt>
                <c:pt idx="11">
                  <c:v>156</c:v>
                </c:pt>
                <c:pt idx="12">
                  <c:v>180</c:v>
                </c:pt>
              </c:numCache>
            </c:numRef>
          </c:xVal>
          <c:yVal>
            <c:numRef>
              <c:f>[1]Hoja1!$I$13:$I$25</c:f>
              <c:numCache>
                <c:formatCode>General</c:formatCode>
                <c:ptCount val="13"/>
                <c:pt idx="5">
                  <c:v>10.4</c:v>
                </c:pt>
                <c:pt idx="6">
                  <c:v>10.440000000000001</c:v>
                </c:pt>
                <c:pt idx="7">
                  <c:v>9.7200000000000006</c:v>
                </c:pt>
                <c:pt idx="8">
                  <c:v>3.6399999999999997</c:v>
                </c:pt>
                <c:pt idx="9">
                  <c:v>-1.2</c:v>
                </c:pt>
                <c:pt idx="10">
                  <c:v>10.760000000000002</c:v>
                </c:pt>
                <c:pt idx="11">
                  <c:v>-1.2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B5B-41A4-8E42-C3E3BECFFA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2840200"/>
        <c:axId val="309931015"/>
      </c:scatterChart>
      <c:valAx>
        <c:axId val="1712840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931015"/>
        <c:crosses val="autoZero"/>
        <c:crossBetween val="midCat"/>
      </c:valAx>
      <c:valAx>
        <c:axId val="309931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840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[1]Hoja1!$C$2:$C$12</c:f>
              <c:numCache>
                <c:formatCode>General</c:formatCode>
                <c:ptCount val="11"/>
                <c:pt idx="0">
                  <c:v>0</c:v>
                </c:pt>
                <c:pt idx="1">
                  <c:v>12.700000000011642</c:v>
                </c:pt>
                <c:pt idx="2">
                  <c:v>37.000000000116415</c:v>
                </c:pt>
                <c:pt idx="3">
                  <c:v>40.833333333372138</c:v>
                </c:pt>
                <c:pt idx="4">
                  <c:v>61.250000000058208</c:v>
                </c:pt>
                <c:pt idx="5">
                  <c:v>84.833333333430346</c:v>
                </c:pt>
                <c:pt idx="6">
                  <c:v>89.000000000058208</c:v>
                </c:pt>
                <c:pt idx="7">
                  <c:v>108.33333333337214</c:v>
                </c:pt>
                <c:pt idx="8">
                  <c:v>113.16666666674428</c:v>
                </c:pt>
                <c:pt idx="9">
                  <c:v>131.25</c:v>
                </c:pt>
                <c:pt idx="10">
                  <c:v>136.83333333337214</c:v>
                </c:pt>
              </c:numCache>
            </c:numRef>
          </c:xVal>
          <c:yVal>
            <c:numRef>
              <c:f>[1]Hoja1!$D$2:$D$12</c:f>
              <c:numCache>
                <c:formatCode>General</c:formatCode>
                <c:ptCount val="11"/>
                <c:pt idx="0">
                  <c:v>1063</c:v>
                </c:pt>
                <c:pt idx="1">
                  <c:v>1062.3</c:v>
                </c:pt>
                <c:pt idx="2">
                  <c:v>1040.0999999999999</c:v>
                </c:pt>
                <c:pt idx="3">
                  <c:v>1035.8</c:v>
                </c:pt>
                <c:pt idx="4">
                  <c:v>1016.2</c:v>
                </c:pt>
                <c:pt idx="5">
                  <c:v>1002.3</c:v>
                </c:pt>
                <c:pt idx="6">
                  <c:v>998.8</c:v>
                </c:pt>
                <c:pt idx="7">
                  <c:v>994.8</c:v>
                </c:pt>
                <c:pt idx="8">
                  <c:v>993.4</c:v>
                </c:pt>
                <c:pt idx="9">
                  <c:v>991.7</c:v>
                </c:pt>
                <c:pt idx="10">
                  <c:v>990.7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C1D-4F52-AC95-C6067BAAEB4F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[1]Hoja1!$C$2:$C$12</c:f>
              <c:numCache>
                <c:formatCode>General</c:formatCode>
                <c:ptCount val="11"/>
                <c:pt idx="0">
                  <c:v>0</c:v>
                </c:pt>
                <c:pt idx="1">
                  <c:v>12.700000000011642</c:v>
                </c:pt>
                <c:pt idx="2">
                  <c:v>37.000000000116415</c:v>
                </c:pt>
                <c:pt idx="3">
                  <c:v>40.833333333372138</c:v>
                </c:pt>
                <c:pt idx="4">
                  <c:v>61.250000000058208</c:v>
                </c:pt>
                <c:pt idx="5">
                  <c:v>84.833333333430346</c:v>
                </c:pt>
                <c:pt idx="6">
                  <c:v>89.000000000058208</c:v>
                </c:pt>
                <c:pt idx="7">
                  <c:v>108.33333333337214</c:v>
                </c:pt>
                <c:pt idx="8">
                  <c:v>113.16666666674428</c:v>
                </c:pt>
                <c:pt idx="9">
                  <c:v>131.25</c:v>
                </c:pt>
                <c:pt idx="10">
                  <c:v>136.83333333337214</c:v>
                </c:pt>
              </c:numCache>
            </c:numRef>
          </c:xVal>
          <c:yVal>
            <c:numRef>
              <c:f>[1]Hoja1!$E$2:$E$12</c:f>
              <c:numCache>
                <c:formatCode>General</c:formatCode>
                <c:ptCount val="11"/>
                <c:pt idx="0">
                  <c:v>1.0629999999999999</c:v>
                </c:pt>
                <c:pt idx="1">
                  <c:v>1.0623</c:v>
                </c:pt>
                <c:pt idx="2">
                  <c:v>1.0400999999999998</c:v>
                </c:pt>
                <c:pt idx="3">
                  <c:v>1.0358000000000001</c:v>
                </c:pt>
                <c:pt idx="4">
                  <c:v>1.0162</c:v>
                </c:pt>
                <c:pt idx="5">
                  <c:v>1.0023</c:v>
                </c:pt>
                <c:pt idx="6">
                  <c:v>0.99879999999999991</c:v>
                </c:pt>
                <c:pt idx="7">
                  <c:v>0.99479999999999991</c:v>
                </c:pt>
                <c:pt idx="8">
                  <c:v>0.99339999999999995</c:v>
                </c:pt>
                <c:pt idx="9">
                  <c:v>0.99170000000000003</c:v>
                </c:pt>
                <c:pt idx="10">
                  <c:v>0.99070000000000003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C1D-4F52-AC95-C6067BAAEB4F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[1]Hoja1!$C$2:$C$12</c:f>
              <c:numCache>
                <c:formatCode>General</c:formatCode>
                <c:ptCount val="11"/>
                <c:pt idx="0">
                  <c:v>0</c:v>
                </c:pt>
                <c:pt idx="1">
                  <c:v>12.700000000011642</c:v>
                </c:pt>
                <c:pt idx="2">
                  <c:v>37.000000000116415</c:v>
                </c:pt>
                <c:pt idx="3">
                  <c:v>40.833333333372138</c:v>
                </c:pt>
                <c:pt idx="4">
                  <c:v>61.250000000058208</c:v>
                </c:pt>
                <c:pt idx="5">
                  <c:v>84.833333333430346</c:v>
                </c:pt>
                <c:pt idx="6">
                  <c:v>89.000000000058208</c:v>
                </c:pt>
                <c:pt idx="7">
                  <c:v>108.33333333337214</c:v>
                </c:pt>
                <c:pt idx="8">
                  <c:v>113.16666666674428</c:v>
                </c:pt>
                <c:pt idx="9">
                  <c:v>131.25</c:v>
                </c:pt>
                <c:pt idx="10">
                  <c:v>136.83333333337214</c:v>
                </c:pt>
              </c:numCache>
            </c:numRef>
          </c:xVal>
          <c:yVal>
            <c:numRef>
              <c:f>[1]Hoja1!$F$2:$F$12</c:f>
              <c:numCache>
                <c:formatCode>General</c:formatCode>
                <c:ptCount val="11"/>
                <c:pt idx="0">
                  <c:v>15.438810256424745</c:v>
                </c:pt>
                <c:pt idx="1">
                  <c:v>15.276173805661188</c:v>
                </c:pt>
                <c:pt idx="2">
                  <c:v>10.017553218964395</c:v>
                </c:pt>
                <c:pt idx="3">
                  <c:v>8.9758499452678961</c:v>
                </c:pt>
                <c:pt idx="4">
                  <c:v>4.1285473098320153</c:v>
                </c:pt>
                <c:pt idx="5">
                  <c:v>0.58922415346989965</c:v>
                </c:pt>
                <c:pt idx="6">
                  <c:v>-0.31568366988301477</c:v>
                </c:pt>
                <c:pt idx="7">
                  <c:v>-1.3567355360218016</c:v>
                </c:pt>
                <c:pt idx="8">
                  <c:v>-1.7228475829570016</c:v>
                </c:pt>
                <c:pt idx="9">
                  <c:v>-2.1686346893151267</c:v>
                </c:pt>
                <c:pt idx="10">
                  <c:v>-2.431490735740681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C1D-4F52-AC95-C6067BAAEB4F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[1]Hoja1!$C$2:$C$12</c:f>
              <c:numCache>
                <c:formatCode>General</c:formatCode>
                <c:ptCount val="11"/>
                <c:pt idx="0">
                  <c:v>0</c:v>
                </c:pt>
                <c:pt idx="1">
                  <c:v>12.700000000011642</c:v>
                </c:pt>
                <c:pt idx="2">
                  <c:v>37.000000000116415</c:v>
                </c:pt>
                <c:pt idx="3">
                  <c:v>40.833333333372138</c:v>
                </c:pt>
                <c:pt idx="4">
                  <c:v>61.250000000058208</c:v>
                </c:pt>
                <c:pt idx="5">
                  <c:v>84.833333333430346</c:v>
                </c:pt>
                <c:pt idx="6">
                  <c:v>89.000000000058208</c:v>
                </c:pt>
                <c:pt idx="7">
                  <c:v>108.33333333337214</c:v>
                </c:pt>
                <c:pt idx="8">
                  <c:v>113.16666666674428</c:v>
                </c:pt>
                <c:pt idx="9">
                  <c:v>131.25</c:v>
                </c:pt>
                <c:pt idx="10">
                  <c:v>136.83333333337214</c:v>
                </c:pt>
              </c:numCache>
            </c:numRef>
          </c:xVal>
          <c:yVal>
            <c:numRef>
              <c:f>[1]Hoja1!$H$2:$H$12</c:f>
              <c:numCache>
                <c:formatCode>General</c:formatCode>
                <c:ptCount val="11"/>
                <c:pt idx="0">
                  <c:v>0.78</c:v>
                </c:pt>
                <c:pt idx="1">
                  <c:v>0.88785371098183918</c:v>
                </c:pt>
                <c:pt idx="2">
                  <c:v>4.3751515600064224</c:v>
                </c:pt>
                <c:pt idx="3">
                  <c:v>5.0659657242520248</c:v>
                </c:pt>
                <c:pt idx="4">
                  <c:v>8.2804946630559151</c:v>
                </c:pt>
                <c:pt idx="5">
                  <c:v>10.627626163930666</c:v>
                </c:pt>
                <c:pt idx="6">
                  <c:v>11.227723290908671</c:v>
                </c:pt>
                <c:pt idx="7">
                  <c:v>11.918105468830598</c:v>
                </c:pt>
                <c:pt idx="8">
                  <c:v>12.160895708729061</c:v>
                </c:pt>
                <c:pt idx="9">
                  <c:v>12.456523124986925</c:v>
                </c:pt>
                <c:pt idx="10">
                  <c:v>12.630838291900067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C1D-4F52-AC95-C6067BAAEB4F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[1]Hoja1!$C$2:$C$12</c:f>
              <c:numCache>
                <c:formatCode>General</c:formatCode>
                <c:ptCount val="11"/>
                <c:pt idx="0">
                  <c:v>0</c:v>
                </c:pt>
                <c:pt idx="1">
                  <c:v>12.700000000011642</c:v>
                </c:pt>
                <c:pt idx="2">
                  <c:v>37.000000000116415</c:v>
                </c:pt>
                <c:pt idx="3">
                  <c:v>40.833333333372138</c:v>
                </c:pt>
                <c:pt idx="4">
                  <c:v>61.250000000058208</c:v>
                </c:pt>
                <c:pt idx="5">
                  <c:v>84.833333333430346</c:v>
                </c:pt>
                <c:pt idx="6">
                  <c:v>89.000000000058208</c:v>
                </c:pt>
                <c:pt idx="7">
                  <c:v>108.33333333337214</c:v>
                </c:pt>
                <c:pt idx="8">
                  <c:v>113.16666666674428</c:v>
                </c:pt>
                <c:pt idx="9">
                  <c:v>131.25</c:v>
                </c:pt>
                <c:pt idx="10">
                  <c:v>136.83333333337214</c:v>
                </c:pt>
              </c:numCache>
            </c:numRef>
          </c:xVal>
          <c:yVal>
            <c:numRef>
              <c:f>[1]Hoja1!$G$2:$G$12</c:f>
              <c:numCache>
                <c:formatCode>General</c:formatCode>
                <c:ptCount val="11"/>
                <c:pt idx="0">
                  <c:v>0.78</c:v>
                </c:pt>
                <c:pt idx="1">
                  <c:v>0.8</c:v>
                </c:pt>
                <c:pt idx="2">
                  <c:v>2.95</c:v>
                </c:pt>
                <c:pt idx="3">
                  <c:v>3.4</c:v>
                </c:pt>
                <c:pt idx="4">
                  <c:v>7.55</c:v>
                </c:pt>
                <c:pt idx="5">
                  <c:v>9.25</c:v>
                </c:pt>
                <c:pt idx="6">
                  <c:v>9.1999999999999993</c:v>
                </c:pt>
                <c:pt idx="7">
                  <c:v>10.4</c:v>
                </c:pt>
                <c:pt idx="8">
                  <c:v>10.3</c:v>
                </c:pt>
                <c:pt idx="9">
                  <c:v>12.8</c:v>
                </c:pt>
                <c:pt idx="10">
                  <c:v>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C1D-4F52-AC95-C6067BAAEB4F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[1]Hoja1!$C$2:$C$12</c:f>
              <c:numCache>
                <c:formatCode>General</c:formatCode>
                <c:ptCount val="11"/>
                <c:pt idx="0">
                  <c:v>0</c:v>
                </c:pt>
                <c:pt idx="1">
                  <c:v>12.700000000011642</c:v>
                </c:pt>
                <c:pt idx="2">
                  <c:v>37.000000000116415</c:v>
                </c:pt>
                <c:pt idx="3">
                  <c:v>40.833333333372138</c:v>
                </c:pt>
                <c:pt idx="4">
                  <c:v>61.250000000058208</c:v>
                </c:pt>
                <c:pt idx="5">
                  <c:v>84.833333333430346</c:v>
                </c:pt>
                <c:pt idx="6">
                  <c:v>89.000000000058208</c:v>
                </c:pt>
                <c:pt idx="7">
                  <c:v>108.33333333337214</c:v>
                </c:pt>
                <c:pt idx="8">
                  <c:v>113.16666666674428</c:v>
                </c:pt>
                <c:pt idx="9">
                  <c:v>131.25</c:v>
                </c:pt>
                <c:pt idx="10">
                  <c:v>136.83333333337214</c:v>
                </c:pt>
              </c:numCache>
            </c:numRef>
          </c:xVal>
          <c:yVal>
            <c:numRef>
              <c:f>[1]Hoja1!$I$2:$I$12</c:f>
              <c:numCache>
                <c:formatCode>General</c:formatCode>
                <c:ptCount val="11"/>
                <c:pt idx="6">
                  <c:v>10.88</c:v>
                </c:pt>
                <c:pt idx="7">
                  <c:v>10.88</c:v>
                </c:pt>
                <c:pt idx="8">
                  <c:v>11.280000000000001</c:v>
                </c:pt>
                <c:pt idx="9">
                  <c:v>12.960000000000003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C1D-4F52-AC95-C6067BAAEB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0435208"/>
        <c:axId val="520455688"/>
      </c:scatterChart>
      <c:valAx>
        <c:axId val="520435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455688"/>
        <c:crosses val="autoZero"/>
        <c:crossBetween val="midCat"/>
      </c:valAx>
      <c:valAx>
        <c:axId val="520455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435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[1]Hoja1!$C$26:$C$36</c:f>
              <c:numCache>
                <c:formatCode>General</c:formatCode>
                <c:ptCount val="11"/>
                <c:pt idx="0">
                  <c:v>0</c:v>
                </c:pt>
                <c:pt idx="1">
                  <c:v>12.700000000011642</c:v>
                </c:pt>
                <c:pt idx="2">
                  <c:v>37.000000000116415</c:v>
                </c:pt>
                <c:pt idx="3">
                  <c:v>40.833333333372138</c:v>
                </c:pt>
                <c:pt idx="4">
                  <c:v>61.250000000058208</c:v>
                </c:pt>
                <c:pt idx="5">
                  <c:v>84.833333333430346</c:v>
                </c:pt>
                <c:pt idx="6">
                  <c:v>89.000000000058208</c:v>
                </c:pt>
                <c:pt idx="7">
                  <c:v>108.33333333337214</c:v>
                </c:pt>
                <c:pt idx="8">
                  <c:v>113.16666666674428</c:v>
                </c:pt>
                <c:pt idx="9">
                  <c:v>131.25</c:v>
                </c:pt>
                <c:pt idx="10">
                  <c:v>136.83333333337214</c:v>
                </c:pt>
              </c:numCache>
            </c:numRef>
          </c:xVal>
          <c:yVal>
            <c:numRef>
              <c:f>[1]Hoja1!$D$26:$D$36</c:f>
              <c:numCache>
                <c:formatCode>General</c:formatCode>
                <c:ptCount val="11"/>
                <c:pt idx="0">
                  <c:v>1063.3</c:v>
                </c:pt>
                <c:pt idx="1">
                  <c:v>1062.5999999999999</c:v>
                </c:pt>
                <c:pt idx="2">
                  <c:v>1040.4000000000001</c:v>
                </c:pt>
                <c:pt idx="3">
                  <c:v>1036.8</c:v>
                </c:pt>
                <c:pt idx="4">
                  <c:v>1016.4</c:v>
                </c:pt>
                <c:pt idx="5">
                  <c:v>1002.2</c:v>
                </c:pt>
                <c:pt idx="6">
                  <c:v>998.6</c:v>
                </c:pt>
                <c:pt idx="7">
                  <c:v>995.1</c:v>
                </c:pt>
                <c:pt idx="8">
                  <c:v>993.6</c:v>
                </c:pt>
                <c:pt idx="9">
                  <c:v>991.5</c:v>
                </c:pt>
                <c:pt idx="10">
                  <c:v>990.6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6BE-41A3-BBAE-EB1329DCB892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[1]Hoja1!$C$26:$C$36</c:f>
              <c:numCache>
                <c:formatCode>General</c:formatCode>
                <c:ptCount val="11"/>
                <c:pt idx="0">
                  <c:v>0</c:v>
                </c:pt>
                <c:pt idx="1">
                  <c:v>12.700000000011642</c:v>
                </c:pt>
                <c:pt idx="2">
                  <c:v>37.000000000116415</c:v>
                </c:pt>
                <c:pt idx="3">
                  <c:v>40.833333333372138</c:v>
                </c:pt>
                <c:pt idx="4">
                  <c:v>61.250000000058208</c:v>
                </c:pt>
                <c:pt idx="5">
                  <c:v>84.833333333430346</c:v>
                </c:pt>
                <c:pt idx="6">
                  <c:v>89.000000000058208</c:v>
                </c:pt>
                <c:pt idx="7">
                  <c:v>108.33333333337214</c:v>
                </c:pt>
                <c:pt idx="8">
                  <c:v>113.16666666674428</c:v>
                </c:pt>
                <c:pt idx="9">
                  <c:v>131.25</c:v>
                </c:pt>
                <c:pt idx="10">
                  <c:v>136.83333333337214</c:v>
                </c:pt>
              </c:numCache>
            </c:numRef>
          </c:xVal>
          <c:yVal>
            <c:numRef>
              <c:f>[1]Hoja1!$E$26:$E$36</c:f>
              <c:numCache>
                <c:formatCode>General</c:formatCode>
                <c:ptCount val="11"/>
                <c:pt idx="0">
                  <c:v>1.0632999999999999</c:v>
                </c:pt>
                <c:pt idx="1">
                  <c:v>1.0626</c:v>
                </c:pt>
                <c:pt idx="2">
                  <c:v>1.0404</c:v>
                </c:pt>
                <c:pt idx="3">
                  <c:v>1.0367999999999999</c:v>
                </c:pt>
                <c:pt idx="4">
                  <c:v>1.0164</c:v>
                </c:pt>
                <c:pt idx="5">
                  <c:v>1.0022</c:v>
                </c:pt>
                <c:pt idx="6">
                  <c:v>0.99860000000000004</c:v>
                </c:pt>
                <c:pt idx="7">
                  <c:v>0.99509999999999998</c:v>
                </c:pt>
                <c:pt idx="8">
                  <c:v>0.99360000000000004</c:v>
                </c:pt>
                <c:pt idx="9">
                  <c:v>0.99150000000000005</c:v>
                </c:pt>
                <c:pt idx="10">
                  <c:v>0.99060000000000004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6BE-41A3-BBAE-EB1329DCB892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[1]Hoja1!$C$26:$C$36</c:f>
              <c:numCache>
                <c:formatCode>General</c:formatCode>
                <c:ptCount val="11"/>
                <c:pt idx="0">
                  <c:v>0</c:v>
                </c:pt>
                <c:pt idx="1">
                  <c:v>12.700000000011642</c:v>
                </c:pt>
                <c:pt idx="2">
                  <c:v>37.000000000116415</c:v>
                </c:pt>
                <c:pt idx="3">
                  <c:v>40.833333333372138</c:v>
                </c:pt>
                <c:pt idx="4">
                  <c:v>61.250000000058208</c:v>
                </c:pt>
                <c:pt idx="5">
                  <c:v>84.833333333430346</c:v>
                </c:pt>
                <c:pt idx="6">
                  <c:v>89.000000000058208</c:v>
                </c:pt>
                <c:pt idx="7">
                  <c:v>108.33333333337214</c:v>
                </c:pt>
                <c:pt idx="8">
                  <c:v>113.16666666674428</c:v>
                </c:pt>
                <c:pt idx="9">
                  <c:v>131.25</c:v>
                </c:pt>
                <c:pt idx="10">
                  <c:v>136.83333333337214</c:v>
                </c:pt>
              </c:numCache>
            </c:numRef>
          </c:xVal>
          <c:yVal>
            <c:numRef>
              <c:f>[1]Hoja1!$F$26:$F$36</c:f>
              <c:numCache>
                <c:formatCode>General</c:formatCode>
                <c:ptCount val="11"/>
                <c:pt idx="0">
                  <c:v>15.508453425518496</c:v>
                </c:pt>
                <c:pt idx="1">
                  <c:v>15.345898423808308</c:v>
                </c:pt>
                <c:pt idx="2">
                  <c:v>10.089944418815435</c:v>
                </c:pt>
                <c:pt idx="3">
                  <c:v>9.2187920577503064</c:v>
                </c:pt>
                <c:pt idx="4">
                  <c:v>4.1788469691551882</c:v>
                </c:pt>
                <c:pt idx="5">
                  <c:v>0.56344706212325946</c:v>
                </c:pt>
                <c:pt idx="6">
                  <c:v>-0.36756167219846247</c:v>
                </c:pt>
                <c:pt idx="7">
                  <c:v>-1.2784009424664191</c:v>
                </c:pt>
                <c:pt idx="8">
                  <c:v>-1.6704902725483635</c:v>
                </c:pt>
                <c:pt idx="9">
                  <c:v>-2.2211686083589939</c:v>
                </c:pt>
                <c:pt idx="10">
                  <c:v>-2.4578019954875572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6BE-41A3-BBAE-EB1329DCB892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[1]Hoja1!$C$26:$C$36</c:f>
              <c:numCache>
                <c:formatCode>General</c:formatCode>
                <c:ptCount val="11"/>
                <c:pt idx="0">
                  <c:v>0</c:v>
                </c:pt>
                <c:pt idx="1">
                  <c:v>12.700000000011642</c:v>
                </c:pt>
                <c:pt idx="2">
                  <c:v>37.000000000116415</c:v>
                </c:pt>
                <c:pt idx="3">
                  <c:v>40.833333333372138</c:v>
                </c:pt>
                <c:pt idx="4">
                  <c:v>61.250000000058208</c:v>
                </c:pt>
                <c:pt idx="5">
                  <c:v>84.833333333430346</c:v>
                </c:pt>
                <c:pt idx="6">
                  <c:v>89.000000000058208</c:v>
                </c:pt>
                <c:pt idx="7">
                  <c:v>108.33333333337214</c:v>
                </c:pt>
                <c:pt idx="8">
                  <c:v>113.16666666674428</c:v>
                </c:pt>
                <c:pt idx="9">
                  <c:v>131.25</c:v>
                </c:pt>
                <c:pt idx="10">
                  <c:v>136.83333333337214</c:v>
                </c:pt>
              </c:numCache>
            </c:numRef>
          </c:xVal>
          <c:yVal>
            <c:numRef>
              <c:f>[1]Hoja1!$H$26:$H$36</c:f>
              <c:numCache>
                <c:formatCode>General</c:formatCode>
                <c:ptCount val="11"/>
                <c:pt idx="0">
                  <c:v>0.78</c:v>
                </c:pt>
                <c:pt idx="1">
                  <c:v>0.88779969736668396</c:v>
                </c:pt>
                <c:pt idx="2">
                  <c:v>4.373329180621762</c:v>
                </c:pt>
                <c:pt idx="3">
                  <c:v>4.9510410928674427</c:v>
                </c:pt>
                <c:pt idx="4">
                  <c:v>8.2933224719657606</c:v>
                </c:pt>
                <c:pt idx="5">
                  <c:v>10.690904900911416</c:v>
                </c:pt>
                <c:pt idx="6">
                  <c:v>11.308311063439422</c:v>
                </c:pt>
                <c:pt idx="7">
                  <c:v>11.912341678625486</c:v>
                </c:pt>
                <c:pt idx="8">
                  <c:v>12.172358969258569</c:v>
                </c:pt>
                <c:pt idx="9">
                  <c:v>12.537545874135299</c:v>
                </c:pt>
                <c:pt idx="10">
                  <c:v>12.69447126708501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6BE-41A3-BBAE-EB1329DCB892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[1]Hoja1!$C$26:$C$36</c:f>
              <c:numCache>
                <c:formatCode>General</c:formatCode>
                <c:ptCount val="11"/>
                <c:pt idx="0">
                  <c:v>0</c:v>
                </c:pt>
                <c:pt idx="1">
                  <c:v>12.700000000011642</c:v>
                </c:pt>
                <c:pt idx="2">
                  <c:v>37.000000000116415</c:v>
                </c:pt>
                <c:pt idx="3">
                  <c:v>40.833333333372138</c:v>
                </c:pt>
                <c:pt idx="4">
                  <c:v>61.250000000058208</c:v>
                </c:pt>
                <c:pt idx="5">
                  <c:v>84.833333333430346</c:v>
                </c:pt>
                <c:pt idx="6">
                  <c:v>89.000000000058208</c:v>
                </c:pt>
                <c:pt idx="7">
                  <c:v>108.33333333337214</c:v>
                </c:pt>
                <c:pt idx="8">
                  <c:v>113.16666666674428</c:v>
                </c:pt>
                <c:pt idx="9">
                  <c:v>131.25</c:v>
                </c:pt>
                <c:pt idx="10">
                  <c:v>136.83333333337214</c:v>
                </c:pt>
              </c:numCache>
            </c:numRef>
          </c:xVal>
          <c:yVal>
            <c:numRef>
              <c:f>[1]Hoja1!$G$26:$G$36</c:f>
              <c:numCache>
                <c:formatCode>General</c:formatCode>
                <c:ptCount val="11"/>
                <c:pt idx="0">
                  <c:v>0.78</c:v>
                </c:pt>
                <c:pt idx="1">
                  <c:v>0.65</c:v>
                </c:pt>
                <c:pt idx="2">
                  <c:v>2.8999999999999995</c:v>
                </c:pt>
                <c:pt idx="3">
                  <c:v>3.5</c:v>
                </c:pt>
                <c:pt idx="4">
                  <c:v>7.65</c:v>
                </c:pt>
                <c:pt idx="5">
                  <c:v>9.35</c:v>
                </c:pt>
                <c:pt idx="6">
                  <c:v>8.5500000000000007</c:v>
                </c:pt>
                <c:pt idx="7">
                  <c:v>10</c:v>
                </c:pt>
                <c:pt idx="8">
                  <c:v>11.95</c:v>
                </c:pt>
                <c:pt idx="9">
                  <c:v>11.65</c:v>
                </c:pt>
                <c:pt idx="10">
                  <c:v>11.9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6BE-41A3-BBAE-EB1329DCB892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[1]Hoja1!$C$26:$C$36</c:f>
              <c:numCache>
                <c:formatCode>General</c:formatCode>
                <c:ptCount val="11"/>
                <c:pt idx="0">
                  <c:v>0</c:v>
                </c:pt>
                <c:pt idx="1">
                  <c:v>12.700000000011642</c:v>
                </c:pt>
                <c:pt idx="2">
                  <c:v>37.000000000116415</c:v>
                </c:pt>
                <c:pt idx="3">
                  <c:v>40.833333333372138</c:v>
                </c:pt>
                <c:pt idx="4">
                  <c:v>61.250000000058208</c:v>
                </c:pt>
                <c:pt idx="5">
                  <c:v>84.833333333430346</c:v>
                </c:pt>
                <c:pt idx="6">
                  <c:v>89.000000000058208</c:v>
                </c:pt>
                <c:pt idx="7">
                  <c:v>108.33333333337214</c:v>
                </c:pt>
                <c:pt idx="8">
                  <c:v>113.16666666674428</c:v>
                </c:pt>
                <c:pt idx="9">
                  <c:v>131.25</c:v>
                </c:pt>
                <c:pt idx="10">
                  <c:v>136.83333333337214</c:v>
                </c:pt>
              </c:numCache>
            </c:numRef>
          </c:xVal>
          <c:yVal>
            <c:numRef>
              <c:f>[1]Hoja1!$I$26:$I$36</c:f>
              <c:numCache>
                <c:formatCode>General</c:formatCode>
                <c:ptCount val="11"/>
                <c:pt idx="6">
                  <c:v>11.4</c:v>
                </c:pt>
                <c:pt idx="7">
                  <c:v>10.96</c:v>
                </c:pt>
                <c:pt idx="8">
                  <c:v>9.64</c:v>
                </c:pt>
                <c:pt idx="9">
                  <c:v>13.280000000000001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6BE-41A3-BBAE-EB1329DCB8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2922504"/>
        <c:axId val="362924552"/>
      </c:scatterChart>
      <c:valAx>
        <c:axId val="362922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924552"/>
        <c:crosses val="autoZero"/>
        <c:crossBetween val="midCat"/>
      </c:valAx>
      <c:valAx>
        <c:axId val="362924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922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[1]Hoja1!$C$37:$C$49</c:f>
              <c:numCache>
                <c:formatCode>General</c:formatCode>
                <c:ptCount val="13"/>
                <c:pt idx="0">
                  <c:v>0</c:v>
                </c:pt>
                <c:pt idx="1">
                  <c:v>12.700000000011642</c:v>
                </c:pt>
                <c:pt idx="2">
                  <c:v>37.000000000116415</c:v>
                </c:pt>
                <c:pt idx="3">
                  <c:v>40.833333333372138</c:v>
                </c:pt>
                <c:pt idx="4">
                  <c:v>61.250000000058208</c:v>
                </c:pt>
                <c:pt idx="5">
                  <c:v>84.833333333430346</c:v>
                </c:pt>
                <c:pt idx="6">
                  <c:v>89.000000000058208</c:v>
                </c:pt>
                <c:pt idx="7">
                  <c:v>108.33333333337214</c:v>
                </c:pt>
                <c:pt idx="8">
                  <c:v>113.16666666674428</c:v>
                </c:pt>
                <c:pt idx="9">
                  <c:v>131.25</c:v>
                </c:pt>
                <c:pt idx="10">
                  <c:v>136.83333333337214</c:v>
                </c:pt>
                <c:pt idx="11">
                  <c:v>156</c:v>
                </c:pt>
                <c:pt idx="12">
                  <c:v>180</c:v>
                </c:pt>
              </c:numCache>
            </c:numRef>
          </c:xVal>
          <c:yVal>
            <c:numRef>
              <c:f>[1]Hoja1!$D$37:$D$49</c:f>
              <c:numCache>
                <c:formatCode>General</c:formatCode>
                <c:ptCount val="13"/>
                <c:pt idx="0">
                  <c:v>1062.2</c:v>
                </c:pt>
                <c:pt idx="1">
                  <c:v>1062</c:v>
                </c:pt>
                <c:pt idx="2">
                  <c:v>1051.9000000000001</c:v>
                </c:pt>
                <c:pt idx="3">
                  <c:v>1048.3</c:v>
                </c:pt>
                <c:pt idx="4">
                  <c:v>1030</c:v>
                </c:pt>
                <c:pt idx="5">
                  <c:v>1015.3</c:v>
                </c:pt>
                <c:pt idx="6">
                  <c:v>1010.8</c:v>
                </c:pt>
                <c:pt idx="7">
                  <c:v>1003.5</c:v>
                </c:pt>
                <c:pt idx="8">
                  <c:v>1002.2</c:v>
                </c:pt>
                <c:pt idx="9">
                  <c:v>997.4</c:v>
                </c:pt>
                <c:pt idx="10">
                  <c:v>995.3</c:v>
                </c:pt>
                <c:pt idx="11">
                  <c:v>994.6</c:v>
                </c:pt>
                <c:pt idx="12">
                  <c:v>994.6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5B2-4143-9C85-829C632A322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[1]Hoja1!$C$37:$C$49</c:f>
              <c:numCache>
                <c:formatCode>General</c:formatCode>
                <c:ptCount val="13"/>
                <c:pt idx="0">
                  <c:v>0</c:v>
                </c:pt>
                <c:pt idx="1">
                  <c:v>12.700000000011642</c:v>
                </c:pt>
                <c:pt idx="2">
                  <c:v>37.000000000116415</c:v>
                </c:pt>
                <c:pt idx="3">
                  <c:v>40.833333333372138</c:v>
                </c:pt>
                <c:pt idx="4">
                  <c:v>61.250000000058208</c:v>
                </c:pt>
                <c:pt idx="5">
                  <c:v>84.833333333430346</c:v>
                </c:pt>
                <c:pt idx="6">
                  <c:v>89.000000000058208</c:v>
                </c:pt>
                <c:pt idx="7">
                  <c:v>108.33333333337214</c:v>
                </c:pt>
                <c:pt idx="8">
                  <c:v>113.16666666674428</c:v>
                </c:pt>
                <c:pt idx="9">
                  <c:v>131.25</c:v>
                </c:pt>
                <c:pt idx="10">
                  <c:v>136.83333333337214</c:v>
                </c:pt>
                <c:pt idx="11">
                  <c:v>156</c:v>
                </c:pt>
                <c:pt idx="12">
                  <c:v>180</c:v>
                </c:pt>
              </c:numCache>
            </c:numRef>
          </c:xVal>
          <c:yVal>
            <c:numRef>
              <c:f>[1]Hoja1!$E$37:$E$49</c:f>
              <c:numCache>
                <c:formatCode>General</c:formatCode>
                <c:ptCount val="13"/>
                <c:pt idx="0">
                  <c:v>1.0622</c:v>
                </c:pt>
                <c:pt idx="1">
                  <c:v>1.0620000000000001</c:v>
                </c:pt>
                <c:pt idx="2">
                  <c:v>1.0519000000000001</c:v>
                </c:pt>
                <c:pt idx="3">
                  <c:v>1.0483</c:v>
                </c:pt>
                <c:pt idx="4">
                  <c:v>1.03</c:v>
                </c:pt>
                <c:pt idx="5">
                  <c:v>1.0152999999999999</c:v>
                </c:pt>
                <c:pt idx="6">
                  <c:v>1.0107999999999999</c:v>
                </c:pt>
                <c:pt idx="7">
                  <c:v>1.0035000000000001</c:v>
                </c:pt>
                <c:pt idx="8">
                  <c:v>1.0022</c:v>
                </c:pt>
                <c:pt idx="9">
                  <c:v>0.99739999999999995</c:v>
                </c:pt>
                <c:pt idx="10">
                  <c:v>0.99529999999999996</c:v>
                </c:pt>
                <c:pt idx="11">
                  <c:v>0.99460000000000004</c:v>
                </c:pt>
                <c:pt idx="12">
                  <c:v>0.99460000000000004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5B2-4143-9C85-829C632A3220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[1]Hoja1!$C$37:$C$49</c:f>
              <c:numCache>
                <c:formatCode>General</c:formatCode>
                <c:ptCount val="13"/>
                <c:pt idx="0">
                  <c:v>0</c:v>
                </c:pt>
                <c:pt idx="1">
                  <c:v>12.700000000011642</c:v>
                </c:pt>
                <c:pt idx="2">
                  <c:v>37.000000000116415</c:v>
                </c:pt>
                <c:pt idx="3">
                  <c:v>40.833333333372138</c:v>
                </c:pt>
                <c:pt idx="4">
                  <c:v>61.250000000058208</c:v>
                </c:pt>
                <c:pt idx="5">
                  <c:v>84.833333333430346</c:v>
                </c:pt>
                <c:pt idx="6">
                  <c:v>89.000000000058208</c:v>
                </c:pt>
                <c:pt idx="7">
                  <c:v>108.33333333337214</c:v>
                </c:pt>
                <c:pt idx="8">
                  <c:v>113.16666666674428</c:v>
                </c:pt>
                <c:pt idx="9">
                  <c:v>131.25</c:v>
                </c:pt>
                <c:pt idx="10">
                  <c:v>136.83333333337214</c:v>
                </c:pt>
                <c:pt idx="11">
                  <c:v>156</c:v>
                </c:pt>
                <c:pt idx="12">
                  <c:v>180</c:v>
                </c:pt>
              </c:numCache>
            </c:numRef>
          </c:xVal>
          <c:yVal>
            <c:numRef>
              <c:f>[1]Hoja1!$F$37:$F$49</c:f>
              <c:numCache>
                <c:formatCode>General</c:formatCode>
                <c:ptCount val="13"/>
                <c:pt idx="0">
                  <c:v>15.252924499738128</c:v>
                </c:pt>
                <c:pt idx="1">
                  <c:v>15.206414231512667</c:v>
                </c:pt>
                <c:pt idx="2">
                  <c:v>12.837238061065023</c:v>
                </c:pt>
                <c:pt idx="3">
                  <c:v>11.982979010049917</c:v>
                </c:pt>
                <c:pt idx="4">
                  <c:v>7.5585198026999478</c:v>
                </c:pt>
                <c:pt idx="5">
                  <c:v>3.9019814765356386</c:v>
                </c:pt>
                <c:pt idx="6">
                  <c:v>2.7637921252255637</c:v>
                </c:pt>
                <c:pt idx="7">
                  <c:v>0.89819537592677534</c:v>
                </c:pt>
                <c:pt idx="8">
                  <c:v>0.56344706212325946</c:v>
                </c:pt>
                <c:pt idx="9">
                  <c:v>-0.67921482708686653</c:v>
                </c:pt>
                <c:pt idx="10">
                  <c:v>-1.2262009803170031</c:v>
                </c:pt>
                <c:pt idx="11">
                  <c:v>-1.4089817113850813</c:v>
                </c:pt>
                <c:pt idx="12">
                  <c:v>-1.4089817113850813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5B2-4143-9C85-829C632A3220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[1]Hoja1!$C$37:$C$49</c:f>
              <c:numCache>
                <c:formatCode>General</c:formatCode>
                <c:ptCount val="13"/>
                <c:pt idx="0">
                  <c:v>0</c:v>
                </c:pt>
                <c:pt idx="1">
                  <c:v>12.700000000011642</c:v>
                </c:pt>
                <c:pt idx="2">
                  <c:v>37.000000000116415</c:v>
                </c:pt>
                <c:pt idx="3">
                  <c:v>40.833333333372138</c:v>
                </c:pt>
                <c:pt idx="4">
                  <c:v>61.250000000058208</c:v>
                </c:pt>
                <c:pt idx="5">
                  <c:v>84.833333333430346</c:v>
                </c:pt>
                <c:pt idx="6">
                  <c:v>89.000000000058208</c:v>
                </c:pt>
                <c:pt idx="7">
                  <c:v>108.33333333337214</c:v>
                </c:pt>
                <c:pt idx="8">
                  <c:v>113.16666666674428</c:v>
                </c:pt>
                <c:pt idx="9">
                  <c:v>131.25</c:v>
                </c:pt>
                <c:pt idx="10">
                  <c:v>136.83333333337214</c:v>
                </c:pt>
                <c:pt idx="11">
                  <c:v>156</c:v>
                </c:pt>
                <c:pt idx="12">
                  <c:v>180</c:v>
                </c:pt>
              </c:numCache>
            </c:numRef>
          </c:xVal>
          <c:yVal>
            <c:numRef>
              <c:f>[1]Hoja1!$H$37:$H$49</c:f>
              <c:numCache>
                <c:formatCode>General</c:formatCode>
                <c:ptCount val="13"/>
                <c:pt idx="0">
                  <c:v>0.78</c:v>
                </c:pt>
                <c:pt idx="1">
                  <c:v>0.81084367005874625</c:v>
                </c:pt>
                <c:pt idx="2">
                  <c:v>2.3819824938148386</c:v>
                </c:pt>
                <c:pt idx="3">
                  <c:v>2.9484914674135698</c:v>
                </c:pt>
                <c:pt idx="4">
                  <c:v>5.8826082804655941</c:v>
                </c:pt>
                <c:pt idx="5">
                  <c:v>8.3074719931980177</c:v>
                </c:pt>
                <c:pt idx="6">
                  <c:v>9.0622716999210251</c:v>
                </c:pt>
                <c:pt idx="7">
                  <c:v>10.299457654624709</c:v>
                </c:pt>
                <c:pt idx="8">
                  <c:v>10.521448774814061</c:v>
                </c:pt>
                <c:pt idx="9">
                  <c:v>11.345530311380935</c:v>
                </c:pt>
                <c:pt idx="10">
                  <c:v>11.708268714762095</c:v>
                </c:pt>
                <c:pt idx="11">
                  <c:v>11.829481272273728</c:v>
                </c:pt>
                <c:pt idx="12">
                  <c:v>11.829481272273728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5B2-4143-9C85-829C632A3220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[1]Hoja1!$C$37:$C$49</c:f>
              <c:numCache>
                <c:formatCode>General</c:formatCode>
                <c:ptCount val="13"/>
                <c:pt idx="0">
                  <c:v>0</c:v>
                </c:pt>
                <c:pt idx="1">
                  <c:v>12.700000000011642</c:v>
                </c:pt>
                <c:pt idx="2">
                  <c:v>37.000000000116415</c:v>
                </c:pt>
                <c:pt idx="3">
                  <c:v>40.833333333372138</c:v>
                </c:pt>
                <c:pt idx="4">
                  <c:v>61.250000000058208</c:v>
                </c:pt>
                <c:pt idx="5">
                  <c:v>84.833333333430346</c:v>
                </c:pt>
                <c:pt idx="6">
                  <c:v>89.000000000058208</c:v>
                </c:pt>
                <c:pt idx="7">
                  <c:v>108.33333333337214</c:v>
                </c:pt>
                <c:pt idx="8">
                  <c:v>113.16666666674428</c:v>
                </c:pt>
                <c:pt idx="9">
                  <c:v>131.25</c:v>
                </c:pt>
                <c:pt idx="10">
                  <c:v>136.83333333337214</c:v>
                </c:pt>
                <c:pt idx="11">
                  <c:v>156</c:v>
                </c:pt>
                <c:pt idx="12">
                  <c:v>180</c:v>
                </c:pt>
              </c:numCache>
            </c:numRef>
          </c:xVal>
          <c:yVal>
            <c:numRef>
              <c:f>[1]Hoja1!$G$37:$G$49</c:f>
              <c:numCache>
                <c:formatCode>General</c:formatCode>
                <c:ptCount val="13"/>
                <c:pt idx="0">
                  <c:v>0.78</c:v>
                </c:pt>
                <c:pt idx="1">
                  <c:v>1.4000000000000001</c:v>
                </c:pt>
                <c:pt idx="2">
                  <c:v>2.35</c:v>
                </c:pt>
                <c:pt idx="3">
                  <c:v>2.5</c:v>
                </c:pt>
                <c:pt idx="4">
                  <c:v>5.25</c:v>
                </c:pt>
                <c:pt idx="5">
                  <c:v>7.4</c:v>
                </c:pt>
                <c:pt idx="6">
                  <c:v>3.4</c:v>
                </c:pt>
                <c:pt idx="7">
                  <c:v>4.3999999999999995</c:v>
                </c:pt>
                <c:pt idx="8">
                  <c:v>5.7999999999999989</c:v>
                </c:pt>
                <c:pt idx="9">
                  <c:v>7.2</c:v>
                </c:pt>
                <c:pt idx="10">
                  <c:v>5.35</c:v>
                </c:pt>
                <c:pt idx="11">
                  <c:v>6.45</c:v>
                </c:pt>
                <c:pt idx="12">
                  <c:v>11.9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5B2-4143-9C85-829C632A3220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[1]Hoja1!$C$37:$C$49</c:f>
              <c:numCache>
                <c:formatCode>General</c:formatCode>
                <c:ptCount val="13"/>
                <c:pt idx="0">
                  <c:v>0</c:v>
                </c:pt>
                <c:pt idx="1">
                  <c:v>12.700000000011642</c:v>
                </c:pt>
                <c:pt idx="2">
                  <c:v>37.000000000116415</c:v>
                </c:pt>
                <c:pt idx="3">
                  <c:v>40.833333333372138</c:v>
                </c:pt>
                <c:pt idx="4">
                  <c:v>61.250000000058208</c:v>
                </c:pt>
                <c:pt idx="5">
                  <c:v>84.833333333430346</c:v>
                </c:pt>
                <c:pt idx="6">
                  <c:v>89.000000000058208</c:v>
                </c:pt>
                <c:pt idx="7">
                  <c:v>108.33333333337214</c:v>
                </c:pt>
                <c:pt idx="8">
                  <c:v>113.16666666674428</c:v>
                </c:pt>
                <c:pt idx="9">
                  <c:v>131.25</c:v>
                </c:pt>
                <c:pt idx="10">
                  <c:v>136.83333333337214</c:v>
                </c:pt>
                <c:pt idx="11">
                  <c:v>156</c:v>
                </c:pt>
                <c:pt idx="12">
                  <c:v>180</c:v>
                </c:pt>
              </c:numCache>
            </c:numRef>
          </c:xVal>
          <c:yVal>
            <c:numRef>
              <c:f>[1]Hoja1!$I$37:$I$49</c:f>
              <c:numCache>
                <c:formatCode>General</c:formatCode>
                <c:ptCount val="13"/>
                <c:pt idx="6">
                  <c:v>10.48</c:v>
                </c:pt>
                <c:pt idx="7">
                  <c:v>11</c:v>
                </c:pt>
                <c:pt idx="8">
                  <c:v>10.24</c:v>
                </c:pt>
                <c:pt idx="9">
                  <c:v>2.4800000000000004</c:v>
                </c:pt>
                <c:pt idx="10">
                  <c:v>12.48</c:v>
                </c:pt>
                <c:pt idx="11">
                  <c:v>11.84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5B2-4143-9C85-829C632A32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406535"/>
        <c:axId val="1421840904"/>
      </c:scatterChart>
      <c:valAx>
        <c:axId val="720406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1840904"/>
        <c:crosses val="autoZero"/>
        <c:crossBetween val="midCat"/>
      </c:valAx>
      <c:valAx>
        <c:axId val="1421840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4065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[1]Hoja1!$C$50:$C$70</c:f>
              <c:numCache>
                <c:formatCode>General</c:formatCode>
                <c:ptCount val="21"/>
                <c:pt idx="0">
                  <c:v>0</c:v>
                </c:pt>
                <c:pt idx="1">
                  <c:v>0.50000000005820766</c:v>
                </c:pt>
                <c:pt idx="2">
                  <c:v>15</c:v>
                </c:pt>
                <c:pt idx="3">
                  <c:v>21</c:v>
                </c:pt>
                <c:pt idx="4">
                  <c:v>24</c:v>
                </c:pt>
                <c:pt idx="5">
                  <c:v>39.999999999941792</c:v>
                </c:pt>
                <c:pt idx="6">
                  <c:v>44.499999999941792</c:v>
                </c:pt>
                <c:pt idx="7">
                  <c:v>46.666666666686069</c:v>
                </c:pt>
                <c:pt idx="8">
                  <c:v>63.999999999941792</c:v>
                </c:pt>
                <c:pt idx="9">
                  <c:v>68.499999999941792</c:v>
                </c:pt>
                <c:pt idx="10">
                  <c:v>90</c:v>
                </c:pt>
                <c:pt idx="11">
                  <c:v>118.5</c:v>
                </c:pt>
                <c:pt idx="12">
                  <c:v>135.99999999994179</c:v>
                </c:pt>
                <c:pt idx="13">
                  <c:v>142.33333333331393</c:v>
                </c:pt>
                <c:pt idx="14">
                  <c:v>159</c:v>
                </c:pt>
                <c:pt idx="15">
                  <c:v>165</c:v>
                </c:pt>
                <c:pt idx="16">
                  <c:v>183.50000000005821</c:v>
                </c:pt>
                <c:pt idx="17">
                  <c:v>189.99999999994179</c:v>
                </c:pt>
                <c:pt idx="18">
                  <c:v>207.99999999994179</c:v>
                </c:pt>
                <c:pt idx="19">
                  <c:v>213</c:v>
                </c:pt>
                <c:pt idx="20">
                  <c:v>231</c:v>
                </c:pt>
              </c:numCache>
            </c:numRef>
          </c:xVal>
          <c:yVal>
            <c:numRef>
              <c:f>[1]Hoja1!$D$50:$D$70</c:f>
              <c:numCache>
                <c:formatCode>General</c:formatCode>
                <c:ptCount val="21"/>
                <c:pt idx="0">
                  <c:v>1061.0999999999999</c:v>
                </c:pt>
                <c:pt idx="1">
                  <c:v>1061.0999999999999</c:v>
                </c:pt>
                <c:pt idx="2">
                  <c:v>1059.8</c:v>
                </c:pt>
                <c:pt idx="3">
                  <c:v>1058.2</c:v>
                </c:pt>
                <c:pt idx="4">
                  <c:v>1058.2</c:v>
                </c:pt>
                <c:pt idx="5">
                  <c:v>1052.2</c:v>
                </c:pt>
                <c:pt idx="6">
                  <c:v>1049.2</c:v>
                </c:pt>
                <c:pt idx="7">
                  <c:v>1048.2</c:v>
                </c:pt>
                <c:pt idx="8">
                  <c:v>1037.2</c:v>
                </c:pt>
                <c:pt idx="9">
                  <c:v>1033.2</c:v>
                </c:pt>
                <c:pt idx="10">
                  <c:v>1023</c:v>
                </c:pt>
                <c:pt idx="11">
                  <c:v>1010.4</c:v>
                </c:pt>
                <c:pt idx="12">
                  <c:v>1005.7</c:v>
                </c:pt>
                <c:pt idx="13">
                  <c:v>1003.9</c:v>
                </c:pt>
                <c:pt idx="14">
                  <c:v>1001.9</c:v>
                </c:pt>
                <c:pt idx="15">
                  <c:v>999.9</c:v>
                </c:pt>
                <c:pt idx="16">
                  <c:v>999</c:v>
                </c:pt>
                <c:pt idx="17">
                  <c:v>996.2</c:v>
                </c:pt>
                <c:pt idx="18">
                  <c:v>995.3</c:v>
                </c:pt>
                <c:pt idx="19">
                  <c:v>993.6</c:v>
                </c:pt>
                <c:pt idx="20">
                  <c:v>994.1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74D-4CC2-B40E-031382066B7D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[1]Hoja1!$C$50:$C$70</c:f>
              <c:numCache>
                <c:formatCode>General</c:formatCode>
                <c:ptCount val="21"/>
                <c:pt idx="0">
                  <c:v>0</c:v>
                </c:pt>
                <c:pt idx="1">
                  <c:v>0.50000000005820766</c:v>
                </c:pt>
                <c:pt idx="2">
                  <c:v>15</c:v>
                </c:pt>
                <c:pt idx="3">
                  <c:v>21</c:v>
                </c:pt>
                <c:pt idx="4">
                  <c:v>24</c:v>
                </c:pt>
                <c:pt idx="5">
                  <c:v>39.999999999941792</c:v>
                </c:pt>
                <c:pt idx="6">
                  <c:v>44.499999999941792</c:v>
                </c:pt>
                <c:pt idx="7">
                  <c:v>46.666666666686069</c:v>
                </c:pt>
                <c:pt idx="8">
                  <c:v>63.999999999941792</c:v>
                </c:pt>
                <c:pt idx="9">
                  <c:v>68.499999999941792</c:v>
                </c:pt>
                <c:pt idx="10">
                  <c:v>90</c:v>
                </c:pt>
                <c:pt idx="11">
                  <c:v>118.5</c:v>
                </c:pt>
                <c:pt idx="12">
                  <c:v>135.99999999994179</c:v>
                </c:pt>
                <c:pt idx="13">
                  <c:v>142.33333333331393</c:v>
                </c:pt>
                <c:pt idx="14">
                  <c:v>159</c:v>
                </c:pt>
                <c:pt idx="15">
                  <c:v>165</c:v>
                </c:pt>
                <c:pt idx="16">
                  <c:v>183.50000000005821</c:v>
                </c:pt>
                <c:pt idx="17">
                  <c:v>189.99999999994179</c:v>
                </c:pt>
                <c:pt idx="18">
                  <c:v>207.99999999994179</c:v>
                </c:pt>
                <c:pt idx="19">
                  <c:v>213</c:v>
                </c:pt>
                <c:pt idx="20">
                  <c:v>231</c:v>
                </c:pt>
              </c:numCache>
            </c:numRef>
          </c:xVal>
          <c:yVal>
            <c:numRef>
              <c:f>[1]Hoja1!$E$50:$E$70</c:f>
              <c:numCache>
                <c:formatCode>General</c:formatCode>
                <c:ptCount val="21"/>
                <c:pt idx="0">
                  <c:v>1.0610999999999999</c:v>
                </c:pt>
                <c:pt idx="1">
                  <c:v>1.0610999999999999</c:v>
                </c:pt>
                <c:pt idx="2">
                  <c:v>1.0597999999999999</c:v>
                </c:pt>
                <c:pt idx="3">
                  <c:v>1.0582</c:v>
                </c:pt>
                <c:pt idx="4">
                  <c:v>1.0582</c:v>
                </c:pt>
                <c:pt idx="5">
                  <c:v>1.0522</c:v>
                </c:pt>
                <c:pt idx="6">
                  <c:v>1.0492000000000001</c:v>
                </c:pt>
                <c:pt idx="7">
                  <c:v>1.0482</c:v>
                </c:pt>
                <c:pt idx="8">
                  <c:v>1.0372000000000001</c:v>
                </c:pt>
                <c:pt idx="9">
                  <c:v>1.0332000000000001</c:v>
                </c:pt>
                <c:pt idx="10">
                  <c:v>1.0229999999999999</c:v>
                </c:pt>
                <c:pt idx="11">
                  <c:v>1.0104</c:v>
                </c:pt>
                <c:pt idx="12">
                  <c:v>1.0057</c:v>
                </c:pt>
                <c:pt idx="13">
                  <c:v>1.0039</c:v>
                </c:pt>
                <c:pt idx="14">
                  <c:v>1.0019</c:v>
                </c:pt>
                <c:pt idx="15">
                  <c:v>0.99990000000000001</c:v>
                </c:pt>
                <c:pt idx="16">
                  <c:v>0.999</c:v>
                </c:pt>
                <c:pt idx="17">
                  <c:v>0.99620000000000009</c:v>
                </c:pt>
                <c:pt idx="18">
                  <c:v>0.99529999999999996</c:v>
                </c:pt>
                <c:pt idx="19">
                  <c:v>0.99360000000000004</c:v>
                </c:pt>
                <c:pt idx="20">
                  <c:v>0.99409999999999998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74D-4CC2-B40E-031382066B7D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[1]Hoja1!$C$50:$C$70</c:f>
              <c:numCache>
                <c:formatCode>General</c:formatCode>
                <c:ptCount val="21"/>
                <c:pt idx="0">
                  <c:v>0</c:v>
                </c:pt>
                <c:pt idx="1">
                  <c:v>0.50000000005820766</c:v>
                </c:pt>
                <c:pt idx="2">
                  <c:v>15</c:v>
                </c:pt>
                <c:pt idx="3">
                  <c:v>21</c:v>
                </c:pt>
                <c:pt idx="4">
                  <c:v>24</c:v>
                </c:pt>
                <c:pt idx="5">
                  <c:v>39.999999999941792</c:v>
                </c:pt>
                <c:pt idx="6">
                  <c:v>44.499999999941792</c:v>
                </c:pt>
                <c:pt idx="7">
                  <c:v>46.666666666686069</c:v>
                </c:pt>
                <c:pt idx="8">
                  <c:v>63.999999999941792</c:v>
                </c:pt>
                <c:pt idx="9">
                  <c:v>68.499999999941792</c:v>
                </c:pt>
                <c:pt idx="10">
                  <c:v>90</c:v>
                </c:pt>
                <c:pt idx="11">
                  <c:v>118.5</c:v>
                </c:pt>
                <c:pt idx="12">
                  <c:v>135.99999999994179</c:v>
                </c:pt>
                <c:pt idx="13">
                  <c:v>142.33333333331393</c:v>
                </c:pt>
                <c:pt idx="14">
                  <c:v>159</c:v>
                </c:pt>
                <c:pt idx="15">
                  <c:v>165</c:v>
                </c:pt>
                <c:pt idx="16">
                  <c:v>183.50000000005821</c:v>
                </c:pt>
                <c:pt idx="17">
                  <c:v>189.99999999994179</c:v>
                </c:pt>
                <c:pt idx="18">
                  <c:v>207.99999999994179</c:v>
                </c:pt>
                <c:pt idx="19">
                  <c:v>213</c:v>
                </c:pt>
                <c:pt idx="20">
                  <c:v>231</c:v>
                </c:pt>
              </c:numCache>
            </c:numRef>
          </c:xVal>
          <c:yVal>
            <c:numRef>
              <c:f>[1]Hoja1!$F$50:$F$70</c:f>
              <c:numCache>
                <c:formatCode>General</c:formatCode>
                <c:ptCount val="21"/>
                <c:pt idx="0">
                  <c:v>14.996925477474065</c:v>
                </c:pt>
                <c:pt idx="1">
                  <c:v>14.996925477474065</c:v>
                </c:pt>
                <c:pt idx="2">
                  <c:v>14.693773111165115</c:v>
                </c:pt>
                <c:pt idx="3">
                  <c:v>14.319754814846988</c:v>
                </c:pt>
                <c:pt idx="4">
                  <c:v>14.319754814846988</c:v>
                </c:pt>
                <c:pt idx="5">
                  <c:v>12.908191736305753</c:v>
                </c:pt>
                <c:pt idx="6">
                  <c:v>12.197032305498055</c:v>
                </c:pt>
                <c:pt idx="7">
                  <c:v>11.959175138819319</c:v>
                </c:pt>
                <c:pt idx="8">
                  <c:v>9.3158522728421076</c:v>
                </c:pt>
                <c:pt idx="9">
                  <c:v>8.3422442360127889</c:v>
                </c:pt>
                <c:pt idx="10">
                  <c:v>5.8289448398367085</c:v>
                </c:pt>
                <c:pt idx="11">
                  <c:v>2.6621853201097565</c:v>
                </c:pt>
                <c:pt idx="12">
                  <c:v>1.4629506148512519</c:v>
                </c:pt>
                <c:pt idx="13">
                  <c:v>1.0010408029727387</c:v>
                </c:pt>
                <c:pt idx="14">
                  <c:v>0.48608853199584701</c:v>
                </c:pt>
                <c:pt idx="15">
                  <c:v>-3.0681833200446818E-2</c:v>
                </c:pt>
                <c:pt idx="16">
                  <c:v>-0.26382398426017062</c:v>
                </c:pt>
                <c:pt idx="17">
                  <c:v>-0.99152958994261553</c:v>
                </c:pt>
                <c:pt idx="18">
                  <c:v>-1.2262009803170031</c:v>
                </c:pt>
                <c:pt idx="19">
                  <c:v>-1.6704902725483635</c:v>
                </c:pt>
                <c:pt idx="20">
                  <c:v>-1.5396781091309322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74D-4CC2-B40E-031382066B7D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[1]Hoja1!$C$50:$C$70</c:f>
              <c:numCache>
                <c:formatCode>General</c:formatCode>
                <c:ptCount val="21"/>
                <c:pt idx="0">
                  <c:v>0</c:v>
                </c:pt>
                <c:pt idx="1">
                  <c:v>0.50000000005820766</c:v>
                </c:pt>
                <c:pt idx="2">
                  <c:v>15</c:v>
                </c:pt>
                <c:pt idx="3">
                  <c:v>21</c:v>
                </c:pt>
                <c:pt idx="4">
                  <c:v>24</c:v>
                </c:pt>
                <c:pt idx="5">
                  <c:v>39.999999999941792</c:v>
                </c:pt>
                <c:pt idx="6">
                  <c:v>44.499999999941792</c:v>
                </c:pt>
                <c:pt idx="7">
                  <c:v>46.666666666686069</c:v>
                </c:pt>
                <c:pt idx="8">
                  <c:v>63.999999999941792</c:v>
                </c:pt>
                <c:pt idx="9">
                  <c:v>68.499999999941792</c:v>
                </c:pt>
                <c:pt idx="10">
                  <c:v>90</c:v>
                </c:pt>
                <c:pt idx="11">
                  <c:v>118.5</c:v>
                </c:pt>
                <c:pt idx="12">
                  <c:v>135.99999999994179</c:v>
                </c:pt>
                <c:pt idx="13">
                  <c:v>142.33333333331393</c:v>
                </c:pt>
                <c:pt idx="14">
                  <c:v>159</c:v>
                </c:pt>
                <c:pt idx="15">
                  <c:v>165</c:v>
                </c:pt>
                <c:pt idx="16">
                  <c:v>183.50000000005821</c:v>
                </c:pt>
                <c:pt idx="17">
                  <c:v>189.99999999994179</c:v>
                </c:pt>
                <c:pt idx="18">
                  <c:v>207.99999999994179</c:v>
                </c:pt>
                <c:pt idx="19">
                  <c:v>213</c:v>
                </c:pt>
                <c:pt idx="20">
                  <c:v>231</c:v>
                </c:pt>
              </c:numCache>
            </c:numRef>
          </c:xVal>
          <c:yVal>
            <c:numRef>
              <c:f>[1]Hoja1!$H$50:$H$70</c:f>
              <c:numCache>
                <c:formatCode>General</c:formatCode>
                <c:ptCount val="21"/>
                <c:pt idx="0">
                  <c:v>1.04</c:v>
                </c:pt>
                <c:pt idx="1">
                  <c:v>1.04</c:v>
                </c:pt>
                <c:pt idx="2">
                  <c:v>1.2410380055998649</c:v>
                </c:pt>
                <c:pt idx="3">
                  <c:v>1.4890713403389562</c:v>
                </c:pt>
                <c:pt idx="4">
                  <c:v>1.4890713403389562</c:v>
                </c:pt>
                <c:pt idx="5">
                  <c:v>2.4251611012189032</c:v>
                </c:pt>
                <c:pt idx="6">
                  <c:v>2.8967723750276986</c:v>
                </c:pt>
                <c:pt idx="7">
                  <c:v>3.0545093275342641</c:v>
                </c:pt>
                <c:pt idx="8">
                  <c:v>4.8074508057842005</c:v>
                </c:pt>
                <c:pt idx="9">
                  <c:v>5.4531070490235836</c:v>
                </c:pt>
                <c:pt idx="10">
                  <c:v>7.1198223850590994</c:v>
                </c:pt>
                <c:pt idx="11">
                  <c:v>9.2198852208262387</c:v>
                </c:pt>
                <c:pt idx="12">
                  <c:v>10.015167660236951</c:v>
                </c:pt>
                <c:pt idx="13">
                  <c:v>10.321486982357719</c:v>
                </c:pt>
                <c:pt idx="14">
                  <c:v>10.662981851082613</c:v>
                </c:pt>
                <c:pt idx="15">
                  <c:v>11.005682404065595</c:v>
                </c:pt>
                <c:pt idx="16">
                  <c:v>11.160292554865283</c:v>
                </c:pt>
                <c:pt idx="17">
                  <c:v>11.642876561750935</c:v>
                </c:pt>
                <c:pt idx="18">
                  <c:v>11.798500840283317</c:v>
                </c:pt>
                <c:pt idx="19">
                  <c:v>12.093134968682435</c:v>
                </c:pt>
                <c:pt idx="20">
                  <c:v>12.006385797756149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74D-4CC2-B40E-031382066B7D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[1]Hoja1!$C$50:$C$70</c:f>
              <c:numCache>
                <c:formatCode>General</c:formatCode>
                <c:ptCount val="21"/>
                <c:pt idx="0">
                  <c:v>0</c:v>
                </c:pt>
                <c:pt idx="1">
                  <c:v>0.50000000005820766</c:v>
                </c:pt>
                <c:pt idx="2">
                  <c:v>15</c:v>
                </c:pt>
                <c:pt idx="3">
                  <c:v>21</c:v>
                </c:pt>
                <c:pt idx="4">
                  <c:v>24</c:v>
                </c:pt>
                <c:pt idx="5">
                  <c:v>39.999999999941792</c:v>
                </c:pt>
                <c:pt idx="6">
                  <c:v>44.499999999941792</c:v>
                </c:pt>
                <c:pt idx="7">
                  <c:v>46.666666666686069</c:v>
                </c:pt>
                <c:pt idx="8">
                  <c:v>63.999999999941792</c:v>
                </c:pt>
                <c:pt idx="9">
                  <c:v>68.499999999941792</c:v>
                </c:pt>
                <c:pt idx="10">
                  <c:v>90</c:v>
                </c:pt>
                <c:pt idx="11">
                  <c:v>118.5</c:v>
                </c:pt>
                <c:pt idx="12">
                  <c:v>135.99999999994179</c:v>
                </c:pt>
                <c:pt idx="13">
                  <c:v>142.33333333331393</c:v>
                </c:pt>
                <c:pt idx="14">
                  <c:v>159</c:v>
                </c:pt>
                <c:pt idx="15">
                  <c:v>165</c:v>
                </c:pt>
                <c:pt idx="16">
                  <c:v>183.50000000005821</c:v>
                </c:pt>
                <c:pt idx="17">
                  <c:v>189.99999999994179</c:v>
                </c:pt>
                <c:pt idx="18">
                  <c:v>207.99999999994179</c:v>
                </c:pt>
                <c:pt idx="19">
                  <c:v>213</c:v>
                </c:pt>
                <c:pt idx="20">
                  <c:v>231</c:v>
                </c:pt>
              </c:numCache>
            </c:numRef>
          </c:xVal>
          <c:yVal>
            <c:numRef>
              <c:f>[1]Hoja1!$G$50:$G$70</c:f>
              <c:numCache>
                <c:formatCode>General</c:formatCode>
                <c:ptCount val="21"/>
                <c:pt idx="0">
                  <c:v>1.04</c:v>
                </c:pt>
                <c:pt idx="1">
                  <c:v>0</c:v>
                </c:pt>
                <c:pt idx="2">
                  <c:v>1.2000000000000002</c:v>
                </c:pt>
                <c:pt idx="3">
                  <c:v>3.7</c:v>
                </c:pt>
                <c:pt idx="4">
                  <c:v>1.3499999999999999</c:v>
                </c:pt>
                <c:pt idx="5">
                  <c:v>1.9499999999999997</c:v>
                </c:pt>
                <c:pt idx="6">
                  <c:v>1.5</c:v>
                </c:pt>
                <c:pt idx="7">
                  <c:v>1.65</c:v>
                </c:pt>
                <c:pt idx="8">
                  <c:v>3.9</c:v>
                </c:pt>
                <c:pt idx="9">
                  <c:v>1.7</c:v>
                </c:pt>
                <c:pt idx="10">
                  <c:v>2.4500000000000002</c:v>
                </c:pt>
                <c:pt idx="11">
                  <c:v>5.6999999999999993</c:v>
                </c:pt>
                <c:pt idx="12">
                  <c:v>6.45</c:v>
                </c:pt>
                <c:pt idx="13">
                  <c:v>6.45</c:v>
                </c:pt>
                <c:pt idx="14">
                  <c:v>8.5</c:v>
                </c:pt>
                <c:pt idx="15">
                  <c:v>9.7000000000000011</c:v>
                </c:pt>
                <c:pt idx="16">
                  <c:v>9.7000000000000011</c:v>
                </c:pt>
                <c:pt idx="17">
                  <c:v>9.7999999999999989</c:v>
                </c:pt>
                <c:pt idx="18">
                  <c:v>5.6499999999999995</c:v>
                </c:pt>
                <c:pt idx="19">
                  <c:v>4.3999999999999995</c:v>
                </c:pt>
                <c:pt idx="20">
                  <c:v>11.7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74D-4CC2-B40E-031382066B7D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[1]Hoja1!$C$50:$C$70</c:f>
              <c:numCache>
                <c:formatCode>General</c:formatCode>
                <c:ptCount val="21"/>
                <c:pt idx="0">
                  <c:v>0</c:v>
                </c:pt>
                <c:pt idx="1">
                  <c:v>0.50000000005820766</c:v>
                </c:pt>
                <c:pt idx="2">
                  <c:v>15</c:v>
                </c:pt>
                <c:pt idx="3">
                  <c:v>21</c:v>
                </c:pt>
                <c:pt idx="4">
                  <c:v>24</c:v>
                </c:pt>
                <c:pt idx="5">
                  <c:v>39.999999999941792</c:v>
                </c:pt>
                <c:pt idx="6">
                  <c:v>44.499999999941792</c:v>
                </c:pt>
                <c:pt idx="7">
                  <c:v>46.666666666686069</c:v>
                </c:pt>
                <c:pt idx="8">
                  <c:v>63.999999999941792</c:v>
                </c:pt>
                <c:pt idx="9">
                  <c:v>68.499999999941792</c:v>
                </c:pt>
                <c:pt idx="10">
                  <c:v>90</c:v>
                </c:pt>
                <c:pt idx="11">
                  <c:v>118.5</c:v>
                </c:pt>
                <c:pt idx="12">
                  <c:v>135.99999999994179</c:v>
                </c:pt>
                <c:pt idx="13">
                  <c:v>142.33333333331393</c:v>
                </c:pt>
                <c:pt idx="14">
                  <c:v>159</c:v>
                </c:pt>
                <c:pt idx="15">
                  <c:v>165</c:v>
                </c:pt>
                <c:pt idx="16">
                  <c:v>183.50000000005821</c:v>
                </c:pt>
                <c:pt idx="17">
                  <c:v>189.99999999994179</c:v>
                </c:pt>
                <c:pt idx="18">
                  <c:v>207.99999999994179</c:v>
                </c:pt>
                <c:pt idx="19">
                  <c:v>213</c:v>
                </c:pt>
                <c:pt idx="20">
                  <c:v>231</c:v>
                </c:pt>
              </c:numCache>
            </c:numRef>
          </c:xVal>
          <c:yVal>
            <c:numRef>
              <c:f>[1]Hoja1!$I$50:$I$70</c:f>
              <c:numCache>
                <c:formatCode>General</c:formatCode>
                <c:ptCount val="21"/>
                <c:pt idx="3">
                  <c:v>5.04</c:v>
                </c:pt>
                <c:pt idx="8">
                  <c:v>6.9599999999999991</c:v>
                </c:pt>
                <c:pt idx="9">
                  <c:v>8.08</c:v>
                </c:pt>
                <c:pt idx="10">
                  <c:v>8.6000000000000014</c:v>
                </c:pt>
                <c:pt idx="18">
                  <c:v>12.56</c:v>
                </c:pt>
                <c:pt idx="19">
                  <c:v>12.88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74D-4CC2-B40E-031382066B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9933063"/>
        <c:axId val="309935111"/>
      </c:scatterChart>
      <c:valAx>
        <c:axId val="309933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935111"/>
        <c:crosses val="autoZero"/>
        <c:crossBetween val="midCat"/>
      </c:valAx>
      <c:valAx>
        <c:axId val="309935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9330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7284166666666668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[1]Hoja1!$C$71:$C$91</c:f>
              <c:numCache>
                <c:formatCode>General</c:formatCode>
                <c:ptCount val="21"/>
                <c:pt idx="0">
                  <c:v>0</c:v>
                </c:pt>
                <c:pt idx="1">
                  <c:v>0.50000000005820766</c:v>
                </c:pt>
                <c:pt idx="2">
                  <c:v>15</c:v>
                </c:pt>
                <c:pt idx="3">
                  <c:v>21</c:v>
                </c:pt>
                <c:pt idx="4">
                  <c:v>24</c:v>
                </c:pt>
                <c:pt idx="5">
                  <c:v>39.999999999941792</c:v>
                </c:pt>
                <c:pt idx="6">
                  <c:v>44.499999999941792</c:v>
                </c:pt>
                <c:pt idx="7">
                  <c:v>46.666666666686069</c:v>
                </c:pt>
                <c:pt idx="8">
                  <c:v>63.999999999941792</c:v>
                </c:pt>
                <c:pt idx="9">
                  <c:v>68.499999999941792</c:v>
                </c:pt>
                <c:pt idx="10">
                  <c:v>90</c:v>
                </c:pt>
                <c:pt idx="11">
                  <c:v>118.5</c:v>
                </c:pt>
                <c:pt idx="12">
                  <c:v>135.99999999994179</c:v>
                </c:pt>
                <c:pt idx="13">
                  <c:v>142.33333333331393</c:v>
                </c:pt>
                <c:pt idx="14">
                  <c:v>159</c:v>
                </c:pt>
                <c:pt idx="15">
                  <c:v>165</c:v>
                </c:pt>
                <c:pt idx="16">
                  <c:v>183.50000000005821</c:v>
                </c:pt>
                <c:pt idx="17">
                  <c:v>189.99999999994179</c:v>
                </c:pt>
                <c:pt idx="18">
                  <c:v>207.99999999994179</c:v>
                </c:pt>
                <c:pt idx="19">
                  <c:v>213</c:v>
                </c:pt>
                <c:pt idx="20">
                  <c:v>231</c:v>
                </c:pt>
              </c:numCache>
            </c:numRef>
          </c:xVal>
          <c:yVal>
            <c:numRef>
              <c:f>[1]Hoja1!$D$71:$D$91</c:f>
              <c:numCache>
                <c:formatCode>General</c:formatCode>
                <c:ptCount val="21"/>
                <c:pt idx="0">
                  <c:v>1061.9000000000001</c:v>
                </c:pt>
                <c:pt idx="1">
                  <c:v>1061.9000000000001</c:v>
                </c:pt>
                <c:pt idx="2">
                  <c:v>1059.7</c:v>
                </c:pt>
                <c:pt idx="3">
                  <c:v>1056.0999999999999</c:v>
                </c:pt>
                <c:pt idx="4">
                  <c:v>1056.0999999999999</c:v>
                </c:pt>
                <c:pt idx="5">
                  <c:v>1051.9000000000001</c:v>
                </c:pt>
                <c:pt idx="6">
                  <c:v>1048.5999999999999</c:v>
                </c:pt>
                <c:pt idx="7">
                  <c:v>1047.9000000000001</c:v>
                </c:pt>
                <c:pt idx="8">
                  <c:v>1036.7</c:v>
                </c:pt>
                <c:pt idx="9">
                  <c:v>1031.8</c:v>
                </c:pt>
                <c:pt idx="10">
                  <c:v>1022.8</c:v>
                </c:pt>
                <c:pt idx="11">
                  <c:v>1011.7</c:v>
                </c:pt>
                <c:pt idx="12">
                  <c:v>1006.8</c:v>
                </c:pt>
                <c:pt idx="13">
                  <c:v>1005.1</c:v>
                </c:pt>
                <c:pt idx="14">
                  <c:v>1003.2</c:v>
                </c:pt>
                <c:pt idx="15">
                  <c:v>1001</c:v>
                </c:pt>
                <c:pt idx="16">
                  <c:v>999.8</c:v>
                </c:pt>
                <c:pt idx="17">
                  <c:v>997.4</c:v>
                </c:pt>
                <c:pt idx="18">
                  <c:v>996.4</c:v>
                </c:pt>
                <c:pt idx="19">
                  <c:v>994.8</c:v>
                </c:pt>
                <c:pt idx="20">
                  <c:v>995.1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CB4-490B-BA8D-F14BCD0E4E5F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[1]Hoja1!$C$71:$C$91</c:f>
              <c:numCache>
                <c:formatCode>General</c:formatCode>
                <c:ptCount val="21"/>
                <c:pt idx="0">
                  <c:v>0</c:v>
                </c:pt>
                <c:pt idx="1">
                  <c:v>0.50000000005820766</c:v>
                </c:pt>
                <c:pt idx="2">
                  <c:v>15</c:v>
                </c:pt>
                <c:pt idx="3">
                  <c:v>21</c:v>
                </c:pt>
                <c:pt idx="4">
                  <c:v>24</c:v>
                </c:pt>
                <c:pt idx="5">
                  <c:v>39.999999999941792</c:v>
                </c:pt>
                <c:pt idx="6">
                  <c:v>44.499999999941792</c:v>
                </c:pt>
                <c:pt idx="7">
                  <c:v>46.666666666686069</c:v>
                </c:pt>
                <c:pt idx="8">
                  <c:v>63.999999999941792</c:v>
                </c:pt>
                <c:pt idx="9">
                  <c:v>68.499999999941792</c:v>
                </c:pt>
                <c:pt idx="10">
                  <c:v>90</c:v>
                </c:pt>
                <c:pt idx="11">
                  <c:v>118.5</c:v>
                </c:pt>
                <c:pt idx="12">
                  <c:v>135.99999999994179</c:v>
                </c:pt>
                <c:pt idx="13">
                  <c:v>142.33333333331393</c:v>
                </c:pt>
                <c:pt idx="14">
                  <c:v>159</c:v>
                </c:pt>
                <c:pt idx="15">
                  <c:v>165</c:v>
                </c:pt>
                <c:pt idx="16">
                  <c:v>183.50000000005821</c:v>
                </c:pt>
                <c:pt idx="17">
                  <c:v>189.99999999994179</c:v>
                </c:pt>
                <c:pt idx="18">
                  <c:v>207.99999999994179</c:v>
                </c:pt>
                <c:pt idx="19">
                  <c:v>213</c:v>
                </c:pt>
                <c:pt idx="20">
                  <c:v>231</c:v>
                </c:pt>
              </c:numCache>
            </c:numRef>
          </c:xVal>
          <c:yVal>
            <c:numRef>
              <c:f>[1]Hoja1!$E$71:$E$91</c:f>
              <c:numCache>
                <c:formatCode>General</c:formatCode>
                <c:ptCount val="21"/>
                <c:pt idx="0">
                  <c:v>1.0619000000000001</c:v>
                </c:pt>
                <c:pt idx="1">
                  <c:v>1.0619000000000001</c:v>
                </c:pt>
                <c:pt idx="2">
                  <c:v>1.0597000000000001</c:v>
                </c:pt>
                <c:pt idx="3">
                  <c:v>1.0560999999999998</c:v>
                </c:pt>
                <c:pt idx="4">
                  <c:v>1.0560999999999998</c:v>
                </c:pt>
                <c:pt idx="5">
                  <c:v>1.0519000000000001</c:v>
                </c:pt>
                <c:pt idx="6">
                  <c:v>1.0486</c:v>
                </c:pt>
                <c:pt idx="7">
                  <c:v>1.0479000000000001</c:v>
                </c:pt>
                <c:pt idx="8">
                  <c:v>1.0367</c:v>
                </c:pt>
                <c:pt idx="9">
                  <c:v>1.0318000000000001</c:v>
                </c:pt>
                <c:pt idx="10">
                  <c:v>1.0227999999999999</c:v>
                </c:pt>
                <c:pt idx="11">
                  <c:v>1.0117</c:v>
                </c:pt>
                <c:pt idx="12">
                  <c:v>1.0067999999999999</c:v>
                </c:pt>
                <c:pt idx="13">
                  <c:v>1.0051000000000001</c:v>
                </c:pt>
                <c:pt idx="14">
                  <c:v>1.0032000000000001</c:v>
                </c:pt>
                <c:pt idx="15">
                  <c:v>1.0009999999999999</c:v>
                </c:pt>
                <c:pt idx="16">
                  <c:v>0.99979999999999991</c:v>
                </c:pt>
                <c:pt idx="17">
                  <c:v>0.99739999999999995</c:v>
                </c:pt>
                <c:pt idx="18">
                  <c:v>0.99639999999999995</c:v>
                </c:pt>
                <c:pt idx="19">
                  <c:v>0.99479999999999991</c:v>
                </c:pt>
                <c:pt idx="20">
                  <c:v>0.99509999999999998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CB4-490B-BA8D-F14BCD0E4E5F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[1]Hoja1!$C$71:$C$91</c:f>
              <c:numCache>
                <c:formatCode>General</c:formatCode>
                <c:ptCount val="21"/>
                <c:pt idx="0">
                  <c:v>0</c:v>
                </c:pt>
                <c:pt idx="1">
                  <c:v>0.50000000005820766</c:v>
                </c:pt>
                <c:pt idx="2">
                  <c:v>15</c:v>
                </c:pt>
                <c:pt idx="3">
                  <c:v>21</c:v>
                </c:pt>
                <c:pt idx="4">
                  <c:v>24</c:v>
                </c:pt>
                <c:pt idx="5">
                  <c:v>39.999999999941792</c:v>
                </c:pt>
                <c:pt idx="6">
                  <c:v>44.499999999941792</c:v>
                </c:pt>
                <c:pt idx="7">
                  <c:v>46.666666666686069</c:v>
                </c:pt>
                <c:pt idx="8">
                  <c:v>63.999999999941792</c:v>
                </c:pt>
                <c:pt idx="9">
                  <c:v>68.499999999941792</c:v>
                </c:pt>
                <c:pt idx="10">
                  <c:v>90</c:v>
                </c:pt>
                <c:pt idx="11">
                  <c:v>118.5</c:v>
                </c:pt>
                <c:pt idx="12">
                  <c:v>135.99999999994179</c:v>
                </c:pt>
                <c:pt idx="13">
                  <c:v>142.33333333331393</c:v>
                </c:pt>
                <c:pt idx="14">
                  <c:v>159</c:v>
                </c:pt>
                <c:pt idx="15">
                  <c:v>165</c:v>
                </c:pt>
                <c:pt idx="16">
                  <c:v>183.50000000005821</c:v>
                </c:pt>
                <c:pt idx="17">
                  <c:v>189.99999999994179</c:v>
                </c:pt>
                <c:pt idx="18">
                  <c:v>207.99999999994179</c:v>
                </c:pt>
                <c:pt idx="19">
                  <c:v>213</c:v>
                </c:pt>
                <c:pt idx="20">
                  <c:v>231</c:v>
                </c:pt>
              </c:numCache>
            </c:numRef>
          </c:xVal>
          <c:yVal>
            <c:numRef>
              <c:f>[1]Hoja1!$F$71:$F$91</c:f>
              <c:numCache>
                <c:formatCode>General</c:formatCode>
                <c:ptCount val="21"/>
                <c:pt idx="0">
                  <c:v>15.183153267020771</c:v>
                </c:pt>
                <c:pt idx="1">
                  <c:v>15.183153267020771</c:v>
                </c:pt>
                <c:pt idx="2">
                  <c:v>14.670426349441072</c:v>
                </c:pt>
                <c:pt idx="3">
                  <c:v>13.827328720120818</c:v>
                </c:pt>
                <c:pt idx="4">
                  <c:v>13.827328720120818</c:v>
                </c:pt>
                <c:pt idx="5">
                  <c:v>12.837238061065023</c:v>
                </c:pt>
                <c:pt idx="6">
                  <c:v>12.054366404520692</c:v>
                </c:pt>
                <c:pt idx="7">
                  <c:v>11.887739290580043</c:v>
                </c:pt>
                <c:pt idx="8">
                  <c:v>9.1945165988040571</c:v>
                </c:pt>
                <c:pt idx="9">
                  <c:v>7.9998964360264608</c:v>
                </c:pt>
                <c:pt idx="10">
                  <c:v>5.7792195736191161</c:v>
                </c:pt>
                <c:pt idx="11">
                  <c:v>2.9921473470659521</c:v>
                </c:pt>
                <c:pt idx="12">
                  <c:v>1.7445100960620721</c:v>
                </c:pt>
                <c:pt idx="13">
                  <c:v>1.3091431236966855</c:v>
                </c:pt>
                <c:pt idx="14">
                  <c:v>0.82101376842047102</c:v>
                </c:pt>
                <c:pt idx="15">
                  <c:v>0.2537673806600651</c:v>
                </c:pt>
                <c:pt idx="16">
                  <c:v>-5.6568233531606893E-2</c:v>
                </c:pt>
                <c:pt idx="17">
                  <c:v>-0.67921482708686653</c:v>
                </c:pt>
                <c:pt idx="18">
                  <c:v>-0.93943110418649667</c:v>
                </c:pt>
                <c:pt idx="19">
                  <c:v>-1.3567355360218016</c:v>
                </c:pt>
                <c:pt idx="20">
                  <c:v>-1.2784009424664191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CB4-490B-BA8D-F14BCD0E4E5F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[1]Hoja1!$C$71:$C$91</c:f>
              <c:numCache>
                <c:formatCode>General</c:formatCode>
                <c:ptCount val="21"/>
                <c:pt idx="0">
                  <c:v>0</c:v>
                </c:pt>
                <c:pt idx="1">
                  <c:v>0.50000000005820766</c:v>
                </c:pt>
                <c:pt idx="2">
                  <c:v>15</c:v>
                </c:pt>
                <c:pt idx="3">
                  <c:v>21</c:v>
                </c:pt>
                <c:pt idx="4">
                  <c:v>24</c:v>
                </c:pt>
                <c:pt idx="5">
                  <c:v>39.999999999941792</c:v>
                </c:pt>
                <c:pt idx="6">
                  <c:v>44.499999999941792</c:v>
                </c:pt>
                <c:pt idx="7">
                  <c:v>46.666666666686069</c:v>
                </c:pt>
                <c:pt idx="8">
                  <c:v>63.999999999941792</c:v>
                </c:pt>
                <c:pt idx="9">
                  <c:v>68.499999999941792</c:v>
                </c:pt>
                <c:pt idx="10">
                  <c:v>90</c:v>
                </c:pt>
                <c:pt idx="11">
                  <c:v>118.5</c:v>
                </c:pt>
                <c:pt idx="12">
                  <c:v>135.99999999994179</c:v>
                </c:pt>
                <c:pt idx="13">
                  <c:v>142.33333333331393</c:v>
                </c:pt>
                <c:pt idx="14">
                  <c:v>159</c:v>
                </c:pt>
                <c:pt idx="15">
                  <c:v>165</c:v>
                </c:pt>
                <c:pt idx="16">
                  <c:v>183.50000000005821</c:v>
                </c:pt>
                <c:pt idx="17">
                  <c:v>189.99999999994179</c:v>
                </c:pt>
                <c:pt idx="18">
                  <c:v>207.99999999994179</c:v>
                </c:pt>
                <c:pt idx="19">
                  <c:v>213</c:v>
                </c:pt>
                <c:pt idx="20">
                  <c:v>231</c:v>
                </c:pt>
              </c:numCache>
            </c:numRef>
          </c:xVal>
          <c:yVal>
            <c:numRef>
              <c:f>[1]Hoja1!$H$71:$H$91</c:f>
              <c:numCache>
                <c:formatCode>General</c:formatCode>
                <c:ptCount val="21"/>
                <c:pt idx="0">
                  <c:v>1.04</c:v>
                </c:pt>
                <c:pt idx="1">
                  <c:v>1.04</c:v>
                </c:pt>
                <c:pt idx="2">
                  <c:v>1.3800191071658661</c:v>
                </c:pt>
                <c:pt idx="3">
                  <c:v>1.9391262914118959</c:v>
                </c:pt>
                <c:pt idx="4">
                  <c:v>1.9391262914118959</c:v>
                </c:pt>
                <c:pt idx="5">
                  <c:v>2.5957131222624268</c:v>
                </c:pt>
                <c:pt idx="6">
                  <c:v>3.1148809532399939</c:v>
                </c:pt>
                <c:pt idx="7">
                  <c:v>3.2253811056001784</c:v>
                </c:pt>
                <c:pt idx="8">
                  <c:v>5.0114140671214109</c:v>
                </c:pt>
                <c:pt idx="9">
                  <c:v>5.8036363344199504</c:v>
                </c:pt>
                <c:pt idx="10">
                  <c:v>7.2762966106229712</c:v>
                </c:pt>
                <c:pt idx="11">
                  <c:v>9.1245666693761969</c:v>
                </c:pt>
                <c:pt idx="12">
                  <c:v>9.9519476583746425</c:v>
                </c:pt>
                <c:pt idx="13">
                  <c:v>10.240664876366566</c:v>
                </c:pt>
                <c:pt idx="14">
                  <c:v>10.564371906116314</c:v>
                </c:pt>
                <c:pt idx="15">
                  <c:v>10.940546052033621</c:v>
                </c:pt>
                <c:pt idx="16">
                  <c:v>11.146347688033785</c:v>
                </c:pt>
                <c:pt idx="17">
                  <c:v>11.559260939828526</c:v>
                </c:pt>
                <c:pt idx="18">
                  <c:v>11.731825521822973</c:v>
                </c:pt>
                <c:pt idx="19">
                  <c:v>12.008564416279285</c:v>
                </c:pt>
                <c:pt idx="20">
                  <c:v>11.956616180975722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CB4-490B-BA8D-F14BCD0E4E5F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[1]Hoja1!$C$71:$C$91</c:f>
              <c:numCache>
                <c:formatCode>General</c:formatCode>
                <c:ptCount val="21"/>
                <c:pt idx="0">
                  <c:v>0</c:v>
                </c:pt>
                <c:pt idx="1">
                  <c:v>0.50000000005820766</c:v>
                </c:pt>
                <c:pt idx="2">
                  <c:v>15</c:v>
                </c:pt>
                <c:pt idx="3">
                  <c:v>21</c:v>
                </c:pt>
                <c:pt idx="4">
                  <c:v>24</c:v>
                </c:pt>
                <c:pt idx="5">
                  <c:v>39.999999999941792</c:v>
                </c:pt>
                <c:pt idx="6">
                  <c:v>44.499999999941792</c:v>
                </c:pt>
                <c:pt idx="7">
                  <c:v>46.666666666686069</c:v>
                </c:pt>
                <c:pt idx="8">
                  <c:v>63.999999999941792</c:v>
                </c:pt>
                <c:pt idx="9">
                  <c:v>68.499999999941792</c:v>
                </c:pt>
                <c:pt idx="10">
                  <c:v>90</c:v>
                </c:pt>
                <c:pt idx="11">
                  <c:v>118.5</c:v>
                </c:pt>
                <c:pt idx="12">
                  <c:v>135.99999999994179</c:v>
                </c:pt>
                <c:pt idx="13">
                  <c:v>142.33333333331393</c:v>
                </c:pt>
                <c:pt idx="14">
                  <c:v>159</c:v>
                </c:pt>
                <c:pt idx="15">
                  <c:v>165</c:v>
                </c:pt>
                <c:pt idx="16">
                  <c:v>183.50000000005821</c:v>
                </c:pt>
                <c:pt idx="17">
                  <c:v>189.99999999994179</c:v>
                </c:pt>
                <c:pt idx="18">
                  <c:v>207.99999999994179</c:v>
                </c:pt>
                <c:pt idx="19">
                  <c:v>213</c:v>
                </c:pt>
                <c:pt idx="20">
                  <c:v>231</c:v>
                </c:pt>
              </c:numCache>
            </c:numRef>
          </c:xVal>
          <c:yVal>
            <c:numRef>
              <c:f>[1]Hoja1!$G$71:$G$91</c:f>
              <c:numCache>
                <c:formatCode>General</c:formatCode>
                <c:ptCount val="21"/>
                <c:pt idx="0">
                  <c:v>1.04</c:v>
                </c:pt>
                <c:pt idx="1">
                  <c:v>0</c:v>
                </c:pt>
                <c:pt idx="2">
                  <c:v>0.85</c:v>
                </c:pt>
                <c:pt idx="3">
                  <c:v>1.1500000000000001</c:v>
                </c:pt>
                <c:pt idx="4">
                  <c:v>1.4</c:v>
                </c:pt>
                <c:pt idx="5">
                  <c:v>2</c:v>
                </c:pt>
                <c:pt idx="6">
                  <c:v>1.2500000000000004</c:v>
                </c:pt>
                <c:pt idx="7">
                  <c:v>2.0499999999999998</c:v>
                </c:pt>
                <c:pt idx="8">
                  <c:v>3.45</c:v>
                </c:pt>
                <c:pt idx="9">
                  <c:v>2.9000000000000004</c:v>
                </c:pt>
                <c:pt idx="10">
                  <c:v>5</c:v>
                </c:pt>
                <c:pt idx="11">
                  <c:v>5</c:v>
                </c:pt>
                <c:pt idx="12">
                  <c:v>8.6499999999999986</c:v>
                </c:pt>
                <c:pt idx="13">
                  <c:v>7.2</c:v>
                </c:pt>
                <c:pt idx="14">
                  <c:v>8.35</c:v>
                </c:pt>
                <c:pt idx="15">
                  <c:v>7.75</c:v>
                </c:pt>
                <c:pt idx="16">
                  <c:v>10.150000000000002</c:v>
                </c:pt>
                <c:pt idx="17">
                  <c:v>9.5500000000000007</c:v>
                </c:pt>
                <c:pt idx="18">
                  <c:v>8.35</c:v>
                </c:pt>
                <c:pt idx="19">
                  <c:v>6.5</c:v>
                </c:pt>
                <c:pt idx="20">
                  <c:v>11.7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CB4-490B-BA8D-F14BCD0E4E5F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[1]Hoja1!$C$71:$C$91</c:f>
              <c:numCache>
                <c:formatCode>General</c:formatCode>
                <c:ptCount val="21"/>
                <c:pt idx="0">
                  <c:v>0</c:v>
                </c:pt>
                <c:pt idx="1">
                  <c:v>0.50000000005820766</c:v>
                </c:pt>
                <c:pt idx="2">
                  <c:v>15</c:v>
                </c:pt>
                <c:pt idx="3">
                  <c:v>21</c:v>
                </c:pt>
                <c:pt idx="4">
                  <c:v>24</c:v>
                </c:pt>
                <c:pt idx="5">
                  <c:v>39.999999999941792</c:v>
                </c:pt>
                <c:pt idx="6">
                  <c:v>44.499999999941792</c:v>
                </c:pt>
                <c:pt idx="7">
                  <c:v>46.666666666686069</c:v>
                </c:pt>
                <c:pt idx="8">
                  <c:v>63.999999999941792</c:v>
                </c:pt>
                <c:pt idx="9">
                  <c:v>68.499999999941792</c:v>
                </c:pt>
                <c:pt idx="10">
                  <c:v>90</c:v>
                </c:pt>
                <c:pt idx="11">
                  <c:v>118.5</c:v>
                </c:pt>
                <c:pt idx="12">
                  <c:v>135.99999999994179</c:v>
                </c:pt>
                <c:pt idx="13">
                  <c:v>142.33333333331393</c:v>
                </c:pt>
                <c:pt idx="14">
                  <c:v>159</c:v>
                </c:pt>
                <c:pt idx="15">
                  <c:v>165</c:v>
                </c:pt>
                <c:pt idx="16">
                  <c:v>183.50000000005821</c:v>
                </c:pt>
                <c:pt idx="17">
                  <c:v>189.99999999994179</c:v>
                </c:pt>
                <c:pt idx="18">
                  <c:v>207.99999999994179</c:v>
                </c:pt>
                <c:pt idx="19">
                  <c:v>213</c:v>
                </c:pt>
                <c:pt idx="20">
                  <c:v>231</c:v>
                </c:pt>
              </c:numCache>
            </c:numRef>
          </c:xVal>
          <c:yVal>
            <c:numRef>
              <c:f>[1]Hoja1!$I$71:$I$91</c:f>
              <c:numCache>
                <c:formatCode>General</c:formatCode>
                <c:ptCount val="21"/>
                <c:pt idx="6">
                  <c:v>5.96</c:v>
                </c:pt>
                <c:pt idx="11">
                  <c:v>10.56</c:v>
                </c:pt>
                <c:pt idx="12">
                  <c:v>11.040000000000001</c:v>
                </c:pt>
                <c:pt idx="18">
                  <c:v>12.040000000000001</c:v>
                </c:pt>
                <c:pt idx="19">
                  <c:v>3.08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CB4-490B-BA8D-F14BCD0E4E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6153608"/>
        <c:axId val="1696181256"/>
      </c:scatterChart>
      <c:valAx>
        <c:axId val="1696153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6181256"/>
        <c:crosses val="autoZero"/>
        <c:crossBetween val="midCat"/>
      </c:valAx>
      <c:valAx>
        <c:axId val="1696181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615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[1]Hoja1!$C$92:$C$107</c:f>
              <c:numCache>
                <c:formatCode>General</c:formatCode>
                <c:ptCount val="16"/>
                <c:pt idx="0">
                  <c:v>0</c:v>
                </c:pt>
                <c:pt idx="1">
                  <c:v>15</c:v>
                </c:pt>
                <c:pt idx="2">
                  <c:v>21</c:v>
                </c:pt>
                <c:pt idx="3">
                  <c:v>39</c:v>
                </c:pt>
                <c:pt idx="4">
                  <c:v>42</c:v>
                </c:pt>
                <c:pt idx="5">
                  <c:v>45.500000000058208</c:v>
                </c:pt>
                <c:pt idx="6">
                  <c:v>63</c:v>
                </c:pt>
                <c:pt idx="7">
                  <c:v>68.499999999941792</c:v>
                </c:pt>
                <c:pt idx="8">
                  <c:v>87.999999999941792</c:v>
                </c:pt>
                <c:pt idx="9">
                  <c:v>119.00000000005821</c:v>
                </c:pt>
                <c:pt idx="10">
                  <c:v>135</c:v>
                </c:pt>
                <c:pt idx="11">
                  <c:v>141</c:v>
                </c:pt>
                <c:pt idx="12">
                  <c:v>159</c:v>
                </c:pt>
                <c:pt idx="13">
                  <c:v>165</c:v>
                </c:pt>
                <c:pt idx="14">
                  <c:v>183</c:v>
                </c:pt>
                <c:pt idx="15">
                  <c:v>189</c:v>
                </c:pt>
              </c:numCache>
            </c:numRef>
          </c:xVal>
          <c:yVal>
            <c:numRef>
              <c:f>[1]Hoja1!$D$92:$D$107</c:f>
              <c:numCache>
                <c:formatCode>General</c:formatCode>
                <c:ptCount val="16"/>
                <c:pt idx="0">
                  <c:v>1058.9000000000001</c:v>
                </c:pt>
                <c:pt idx="1">
                  <c:v>1058.2</c:v>
                </c:pt>
                <c:pt idx="2">
                  <c:v>1056.5</c:v>
                </c:pt>
                <c:pt idx="3">
                  <c:v>1047.3</c:v>
                </c:pt>
                <c:pt idx="4">
                  <c:v>1044.9000000000001</c:v>
                </c:pt>
                <c:pt idx="5">
                  <c:v>1041.7</c:v>
                </c:pt>
                <c:pt idx="6">
                  <c:v>1025.9000000000001</c:v>
                </c:pt>
                <c:pt idx="7">
                  <c:v>1023.2</c:v>
                </c:pt>
                <c:pt idx="8">
                  <c:v>1013.3</c:v>
                </c:pt>
                <c:pt idx="9">
                  <c:v>1003.7</c:v>
                </c:pt>
                <c:pt idx="10">
                  <c:v>999.7</c:v>
                </c:pt>
                <c:pt idx="11">
                  <c:v>997.7</c:v>
                </c:pt>
                <c:pt idx="12">
                  <c:v>996.3</c:v>
                </c:pt>
                <c:pt idx="13">
                  <c:v>994.3</c:v>
                </c:pt>
                <c:pt idx="14">
                  <c:v>993.8</c:v>
                </c:pt>
                <c:pt idx="15">
                  <c:v>991.8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C1E-420D-A65C-D85192E85752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[1]Hoja1!$C$92:$C$107</c:f>
              <c:numCache>
                <c:formatCode>General</c:formatCode>
                <c:ptCount val="16"/>
                <c:pt idx="0">
                  <c:v>0</c:v>
                </c:pt>
                <c:pt idx="1">
                  <c:v>15</c:v>
                </c:pt>
                <c:pt idx="2">
                  <c:v>21</c:v>
                </c:pt>
                <c:pt idx="3">
                  <c:v>39</c:v>
                </c:pt>
                <c:pt idx="4">
                  <c:v>42</c:v>
                </c:pt>
                <c:pt idx="5">
                  <c:v>45.500000000058208</c:v>
                </c:pt>
                <c:pt idx="6">
                  <c:v>63</c:v>
                </c:pt>
                <c:pt idx="7">
                  <c:v>68.499999999941792</c:v>
                </c:pt>
                <c:pt idx="8">
                  <c:v>87.999999999941792</c:v>
                </c:pt>
                <c:pt idx="9">
                  <c:v>119.00000000005821</c:v>
                </c:pt>
                <c:pt idx="10">
                  <c:v>135</c:v>
                </c:pt>
                <c:pt idx="11">
                  <c:v>141</c:v>
                </c:pt>
                <c:pt idx="12">
                  <c:v>159</c:v>
                </c:pt>
                <c:pt idx="13">
                  <c:v>165</c:v>
                </c:pt>
                <c:pt idx="14">
                  <c:v>183</c:v>
                </c:pt>
                <c:pt idx="15">
                  <c:v>189</c:v>
                </c:pt>
              </c:numCache>
            </c:numRef>
          </c:xVal>
          <c:yVal>
            <c:numRef>
              <c:f>[1]Hoja1!$E$92:$E$107</c:f>
              <c:numCache>
                <c:formatCode>General</c:formatCode>
                <c:ptCount val="16"/>
                <c:pt idx="0">
                  <c:v>1.0589000000000002</c:v>
                </c:pt>
                <c:pt idx="1">
                  <c:v>1.0582</c:v>
                </c:pt>
                <c:pt idx="2">
                  <c:v>1.0565</c:v>
                </c:pt>
                <c:pt idx="3">
                  <c:v>1.0472999999999999</c:v>
                </c:pt>
                <c:pt idx="4">
                  <c:v>1.0449000000000002</c:v>
                </c:pt>
                <c:pt idx="5">
                  <c:v>1.0417000000000001</c:v>
                </c:pt>
                <c:pt idx="6">
                  <c:v>1.0259</c:v>
                </c:pt>
                <c:pt idx="7">
                  <c:v>1.0232000000000001</c:v>
                </c:pt>
                <c:pt idx="8">
                  <c:v>1.0132999999999999</c:v>
                </c:pt>
                <c:pt idx="9">
                  <c:v>1.0037</c:v>
                </c:pt>
                <c:pt idx="10">
                  <c:v>0.99970000000000003</c:v>
                </c:pt>
                <c:pt idx="11">
                  <c:v>0.99770000000000003</c:v>
                </c:pt>
                <c:pt idx="12">
                  <c:v>0.99629999999999996</c:v>
                </c:pt>
                <c:pt idx="13">
                  <c:v>0.99429999999999996</c:v>
                </c:pt>
                <c:pt idx="14">
                  <c:v>0.99379999999999991</c:v>
                </c:pt>
                <c:pt idx="15">
                  <c:v>0.9917999999999999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C1E-420D-A65C-D85192E85752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[1]Hoja1!$C$92:$C$107</c:f>
              <c:numCache>
                <c:formatCode>General</c:formatCode>
                <c:ptCount val="16"/>
                <c:pt idx="0">
                  <c:v>0</c:v>
                </c:pt>
                <c:pt idx="1">
                  <c:v>15</c:v>
                </c:pt>
                <c:pt idx="2">
                  <c:v>21</c:v>
                </c:pt>
                <c:pt idx="3">
                  <c:v>39</c:v>
                </c:pt>
                <c:pt idx="4">
                  <c:v>42</c:v>
                </c:pt>
                <c:pt idx="5">
                  <c:v>45.500000000058208</c:v>
                </c:pt>
                <c:pt idx="6">
                  <c:v>63</c:v>
                </c:pt>
                <c:pt idx="7">
                  <c:v>68.499999999941792</c:v>
                </c:pt>
                <c:pt idx="8">
                  <c:v>87.999999999941792</c:v>
                </c:pt>
                <c:pt idx="9">
                  <c:v>119.00000000005821</c:v>
                </c:pt>
                <c:pt idx="10">
                  <c:v>135</c:v>
                </c:pt>
                <c:pt idx="11">
                  <c:v>141</c:v>
                </c:pt>
                <c:pt idx="12">
                  <c:v>159</c:v>
                </c:pt>
                <c:pt idx="13">
                  <c:v>165</c:v>
                </c:pt>
                <c:pt idx="14">
                  <c:v>183</c:v>
                </c:pt>
                <c:pt idx="15">
                  <c:v>189</c:v>
                </c:pt>
              </c:numCache>
            </c:numRef>
          </c:xVal>
          <c:yVal>
            <c:numRef>
              <c:f>[1]Hoja1!$F$92:$F$107</c:f>
              <c:numCache>
                <c:formatCode>General</c:formatCode>
                <c:ptCount val="16"/>
                <c:pt idx="0">
                  <c:v>14.483511314989414</c:v>
                </c:pt>
                <c:pt idx="1">
                  <c:v>14.319754814846988</c:v>
                </c:pt>
                <c:pt idx="2">
                  <c:v>13.921258220313803</c:v>
                </c:pt>
                <c:pt idx="3">
                  <c:v>11.744758440110218</c:v>
                </c:pt>
                <c:pt idx="4">
                  <c:v>11.171375316422541</c:v>
                </c:pt>
                <c:pt idx="5">
                  <c:v>10.403211127403097</c:v>
                </c:pt>
                <c:pt idx="6">
                  <c:v>6.5480263774878722</c:v>
                </c:pt>
                <c:pt idx="7">
                  <c:v>5.8786528490898036</c:v>
                </c:pt>
                <c:pt idx="8">
                  <c:v>3.397225106980045</c:v>
                </c:pt>
                <c:pt idx="9">
                  <c:v>0.94962714050927843</c:v>
                </c:pt>
                <c:pt idx="10">
                  <c:v>-8.2459202088443817E-2</c:v>
                </c:pt>
                <c:pt idx="11">
                  <c:v>-0.60123958651411158</c:v>
                </c:pt>
                <c:pt idx="12">
                  <c:v>-0.96547804379338231</c:v>
                </c:pt>
                <c:pt idx="13">
                  <c:v>-1.4873856658153954</c:v>
                </c:pt>
                <c:pt idx="14">
                  <c:v>-1.6181515065426311</c:v>
                </c:pt>
                <c:pt idx="15">
                  <c:v>-2.1423747156924264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C1E-420D-A65C-D85192E85752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[1]Hoja1!$C$92:$C$107</c:f>
              <c:numCache>
                <c:formatCode>General</c:formatCode>
                <c:ptCount val="16"/>
                <c:pt idx="0">
                  <c:v>0</c:v>
                </c:pt>
                <c:pt idx="1">
                  <c:v>15</c:v>
                </c:pt>
                <c:pt idx="2">
                  <c:v>21</c:v>
                </c:pt>
                <c:pt idx="3">
                  <c:v>39</c:v>
                </c:pt>
                <c:pt idx="4">
                  <c:v>42</c:v>
                </c:pt>
                <c:pt idx="5">
                  <c:v>45.500000000058208</c:v>
                </c:pt>
                <c:pt idx="6">
                  <c:v>63</c:v>
                </c:pt>
                <c:pt idx="7">
                  <c:v>68.499999999941792</c:v>
                </c:pt>
                <c:pt idx="8">
                  <c:v>87.999999999941792</c:v>
                </c:pt>
                <c:pt idx="9">
                  <c:v>119.00000000005821</c:v>
                </c:pt>
                <c:pt idx="10">
                  <c:v>135</c:v>
                </c:pt>
                <c:pt idx="11">
                  <c:v>141</c:v>
                </c:pt>
                <c:pt idx="12">
                  <c:v>159</c:v>
                </c:pt>
                <c:pt idx="13">
                  <c:v>165</c:v>
                </c:pt>
                <c:pt idx="14">
                  <c:v>183</c:v>
                </c:pt>
                <c:pt idx="15">
                  <c:v>189</c:v>
                </c:pt>
              </c:numCache>
            </c:numRef>
          </c:xVal>
          <c:yVal>
            <c:numRef>
              <c:f>[1]Hoja1!$H$92:$H$107</c:f>
              <c:numCache>
                <c:formatCode>General</c:formatCode>
                <c:ptCount val="16"/>
                <c:pt idx="0">
                  <c:v>0.94</c:v>
                </c:pt>
                <c:pt idx="1">
                  <c:v>1.0485964810154127</c:v>
                </c:pt>
                <c:pt idx="2">
                  <c:v>1.3128628022013884</c:v>
                </c:pt>
                <c:pt idx="3">
                  <c:v>2.7562266800038309</c:v>
                </c:pt>
                <c:pt idx="4">
                  <c:v>3.1364704532400087</c:v>
                </c:pt>
                <c:pt idx="5">
                  <c:v>3.6458849051672058</c:v>
                </c:pt>
                <c:pt idx="6">
                  <c:v>6.2024826410796781</c:v>
                </c:pt>
                <c:pt idx="7">
                  <c:v>6.6463832471971607</c:v>
                </c:pt>
                <c:pt idx="8">
                  <c:v>8.2919626315438411</c:v>
                </c:pt>
                <c:pt idx="9">
                  <c:v>9.9151075196431044</c:v>
                </c:pt>
                <c:pt idx="10">
                  <c:v>10.599544136282434</c:v>
                </c:pt>
                <c:pt idx="11">
                  <c:v>10.943577650185402</c:v>
                </c:pt>
                <c:pt idx="12">
                  <c:v>11.185125403566847</c:v>
                </c:pt>
                <c:pt idx="13">
                  <c:v>11.531232771014356</c:v>
                </c:pt>
                <c:pt idx="14">
                  <c:v>11.617951222664512</c:v>
                </c:pt>
                <c:pt idx="15">
                  <c:v>11.965594190917749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C1E-420D-A65C-D85192E85752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[1]Hoja1!$C$92:$C$107</c:f>
              <c:numCache>
                <c:formatCode>General</c:formatCode>
                <c:ptCount val="16"/>
                <c:pt idx="0">
                  <c:v>0</c:v>
                </c:pt>
                <c:pt idx="1">
                  <c:v>15</c:v>
                </c:pt>
                <c:pt idx="2">
                  <c:v>21</c:v>
                </c:pt>
                <c:pt idx="3">
                  <c:v>39</c:v>
                </c:pt>
                <c:pt idx="4">
                  <c:v>42</c:v>
                </c:pt>
                <c:pt idx="5">
                  <c:v>45.500000000058208</c:v>
                </c:pt>
                <c:pt idx="6">
                  <c:v>63</c:v>
                </c:pt>
                <c:pt idx="7">
                  <c:v>68.499999999941792</c:v>
                </c:pt>
                <c:pt idx="8">
                  <c:v>87.999999999941792</c:v>
                </c:pt>
                <c:pt idx="9">
                  <c:v>119.00000000005821</c:v>
                </c:pt>
                <c:pt idx="10">
                  <c:v>135</c:v>
                </c:pt>
                <c:pt idx="11">
                  <c:v>141</c:v>
                </c:pt>
                <c:pt idx="12">
                  <c:v>159</c:v>
                </c:pt>
                <c:pt idx="13">
                  <c:v>165</c:v>
                </c:pt>
                <c:pt idx="14">
                  <c:v>183</c:v>
                </c:pt>
                <c:pt idx="15">
                  <c:v>189</c:v>
                </c:pt>
              </c:numCache>
            </c:numRef>
          </c:xVal>
          <c:yVal>
            <c:numRef>
              <c:f>[1]Hoja1!$G$92:$G$107</c:f>
              <c:numCache>
                <c:formatCode>General</c:formatCode>
                <c:ptCount val="16"/>
                <c:pt idx="0">
                  <c:v>0.94</c:v>
                </c:pt>
                <c:pt idx="1">
                  <c:v>2.1</c:v>
                </c:pt>
                <c:pt idx="2">
                  <c:v>2.25</c:v>
                </c:pt>
                <c:pt idx="3">
                  <c:v>2.95</c:v>
                </c:pt>
                <c:pt idx="4">
                  <c:v>3.0500000000000003</c:v>
                </c:pt>
                <c:pt idx="5">
                  <c:v>4.3999999999999995</c:v>
                </c:pt>
                <c:pt idx="6">
                  <c:v>5.7499999999999991</c:v>
                </c:pt>
                <c:pt idx="7">
                  <c:v>6.85</c:v>
                </c:pt>
                <c:pt idx="8">
                  <c:v>5.3999999999999995</c:v>
                </c:pt>
                <c:pt idx="9">
                  <c:v>10.050000000000001</c:v>
                </c:pt>
                <c:pt idx="10">
                  <c:v>9.7999999999999989</c:v>
                </c:pt>
                <c:pt idx="11">
                  <c:v>4.7</c:v>
                </c:pt>
                <c:pt idx="12">
                  <c:v>9.4</c:v>
                </c:pt>
                <c:pt idx="13">
                  <c:v>8.8000000000000007</c:v>
                </c:pt>
                <c:pt idx="14">
                  <c:v>10.3</c:v>
                </c:pt>
                <c:pt idx="15">
                  <c:v>11.7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C1E-420D-A65C-D85192E85752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[1]Hoja1!$C$92:$C$107</c:f>
              <c:numCache>
                <c:formatCode>General</c:formatCode>
                <c:ptCount val="16"/>
                <c:pt idx="0">
                  <c:v>0</c:v>
                </c:pt>
                <c:pt idx="1">
                  <c:v>15</c:v>
                </c:pt>
                <c:pt idx="2">
                  <c:v>21</c:v>
                </c:pt>
                <c:pt idx="3">
                  <c:v>39</c:v>
                </c:pt>
                <c:pt idx="4">
                  <c:v>42</c:v>
                </c:pt>
                <c:pt idx="5">
                  <c:v>45.500000000058208</c:v>
                </c:pt>
                <c:pt idx="6">
                  <c:v>63</c:v>
                </c:pt>
                <c:pt idx="7">
                  <c:v>68.499999999941792</c:v>
                </c:pt>
                <c:pt idx="8">
                  <c:v>87.999999999941792</c:v>
                </c:pt>
                <c:pt idx="9">
                  <c:v>119.00000000005821</c:v>
                </c:pt>
                <c:pt idx="10">
                  <c:v>135</c:v>
                </c:pt>
                <c:pt idx="11">
                  <c:v>141</c:v>
                </c:pt>
                <c:pt idx="12">
                  <c:v>159</c:v>
                </c:pt>
                <c:pt idx="13">
                  <c:v>165</c:v>
                </c:pt>
                <c:pt idx="14">
                  <c:v>183</c:v>
                </c:pt>
                <c:pt idx="15">
                  <c:v>189</c:v>
                </c:pt>
              </c:numCache>
            </c:numRef>
          </c:xVal>
          <c:yVal>
            <c:numRef>
              <c:f>[1]Hoja1!$I$92:$I$107</c:f>
              <c:numCache>
                <c:formatCode>General</c:formatCode>
                <c:ptCount val="16"/>
                <c:pt idx="7">
                  <c:v>8.84</c:v>
                </c:pt>
                <c:pt idx="8">
                  <c:v>10.16</c:v>
                </c:pt>
                <c:pt idx="9">
                  <c:v>11.24</c:v>
                </c:pt>
                <c:pt idx="11">
                  <c:v>9.56</c:v>
                </c:pt>
                <c:pt idx="13">
                  <c:v>-1.2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C1E-420D-A65C-D85192E857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2143495"/>
        <c:axId val="568000520"/>
      </c:scatterChart>
      <c:valAx>
        <c:axId val="1262143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000520"/>
        <c:crosses val="autoZero"/>
        <c:crossBetween val="midCat"/>
      </c:valAx>
      <c:valAx>
        <c:axId val="568000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21434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[1]Hoja1!$C$108:$C$123</c:f>
              <c:numCache>
                <c:formatCode>General</c:formatCode>
                <c:ptCount val="16"/>
                <c:pt idx="0">
                  <c:v>0</c:v>
                </c:pt>
                <c:pt idx="1">
                  <c:v>15</c:v>
                </c:pt>
                <c:pt idx="2">
                  <c:v>21</c:v>
                </c:pt>
                <c:pt idx="3">
                  <c:v>39</c:v>
                </c:pt>
                <c:pt idx="4">
                  <c:v>42</c:v>
                </c:pt>
                <c:pt idx="5">
                  <c:v>45.500000000058208</c:v>
                </c:pt>
                <c:pt idx="6">
                  <c:v>63</c:v>
                </c:pt>
                <c:pt idx="7">
                  <c:v>68.499999999941792</c:v>
                </c:pt>
                <c:pt idx="8">
                  <c:v>87.999999999941792</c:v>
                </c:pt>
                <c:pt idx="9">
                  <c:v>119.00000000005821</c:v>
                </c:pt>
                <c:pt idx="10">
                  <c:v>135</c:v>
                </c:pt>
                <c:pt idx="11">
                  <c:v>141</c:v>
                </c:pt>
                <c:pt idx="12">
                  <c:v>159</c:v>
                </c:pt>
                <c:pt idx="13">
                  <c:v>165</c:v>
                </c:pt>
                <c:pt idx="14">
                  <c:v>183</c:v>
                </c:pt>
                <c:pt idx="15">
                  <c:v>189</c:v>
                </c:pt>
              </c:numCache>
            </c:numRef>
          </c:xVal>
          <c:yVal>
            <c:numRef>
              <c:f>[1]Hoja1!$D$108:$D$123</c:f>
              <c:numCache>
                <c:formatCode>General</c:formatCode>
                <c:ptCount val="16"/>
                <c:pt idx="0">
                  <c:v>1059.0999999999999</c:v>
                </c:pt>
                <c:pt idx="1">
                  <c:v>1058.4000000000001</c:v>
                </c:pt>
                <c:pt idx="2">
                  <c:v>1056.4000000000001</c:v>
                </c:pt>
                <c:pt idx="3">
                  <c:v>1046.0999999999999</c:v>
                </c:pt>
                <c:pt idx="4">
                  <c:v>1043.5999999999999</c:v>
                </c:pt>
                <c:pt idx="5">
                  <c:v>1040.5999999999999</c:v>
                </c:pt>
                <c:pt idx="6">
                  <c:v>1024.8</c:v>
                </c:pt>
                <c:pt idx="7">
                  <c:v>1022.7</c:v>
                </c:pt>
                <c:pt idx="8">
                  <c:v>1012.7</c:v>
                </c:pt>
                <c:pt idx="9">
                  <c:v>1002.4</c:v>
                </c:pt>
                <c:pt idx="10">
                  <c:v>998.8</c:v>
                </c:pt>
                <c:pt idx="11">
                  <c:v>997.3</c:v>
                </c:pt>
                <c:pt idx="12">
                  <c:v>996</c:v>
                </c:pt>
                <c:pt idx="13">
                  <c:v>993.3</c:v>
                </c:pt>
                <c:pt idx="14">
                  <c:v>993.3</c:v>
                </c:pt>
                <c:pt idx="15">
                  <c:v>991.1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E9-4EB1-9396-C8E3C9A9166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[1]Hoja1!$C$108:$C$123</c:f>
              <c:numCache>
                <c:formatCode>General</c:formatCode>
                <c:ptCount val="16"/>
                <c:pt idx="0">
                  <c:v>0</c:v>
                </c:pt>
                <c:pt idx="1">
                  <c:v>15</c:v>
                </c:pt>
                <c:pt idx="2">
                  <c:v>21</c:v>
                </c:pt>
                <c:pt idx="3">
                  <c:v>39</c:v>
                </c:pt>
                <c:pt idx="4">
                  <c:v>42</c:v>
                </c:pt>
                <c:pt idx="5">
                  <c:v>45.500000000058208</c:v>
                </c:pt>
                <c:pt idx="6">
                  <c:v>63</c:v>
                </c:pt>
                <c:pt idx="7">
                  <c:v>68.499999999941792</c:v>
                </c:pt>
                <c:pt idx="8">
                  <c:v>87.999999999941792</c:v>
                </c:pt>
                <c:pt idx="9">
                  <c:v>119.00000000005821</c:v>
                </c:pt>
                <c:pt idx="10">
                  <c:v>135</c:v>
                </c:pt>
                <c:pt idx="11">
                  <c:v>141</c:v>
                </c:pt>
                <c:pt idx="12">
                  <c:v>159</c:v>
                </c:pt>
                <c:pt idx="13">
                  <c:v>165</c:v>
                </c:pt>
                <c:pt idx="14">
                  <c:v>183</c:v>
                </c:pt>
                <c:pt idx="15">
                  <c:v>189</c:v>
                </c:pt>
              </c:numCache>
            </c:numRef>
          </c:xVal>
          <c:yVal>
            <c:numRef>
              <c:f>[1]Hoja1!$E$108:$E$123</c:f>
              <c:numCache>
                <c:formatCode>General</c:formatCode>
                <c:ptCount val="16"/>
                <c:pt idx="0">
                  <c:v>1.0590999999999999</c:v>
                </c:pt>
                <c:pt idx="1">
                  <c:v>1.0584</c:v>
                </c:pt>
                <c:pt idx="2">
                  <c:v>1.0564</c:v>
                </c:pt>
                <c:pt idx="3">
                  <c:v>1.0460999999999998</c:v>
                </c:pt>
                <c:pt idx="4">
                  <c:v>1.0435999999999999</c:v>
                </c:pt>
                <c:pt idx="5">
                  <c:v>1.0406</c:v>
                </c:pt>
                <c:pt idx="6">
                  <c:v>1.0247999999999999</c:v>
                </c:pt>
                <c:pt idx="7">
                  <c:v>1.0226999999999999</c:v>
                </c:pt>
                <c:pt idx="8">
                  <c:v>1.0127000000000002</c:v>
                </c:pt>
                <c:pt idx="9">
                  <c:v>1.0024</c:v>
                </c:pt>
                <c:pt idx="10">
                  <c:v>0.99879999999999991</c:v>
                </c:pt>
                <c:pt idx="11">
                  <c:v>0.99729999999999996</c:v>
                </c:pt>
                <c:pt idx="12">
                  <c:v>0.996</c:v>
                </c:pt>
                <c:pt idx="13">
                  <c:v>0.99329999999999996</c:v>
                </c:pt>
                <c:pt idx="14">
                  <c:v>0.99329999999999996</c:v>
                </c:pt>
                <c:pt idx="15">
                  <c:v>0.99109999999999998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0E9-4EB1-9396-C8E3C9A91665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[1]Hoja1!$C$108:$C$123</c:f>
              <c:numCache>
                <c:formatCode>General</c:formatCode>
                <c:ptCount val="16"/>
                <c:pt idx="0">
                  <c:v>0</c:v>
                </c:pt>
                <c:pt idx="1">
                  <c:v>15</c:v>
                </c:pt>
                <c:pt idx="2">
                  <c:v>21</c:v>
                </c:pt>
                <c:pt idx="3">
                  <c:v>39</c:v>
                </c:pt>
                <c:pt idx="4">
                  <c:v>42</c:v>
                </c:pt>
                <c:pt idx="5">
                  <c:v>45.500000000058208</c:v>
                </c:pt>
                <c:pt idx="6">
                  <c:v>63</c:v>
                </c:pt>
                <c:pt idx="7">
                  <c:v>68.499999999941792</c:v>
                </c:pt>
                <c:pt idx="8">
                  <c:v>87.999999999941792</c:v>
                </c:pt>
                <c:pt idx="9">
                  <c:v>119.00000000005821</c:v>
                </c:pt>
                <c:pt idx="10">
                  <c:v>135</c:v>
                </c:pt>
                <c:pt idx="11">
                  <c:v>141</c:v>
                </c:pt>
                <c:pt idx="12">
                  <c:v>159</c:v>
                </c:pt>
                <c:pt idx="13">
                  <c:v>165</c:v>
                </c:pt>
                <c:pt idx="14">
                  <c:v>183</c:v>
                </c:pt>
                <c:pt idx="15">
                  <c:v>189</c:v>
                </c:pt>
              </c:numCache>
            </c:numRef>
          </c:xVal>
          <c:yVal>
            <c:numRef>
              <c:f>[1]Hoja1!$F$108:$F$123</c:f>
              <c:numCache>
                <c:formatCode>General</c:formatCode>
                <c:ptCount val="16"/>
                <c:pt idx="0">
                  <c:v>14.530263579039115</c:v>
                </c:pt>
                <c:pt idx="1">
                  <c:v>14.366562014321516</c:v>
                </c:pt>
                <c:pt idx="2">
                  <c:v>13.89778176924699</c:v>
                </c:pt>
                <c:pt idx="3">
                  <c:v>11.458359295564264</c:v>
                </c:pt>
                <c:pt idx="4">
                  <c:v>10.859813842005906</c:v>
                </c:pt>
                <c:pt idx="5">
                  <c:v>10.138184598127623</c:v>
                </c:pt>
                <c:pt idx="6">
                  <c:v>6.275696723373585</c:v>
                </c:pt>
                <c:pt idx="7">
                  <c:v>5.7543504664118927</c:v>
                </c:pt>
                <c:pt idx="8">
                  <c:v>3.2454538008449845</c:v>
                </c:pt>
                <c:pt idx="9">
                  <c:v>0.61499670396017336</c:v>
                </c:pt>
                <c:pt idx="10">
                  <c:v>-0.31568366988301477</c:v>
                </c:pt>
                <c:pt idx="11">
                  <c:v>-0.70521576148428267</c:v>
                </c:pt>
                <c:pt idx="12">
                  <c:v>-1.0436465062464322</c:v>
                </c:pt>
                <c:pt idx="13">
                  <c:v>-1.7490331950490372</c:v>
                </c:pt>
                <c:pt idx="14">
                  <c:v>-1.7490331950490372</c:v>
                </c:pt>
                <c:pt idx="15">
                  <c:v>-2.3262923642923852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0E9-4EB1-9396-C8E3C9A91665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[1]Hoja1!$C$108:$C$123</c:f>
              <c:numCache>
                <c:formatCode>General</c:formatCode>
                <c:ptCount val="16"/>
                <c:pt idx="0">
                  <c:v>0</c:v>
                </c:pt>
                <c:pt idx="1">
                  <c:v>15</c:v>
                </c:pt>
                <c:pt idx="2">
                  <c:v>21</c:v>
                </c:pt>
                <c:pt idx="3">
                  <c:v>39</c:v>
                </c:pt>
                <c:pt idx="4">
                  <c:v>42</c:v>
                </c:pt>
                <c:pt idx="5">
                  <c:v>45.500000000058208</c:v>
                </c:pt>
                <c:pt idx="6">
                  <c:v>63</c:v>
                </c:pt>
                <c:pt idx="7">
                  <c:v>68.499999999941792</c:v>
                </c:pt>
                <c:pt idx="8">
                  <c:v>87.999999999941792</c:v>
                </c:pt>
                <c:pt idx="9">
                  <c:v>119.00000000005821</c:v>
                </c:pt>
                <c:pt idx="10">
                  <c:v>135</c:v>
                </c:pt>
                <c:pt idx="11">
                  <c:v>141</c:v>
                </c:pt>
                <c:pt idx="12">
                  <c:v>159</c:v>
                </c:pt>
                <c:pt idx="13">
                  <c:v>165</c:v>
                </c:pt>
                <c:pt idx="14">
                  <c:v>183</c:v>
                </c:pt>
                <c:pt idx="15">
                  <c:v>189</c:v>
                </c:pt>
              </c:numCache>
            </c:numRef>
          </c:xVal>
          <c:yVal>
            <c:numRef>
              <c:f>[1]Hoja1!$H$108:$H$123</c:f>
              <c:numCache>
                <c:formatCode>General</c:formatCode>
                <c:ptCount val="16"/>
                <c:pt idx="0">
                  <c:v>0.94</c:v>
                </c:pt>
                <c:pt idx="1">
                  <c:v>1.0485600501328878</c:v>
                </c:pt>
                <c:pt idx="2">
                  <c:v>1.3594355570004597</c:v>
                </c:pt>
                <c:pt idx="3">
                  <c:v>2.9771587992622996</c:v>
                </c:pt>
                <c:pt idx="4">
                  <c:v>3.3740891802101007</c:v>
                </c:pt>
                <c:pt idx="5">
                  <c:v>3.8526435973772721</c:v>
                </c:pt>
                <c:pt idx="6">
                  <c:v>6.4140844610875511</c:v>
                </c:pt>
                <c:pt idx="7">
                  <c:v>6.759819554640206</c:v>
                </c:pt>
                <c:pt idx="8">
                  <c:v>8.4236151833627346</c:v>
                </c:pt>
                <c:pt idx="9">
                  <c:v>10.168024620150033</c:v>
                </c:pt>
                <c:pt idx="10">
                  <c:v>10.785213027703781</c:v>
                </c:pt>
                <c:pt idx="11">
                  <c:v>11.043534464432579</c:v>
                </c:pt>
                <c:pt idx="12">
                  <c:v>11.267967619248598</c:v>
                </c:pt>
                <c:pt idx="13">
                  <c:v>11.735750651326423</c:v>
                </c:pt>
                <c:pt idx="14">
                  <c:v>11.735750651326423</c:v>
                </c:pt>
                <c:pt idx="15">
                  <c:v>12.118564856314839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0E9-4EB1-9396-C8E3C9A91665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[1]Hoja1!$C$108:$C$123</c:f>
              <c:numCache>
                <c:formatCode>General</c:formatCode>
                <c:ptCount val="16"/>
                <c:pt idx="0">
                  <c:v>0</c:v>
                </c:pt>
                <c:pt idx="1">
                  <c:v>15</c:v>
                </c:pt>
                <c:pt idx="2">
                  <c:v>21</c:v>
                </c:pt>
                <c:pt idx="3">
                  <c:v>39</c:v>
                </c:pt>
                <c:pt idx="4">
                  <c:v>42</c:v>
                </c:pt>
                <c:pt idx="5">
                  <c:v>45.500000000058208</c:v>
                </c:pt>
                <c:pt idx="6">
                  <c:v>63</c:v>
                </c:pt>
                <c:pt idx="7">
                  <c:v>68.499999999941792</c:v>
                </c:pt>
                <c:pt idx="8">
                  <c:v>87.999999999941792</c:v>
                </c:pt>
                <c:pt idx="9">
                  <c:v>119.00000000005821</c:v>
                </c:pt>
                <c:pt idx="10">
                  <c:v>135</c:v>
                </c:pt>
                <c:pt idx="11">
                  <c:v>141</c:v>
                </c:pt>
                <c:pt idx="12">
                  <c:v>159</c:v>
                </c:pt>
                <c:pt idx="13">
                  <c:v>165</c:v>
                </c:pt>
                <c:pt idx="14">
                  <c:v>183</c:v>
                </c:pt>
                <c:pt idx="15">
                  <c:v>189</c:v>
                </c:pt>
              </c:numCache>
            </c:numRef>
          </c:xVal>
          <c:yVal>
            <c:numRef>
              <c:f>[1]Hoja1!$G$108:$G$123</c:f>
              <c:numCache>
                <c:formatCode>General</c:formatCode>
                <c:ptCount val="16"/>
                <c:pt idx="0">
                  <c:v>0.94</c:v>
                </c:pt>
                <c:pt idx="1">
                  <c:v>3.85</c:v>
                </c:pt>
                <c:pt idx="2">
                  <c:v>3.7</c:v>
                </c:pt>
                <c:pt idx="3">
                  <c:v>2.65</c:v>
                </c:pt>
                <c:pt idx="4">
                  <c:v>2.25</c:v>
                </c:pt>
                <c:pt idx="5">
                  <c:v>2.65</c:v>
                </c:pt>
                <c:pt idx="6">
                  <c:v>6.5</c:v>
                </c:pt>
                <c:pt idx="7">
                  <c:v>5.4499999999999993</c:v>
                </c:pt>
                <c:pt idx="8">
                  <c:v>2.8500000000000005</c:v>
                </c:pt>
                <c:pt idx="9">
                  <c:v>7.05</c:v>
                </c:pt>
                <c:pt idx="10">
                  <c:v>4.4999999999999991</c:v>
                </c:pt>
                <c:pt idx="11">
                  <c:v>5.85</c:v>
                </c:pt>
                <c:pt idx="12">
                  <c:v>8.1</c:v>
                </c:pt>
                <c:pt idx="13">
                  <c:v>8.0500000000000007</c:v>
                </c:pt>
                <c:pt idx="14">
                  <c:v>1.55</c:v>
                </c:pt>
                <c:pt idx="15">
                  <c:v>11.7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0E9-4EB1-9396-C8E3C9A91665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[1]Hoja1!$C$108:$C$123</c:f>
              <c:numCache>
                <c:formatCode>General</c:formatCode>
                <c:ptCount val="16"/>
                <c:pt idx="0">
                  <c:v>0</c:v>
                </c:pt>
                <c:pt idx="1">
                  <c:v>15</c:v>
                </c:pt>
                <c:pt idx="2">
                  <c:v>21</c:v>
                </c:pt>
                <c:pt idx="3">
                  <c:v>39</c:v>
                </c:pt>
                <c:pt idx="4">
                  <c:v>42</c:v>
                </c:pt>
                <c:pt idx="5">
                  <c:v>45.500000000058208</c:v>
                </c:pt>
                <c:pt idx="6">
                  <c:v>63</c:v>
                </c:pt>
                <c:pt idx="7">
                  <c:v>68.499999999941792</c:v>
                </c:pt>
                <c:pt idx="8">
                  <c:v>87.999999999941792</c:v>
                </c:pt>
                <c:pt idx="9">
                  <c:v>119.00000000005821</c:v>
                </c:pt>
                <c:pt idx="10">
                  <c:v>135</c:v>
                </c:pt>
                <c:pt idx="11">
                  <c:v>141</c:v>
                </c:pt>
                <c:pt idx="12">
                  <c:v>159</c:v>
                </c:pt>
                <c:pt idx="13">
                  <c:v>165</c:v>
                </c:pt>
                <c:pt idx="14">
                  <c:v>183</c:v>
                </c:pt>
                <c:pt idx="15">
                  <c:v>189</c:v>
                </c:pt>
              </c:numCache>
            </c:numRef>
          </c:xVal>
          <c:yVal>
            <c:numRef>
              <c:f>[1]Hoja1!$I$108:$I$123</c:f>
              <c:numCache>
                <c:formatCode>General</c:formatCode>
                <c:ptCount val="16"/>
                <c:pt idx="1">
                  <c:v>5.28</c:v>
                </c:pt>
                <c:pt idx="3">
                  <c:v>0.48</c:v>
                </c:pt>
                <c:pt idx="10">
                  <c:v>11.440000000000001</c:v>
                </c:pt>
                <c:pt idx="11">
                  <c:v>12.16</c:v>
                </c:pt>
                <c:pt idx="14">
                  <c:v>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0E9-4EB1-9396-C8E3C9A91665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[1]Hoja1!$C$108:$C$123</c:f>
              <c:numCache>
                <c:formatCode>General</c:formatCode>
                <c:ptCount val="16"/>
                <c:pt idx="0">
                  <c:v>0</c:v>
                </c:pt>
                <c:pt idx="1">
                  <c:v>15</c:v>
                </c:pt>
                <c:pt idx="2">
                  <c:v>21</c:v>
                </c:pt>
                <c:pt idx="3">
                  <c:v>39</c:v>
                </c:pt>
                <c:pt idx="4">
                  <c:v>42</c:v>
                </c:pt>
                <c:pt idx="5">
                  <c:v>45.500000000058208</c:v>
                </c:pt>
                <c:pt idx="6">
                  <c:v>63</c:v>
                </c:pt>
                <c:pt idx="7">
                  <c:v>68.499999999941792</c:v>
                </c:pt>
                <c:pt idx="8">
                  <c:v>87.999999999941792</c:v>
                </c:pt>
                <c:pt idx="9">
                  <c:v>119.00000000005821</c:v>
                </c:pt>
                <c:pt idx="10">
                  <c:v>135</c:v>
                </c:pt>
                <c:pt idx="11">
                  <c:v>141</c:v>
                </c:pt>
                <c:pt idx="12">
                  <c:v>159</c:v>
                </c:pt>
                <c:pt idx="13">
                  <c:v>165</c:v>
                </c:pt>
                <c:pt idx="14">
                  <c:v>183</c:v>
                </c:pt>
                <c:pt idx="15">
                  <c:v>189</c:v>
                </c:pt>
              </c:numCache>
            </c:numRef>
          </c:xVal>
          <c:yVal>
            <c:numRef>
              <c:f>[1]Hoja1!$J$108:$J$123</c:f>
              <c:numCache>
                <c:formatCode>General</c:formatCode>
                <c:ptCount val="16"/>
                <c:pt idx="4">
                  <c:v>3.5199999999999996</c:v>
                </c:pt>
                <c:pt idx="5">
                  <c:v>3.96</c:v>
                </c:pt>
                <c:pt idx="8">
                  <c:v>6.6399999999999988</c:v>
                </c:pt>
                <c:pt idx="15">
                  <c:v>11.93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0E9-4EB1-9396-C8E3C9A91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2107143"/>
        <c:axId val="1262125575"/>
      </c:scatterChart>
      <c:valAx>
        <c:axId val="1262107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2125575"/>
        <c:crosses val="autoZero"/>
        <c:crossBetween val="midCat"/>
      </c:valAx>
      <c:valAx>
        <c:axId val="1262125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21071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[1]Hoja1!$C$124:$C$151</c:f>
              <c:numCache>
                <c:formatCode>General</c:formatCode>
                <c:ptCount val="28"/>
                <c:pt idx="0">
                  <c:v>0</c:v>
                </c:pt>
                <c:pt idx="1">
                  <c:v>4.0000000001164153</c:v>
                </c:pt>
                <c:pt idx="2">
                  <c:v>17.000000000058208</c:v>
                </c:pt>
                <c:pt idx="3">
                  <c:v>23.000000000058208</c:v>
                </c:pt>
                <c:pt idx="4">
                  <c:v>41.500000000116415</c:v>
                </c:pt>
                <c:pt idx="5">
                  <c:v>43.5</c:v>
                </c:pt>
                <c:pt idx="6">
                  <c:v>48</c:v>
                </c:pt>
                <c:pt idx="7">
                  <c:v>65.500000000116415</c:v>
                </c:pt>
                <c:pt idx="8">
                  <c:v>71.000000000058208</c:v>
                </c:pt>
                <c:pt idx="9">
                  <c:v>89.000000000058208</c:v>
                </c:pt>
                <c:pt idx="10">
                  <c:v>113.75000000005821</c:v>
                </c:pt>
                <c:pt idx="11">
                  <c:v>120.50000000005821</c:v>
                </c:pt>
                <c:pt idx="12">
                  <c:v>141.50000000005821</c:v>
                </c:pt>
                <c:pt idx="13">
                  <c:v>161.00000000005821</c:v>
                </c:pt>
                <c:pt idx="14">
                  <c:v>167.00000000005821</c:v>
                </c:pt>
                <c:pt idx="15">
                  <c:v>186.50000000005821</c:v>
                </c:pt>
                <c:pt idx="16">
                  <c:v>191.00000000005821</c:v>
                </c:pt>
                <c:pt idx="17">
                  <c:v>209.00000000005821</c:v>
                </c:pt>
                <c:pt idx="18">
                  <c:v>215.00000000005821</c:v>
                </c:pt>
                <c:pt idx="19">
                  <c:v>241.5</c:v>
                </c:pt>
                <c:pt idx="20">
                  <c:v>258.50000000005821</c:v>
                </c:pt>
                <c:pt idx="21">
                  <c:v>284.00000000005821</c:v>
                </c:pt>
                <c:pt idx="22">
                  <c:v>308.00000000005821</c:v>
                </c:pt>
                <c:pt idx="23">
                  <c:v>329.75000000005821</c:v>
                </c:pt>
                <c:pt idx="24">
                  <c:v>335.00000000005821</c:v>
                </c:pt>
                <c:pt idx="25">
                  <c:v>354</c:v>
                </c:pt>
                <c:pt idx="26">
                  <c:v>359.50000000011642</c:v>
                </c:pt>
                <c:pt idx="27">
                  <c:v>378.50000000005821</c:v>
                </c:pt>
              </c:numCache>
            </c:numRef>
          </c:xVal>
          <c:yVal>
            <c:numRef>
              <c:f>[1]Hoja1!$D$124:$D$151</c:f>
              <c:numCache>
                <c:formatCode>General</c:formatCode>
                <c:ptCount val="28"/>
                <c:pt idx="0">
                  <c:v>1059</c:v>
                </c:pt>
                <c:pt idx="1">
                  <c:v>1059.7</c:v>
                </c:pt>
                <c:pt idx="2">
                  <c:v>1059.3</c:v>
                </c:pt>
                <c:pt idx="3">
                  <c:v>1057.9000000000001</c:v>
                </c:pt>
                <c:pt idx="4">
                  <c:v>1058</c:v>
                </c:pt>
                <c:pt idx="5">
                  <c:v>1057.5</c:v>
                </c:pt>
                <c:pt idx="6">
                  <c:v>1056.4000000000001</c:v>
                </c:pt>
                <c:pt idx="7">
                  <c:v>1053.5</c:v>
                </c:pt>
                <c:pt idx="8">
                  <c:v>1051.9000000000001</c:v>
                </c:pt>
                <c:pt idx="9">
                  <c:v>1047.2</c:v>
                </c:pt>
                <c:pt idx="10">
                  <c:v>1037</c:v>
                </c:pt>
                <c:pt idx="11">
                  <c:v>1033.4000000000001</c:v>
                </c:pt>
                <c:pt idx="12">
                  <c:v>1025.2</c:v>
                </c:pt>
                <c:pt idx="13">
                  <c:v>1019.3</c:v>
                </c:pt>
                <c:pt idx="14">
                  <c:v>1017.3</c:v>
                </c:pt>
                <c:pt idx="15">
                  <c:v>1012.9</c:v>
                </c:pt>
                <c:pt idx="16">
                  <c:v>1010.7</c:v>
                </c:pt>
                <c:pt idx="17">
                  <c:v>1008.6</c:v>
                </c:pt>
                <c:pt idx="18">
                  <c:v>1007</c:v>
                </c:pt>
                <c:pt idx="19">
                  <c:v>1003.7</c:v>
                </c:pt>
                <c:pt idx="20">
                  <c:v>1002.5</c:v>
                </c:pt>
                <c:pt idx="21">
                  <c:v>998.5</c:v>
                </c:pt>
                <c:pt idx="22">
                  <c:v>996</c:v>
                </c:pt>
                <c:pt idx="23">
                  <c:v>996</c:v>
                </c:pt>
                <c:pt idx="24">
                  <c:v>993.8</c:v>
                </c:pt>
                <c:pt idx="25">
                  <c:v>994.4</c:v>
                </c:pt>
                <c:pt idx="26">
                  <c:v>993.1</c:v>
                </c:pt>
                <c:pt idx="27">
                  <c:v>992.3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335-46A3-811E-C6A512D1A0E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[1]Hoja1!$C$124:$C$151</c:f>
              <c:numCache>
                <c:formatCode>General</c:formatCode>
                <c:ptCount val="28"/>
                <c:pt idx="0">
                  <c:v>0</c:v>
                </c:pt>
                <c:pt idx="1">
                  <c:v>4.0000000001164153</c:v>
                </c:pt>
                <c:pt idx="2">
                  <c:v>17.000000000058208</c:v>
                </c:pt>
                <c:pt idx="3">
                  <c:v>23.000000000058208</c:v>
                </c:pt>
                <c:pt idx="4">
                  <c:v>41.500000000116415</c:v>
                </c:pt>
                <c:pt idx="5">
                  <c:v>43.5</c:v>
                </c:pt>
                <c:pt idx="6">
                  <c:v>48</c:v>
                </c:pt>
                <c:pt idx="7">
                  <c:v>65.500000000116415</c:v>
                </c:pt>
                <c:pt idx="8">
                  <c:v>71.000000000058208</c:v>
                </c:pt>
                <c:pt idx="9">
                  <c:v>89.000000000058208</c:v>
                </c:pt>
                <c:pt idx="10">
                  <c:v>113.75000000005821</c:v>
                </c:pt>
                <c:pt idx="11">
                  <c:v>120.50000000005821</c:v>
                </c:pt>
                <c:pt idx="12">
                  <c:v>141.50000000005821</c:v>
                </c:pt>
                <c:pt idx="13">
                  <c:v>161.00000000005821</c:v>
                </c:pt>
                <c:pt idx="14">
                  <c:v>167.00000000005821</c:v>
                </c:pt>
                <c:pt idx="15">
                  <c:v>186.50000000005821</c:v>
                </c:pt>
                <c:pt idx="16">
                  <c:v>191.00000000005821</c:v>
                </c:pt>
                <c:pt idx="17">
                  <c:v>209.00000000005821</c:v>
                </c:pt>
                <c:pt idx="18">
                  <c:v>215.00000000005821</c:v>
                </c:pt>
                <c:pt idx="19">
                  <c:v>241.5</c:v>
                </c:pt>
                <c:pt idx="20">
                  <c:v>258.50000000005821</c:v>
                </c:pt>
                <c:pt idx="21">
                  <c:v>284.00000000005821</c:v>
                </c:pt>
                <c:pt idx="22">
                  <c:v>308.00000000005821</c:v>
                </c:pt>
                <c:pt idx="23">
                  <c:v>329.75000000005821</c:v>
                </c:pt>
                <c:pt idx="24">
                  <c:v>335.00000000005821</c:v>
                </c:pt>
                <c:pt idx="25">
                  <c:v>354</c:v>
                </c:pt>
                <c:pt idx="26">
                  <c:v>359.50000000011642</c:v>
                </c:pt>
                <c:pt idx="27">
                  <c:v>378.50000000005821</c:v>
                </c:pt>
              </c:numCache>
            </c:numRef>
          </c:xVal>
          <c:yVal>
            <c:numRef>
              <c:f>[1]Hoja1!$E$124:$E$151</c:f>
              <c:numCache>
                <c:formatCode>General</c:formatCode>
                <c:ptCount val="28"/>
                <c:pt idx="0">
                  <c:v>1.0589999999999999</c:v>
                </c:pt>
                <c:pt idx="1">
                  <c:v>1.0597000000000001</c:v>
                </c:pt>
                <c:pt idx="2">
                  <c:v>1.0592999999999999</c:v>
                </c:pt>
                <c:pt idx="3">
                  <c:v>1.0579000000000001</c:v>
                </c:pt>
                <c:pt idx="4">
                  <c:v>1.0580000000000001</c:v>
                </c:pt>
                <c:pt idx="5">
                  <c:v>1.0575000000000001</c:v>
                </c:pt>
                <c:pt idx="6">
                  <c:v>1.0564</c:v>
                </c:pt>
                <c:pt idx="7">
                  <c:v>1.0535000000000001</c:v>
                </c:pt>
                <c:pt idx="8">
                  <c:v>1.0519000000000001</c:v>
                </c:pt>
                <c:pt idx="9">
                  <c:v>1.0472000000000001</c:v>
                </c:pt>
                <c:pt idx="10">
                  <c:v>1.0369999999999999</c:v>
                </c:pt>
                <c:pt idx="11">
                  <c:v>1.0334000000000001</c:v>
                </c:pt>
                <c:pt idx="12">
                  <c:v>1.0252000000000001</c:v>
                </c:pt>
                <c:pt idx="13">
                  <c:v>1.0192999999999999</c:v>
                </c:pt>
                <c:pt idx="14">
                  <c:v>1.0172999999999999</c:v>
                </c:pt>
                <c:pt idx="15">
                  <c:v>1.0128999999999999</c:v>
                </c:pt>
                <c:pt idx="16">
                  <c:v>1.0107000000000002</c:v>
                </c:pt>
                <c:pt idx="17">
                  <c:v>1.0085999999999999</c:v>
                </c:pt>
                <c:pt idx="18">
                  <c:v>1.0069999999999999</c:v>
                </c:pt>
                <c:pt idx="19">
                  <c:v>1.0037</c:v>
                </c:pt>
                <c:pt idx="20">
                  <c:v>1.0024999999999999</c:v>
                </c:pt>
                <c:pt idx="21">
                  <c:v>0.99850000000000005</c:v>
                </c:pt>
                <c:pt idx="22">
                  <c:v>0.996</c:v>
                </c:pt>
                <c:pt idx="23">
                  <c:v>0.996</c:v>
                </c:pt>
                <c:pt idx="24">
                  <c:v>0.99379999999999991</c:v>
                </c:pt>
                <c:pt idx="25">
                  <c:v>0.99439999999999995</c:v>
                </c:pt>
                <c:pt idx="26">
                  <c:v>0.99309999999999998</c:v>
                </c:pt>
                <c:pt idx="27">
                  <c:v>0.99229999999999996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335-46A3-811E-C6A512D1A0E5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[1]Hoja1!$C$124:$C$151</c:f>
              <c:numCache>
                <c:formatCode>General</c:formatCode>
                <c:ptCount val="28"/>
                <c:pt idx="0">
                  <c:v>0</c:v>
                </c:pt>
                <c:pt idx="1">
                  <c:v>4.0000000001164153</c:v>
                </c:pt>
                <c:pt idx="2">
                  <c:v>17.000000000058208</c:v>
                </c:pt>
                <c:pt idx="3">
                  <c:v>23.000000000058208</c:v>
                </c:pt>
                <c:pt idx="4">
                  <c:v>41.500000000116415</c:v>
                </c:pt>
                <c:pt idx="5">
                  <c:v>43.5</c:v>
                </c:pt>
                <c:pt idx="6">
                  <c:v>48</c:v>
                </c:pt>
                <c:pt idx="7">
                  <c:v>65.500000000116415</c:v>
                </c:pt>
                <c:pt idx="8">
                  <c:v>71.000000000058208</c:v>
                </c:pt>
                <c:pt idx="9">
                  <c:v>89.000000000058208</c:v>
                </c:pt>
                <c:pt idx="10">
                  <c:v>113.75000000005821</c:v>
                </c:pt>
                <c:pt idx="11">
                  <c:v>120.50000000005821</c:v>
                </c:pt>
                <c:pt idx="12">
                  <c:v>141.50000000005821</c:v>
                </c:pt>
                <c:pt idx="13">
                  <c:v>161.00000000005821</c:v>
                </c:pt>
                <c:pt idx="14">
                  <c:v>167.00000000005821</c:v>
                </c:pt>
                <c:pt idx="15">
                  <c:v>186.50000000005821</c:v>
                </c:pt>
                <c:pt idx="16">
                  <c:v>191.00000000005821</c:v>
                </c:pt>
                <c:pt idx="17">
                  <c:v>209.00000000005821</c:v>
                </c:pt>
                <c:pt idx="18">
                  <c:v>215.00000000005821</c:v>
                </c:pt>
                <c:pt idx="19">
                  <c:v>241.5</c:v>
                </c:pt>
                <c:pt idx="20">
                  <c:v>258.50000000005821</c:v>
                </c:pt>
                <c:pt idx="21">
                  <c:v>284.00000000005821</c:v>
                </c:pt>
                <c:pt idx="22">
                  <c:v>308.00000000005821</c:v>
                </c:pt>
                <c:pt idx="23">
                  <c:v>329.75000000005821</c:v>
                </c:pt>
                <c:pt idx="24">
                  <c:v>335.00000000005821</c:v>
                </c:pt>
                <c:pt idx="25">
                  <c:v>354</c:v>
                </c:pt>
                <c:pt idx="26">
                  <c:v>359.50000000011642</c:v>
                </c:pt>
                <c:pt idx="27">
                  <c:v>378.50000000005821</c:v>
                </c:pt>
              </c:numCache>
            </c:numRef>
          </c:xVal>
          <c:yVal>
            <c:numRef>
              <c:f>[1]Hoja1!$F$124:$F$151</c:f>
              <c:numCache>
                <c:formatCode>General</c:formatCode>
                <c:ptCount val="28"/>
                <c:pt idx="0">
                  <c:v>14.506889407077892</c:v>
                </c:pt>
                <c:pt idx="1">
                  <c:v>14.670426349441072</c:v>
                </c:pt>
                <c:pt idx="2">
                  <c:v>14.57700016695901</c:v>
                </c:pt>
                <c:pt idx="3">
                  <c:v>14.249514546258297</c:v>
                </c:pt>
                <c:pt idx="4">
                  <c:v>14.272931899831065</c:v>
                </c:pt>
                <c:pt idx="5">
                  <c:v>14.155805799323502</c:v>
                </c:pt>
                <c:pt idx="6">
                  <c:v>13.89778176924699</c:v>
                </c:pt>
                <c:pt idx="7">
                  <c:v>13.215242606485617</c:v>
                </c:pt>
                <c:pt idx="8">
                  <c:v>12.837238061065023</c:v>
                </c:pt>
                <c:pt idx="9">
                  <c:v>11.720914136001625</c:v>
                </c:pt>
                <c:pt idx="10">
                  <c:v>9.2673304872453173</c:v>
                </c:pt>
                <c:pt idx="11">
                  <c:v>8.391083753309772</c:v>
                </c:pt>
                <c:pt idx="12">
                  <c:v>6.3747857353679365</c:v>
                </c:pt>
                <c:pt idx="13">
                  <c:v>4.9062247285772855</c:v>
                </c:pt>
                <c:pt idx="14">
                  <c:v>4.4049784310395808</c:v>
                </c:pt>
                <c:pt idx="15">
                  <c:v>3.2960619325514244</c:v>
                </c:pt>
                <c:pt idx="16">
                  <c:v>2.7383970983863719</c:v>
                </c:pt>
                <c:pt idx="17">
                  <c:v>2.204072153713355</c:v>
                </c:pt>
                <c:pt idx="18">
                  <c:v>1.7956442956141245</c:v>
                </c:pt>
                <c:pt idx="19">
                  <c:v>0.94962714050927843</c:v>
                </c:pt>
                <c:pt idx="20">
                  <c:v>0.64076471468899854</c:v>
                </c:pt>
                <c:pt idx="21">
                  <c:v>-0.39350754485292327</c:v>
                </c:pt>
                <c:pt idx="22">
                  <c:v>-1.0436465062464322</c:v>
                </c:pt>
                <c:pt idx="23">
                  <c:v>-1.0436465062464322</c:v>
                </c:pt>
                <c:pt idx="24">
                  <c:v>-1.6181515065426311</c:v>
                </c:pt>
                <c:pt idx="25">
                  <c:v>-1.4612463873610295</c:v>
                </c:pt>
                <c:pt idx="26">
                  <c:v>-1.8014183384831313</c:v>
                </c:pt>
                <c:pt idx="27">
                  <c:v>-2.0111446627789746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335-46A3-811E-C6A512D1A0E5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[1]Hoja1!$C$124:$C$151</c:f>
              <c:numCache>
                <c:formatCode>General</c:formatCode>
                <c:ptCount val="28"/>
                <c:pt idx="0">
                  <c:v>0</c:v>
                </c:pt>
                <c:pt idx="1">
                  <c:v>4.0000000001164153</c:v>
                </c:pt>
                <c:pt idx="2">
                  <c:v>17.000000000058208</c:v>
                </c:pt>
                <c:pt idx="3">
                  <c:v>23.000000000058208</c:v>
                </c:pt>
                <c:pt idx="4">
                  <c:v>41.500000000116415</c:v>
                </c:pt>
                <c:pt idx="5">
                  <c:v>43.5</c:v>
                </c:pt>
                <c:pt idx="6">
                  <c:v>48</c:v>
                </c:pt>
                <c:pt idx="7">
                  <c:v>65.500000000116415</c:v>
                </c:pt>
                <c:pt idx="8">
                  <c:v>71.000000000058208</c:v>
                </c:pt>
                <c:pt idx="9">
                  <c:v>89.000000000058208</c:v>
                </c:pt>
                <c:pt idx="10">
                  <c:v>113.75000000005821</c:v>
                </c:pt>
                <c:pt idx="11">
                  <c:v>120.50000000005821</c:v>
                </c:pt>
                <c:pt idx="12">
                  <c:v>141.50000000005821</c:v>
                </c:pt>
                <c:pt idx="13">
                  <c:v>161.00000000005821</c:v>
                </c:pt>
                <c:pt idx="14">
                  <c:v>167.00000000005821</c:v>
                </c:pt>
                <c:pt idx="15">
                  <c:v>186.50000000005821</c:v>
                </c:pt>
                <c:pt idx="16">
                  <c:v>191.00000000005821</c:v>
                </c:pt>
                <c:pt idx="17">
                  <c:v>209.00000000005821</c:v>
                </c:pt>
                <c:pt idx="18">
                  <c:v>215.00000000005821</c:v>
                </c:pt>
                <c:pt idx="19">
                  <c:v>241.5</c:v>
                </c:pt>
                <c:pt idx="20">
                  <c:v>258.50000000005821</c:v>
                </c:pt>
                <c:pt idx="21">
                  <c:v>284.00000000005821</c:v>
                </c:pt>
                <c:pt idx="22">
                  <c:v>308.00000000005821</c:v>
                </c:pt>
                <c:pt idx="23">
                  <c:v>329.75000000005821</c:v>
                </c:pt>
                <c:pt idx="24">
                  <c:v>335.00000000005821</c:v>
                </c:pt>
                <c:pt idx="25">
                  <c:v>354</c:v>
                </c:pt>
                <c:pt idx="26">
                  <c:v>359.50000000011642</c:v>
                </c:pt>
                <c:pt idx="27">
                  <c:v>378.50000000005821</c:v>
                </c:pt>
              </c:numCache>
            </c:numRef>
          </c:xVal>
          <c:yVal>
            <c:numRef>
              <c:f>[1]Hoja1!$H$124:$H$151</c:f>
              <c:numCache>
                <c:formatCode>General</c:formatCode>
                <c:ptCount val="28"/>
                <c:pt idx="0">
                  <c:v>0.94</c:v>
                </c:pt>
                <c:pt idx="1">
                  <c:v>0.83154912054657071</c:v>
                </c:pt>
                <c:pt idx="2">
                  <c:v>0.8935054681934218</c:v>
                </c:pt>
                <c:pt idx="3">
                  <c:v>1.1106802732259808</c:v>
                </c:pt>
                <c:pt idx="4">
                  <c:v>1.095150861016484</c:v>
                </c:pt>
                <c:pt idx="5">
                  <c:v>1.1728240058328185</c:v>
                </c:pt>
                <c:pt idx="6">
                  <c:v>1.3439347810347411</c:v>
                </c:pt>
                <c:pt idx="7">
                  <c:v>1.7965662867558851</c:v>
                </c:pt>
                <c:pt idx="8">
                  <c:v>2.0472431356431313</c:v>
                </c:pt>
                <c:pt idx="9">
                  <c:v>2.787542603632251</c:v>
                </c:pt>
                <c:pt idx="10">
                  <c:v>4.4146569465752652</c:v>
                </c:pt>
                <c:pt idx="11">
                  <c:v>4.9957472344348997</c:v>
                </c:pt>
                <c:pt idx="12">
                  <c:v>6.3328719851250597</c:v>
                </c:pt>
                <c:pt idx="13">
                  <c:v>7.3067603947772515</c:v>
                </c:pt>
                <c:pt idx="14">
                  <c:v>7.6391660335595652</c:v>
                </c:pt>
                <c:pt idx="15">
                  <c:v>8.3745532051894465</c:v>
                </c:pt>
                <c:pt idx="16">
                  <c:v>8.7443732643852421</c:v>
                </c:pt>
                <c:pt idx="17">
                  <c:v>9.0987152823190467</c:v>
                </c:pt>
                <c:pt idx="18">
                  <c:v>9.3695676032935555</c:v>
                </c:pt>
                <c:pt idx="19">
                  <c:v>9.9306108952737198</c:v>
                </c:pt>
                <c:pt idx="20">
                  <c:v>10.135435574189023</c:v>
                </c:pt>
                <c:pt idx="21">
                  <c:v>10.821321799776552</c:v>
                </c:pt>
                <c:pt idx="22">
                  <c:v>11.25246684328288</c:v>
                </c:pt>
                <c:pt idx="23">
                  <c:v>11.25246684328288</c:v>
                </c:pt>
                <c:pt idx="24">
                  <c:v>11.633454598295128</c:v>
                </c:pt>
                <c:pt idx="25">
                  <c:v>11.529401667378762</c:v>
                </c:pt>
                <c:pt idx="26">
                  <c:v>11.754989517631286</c:v>
                </c:pt>
                <c:pt idx="27">
                  <c:v>11.894071268737452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335-46A3-811E-C6A512D1A0E5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[1]Hoja1!$C$124:$C$151</c:f>
              <c:numCache>
                <c:formatCode>General</c:formatCode>
                <c:ptCount val="28"/>
                <c:pt idx="0">
                  <c:v>0</c:v>
                </c:pt>
                <c:pt idx="1">
                  <c:v>4.0000000001164153</c:v>
                </c:pt>
                <c:pt idx="2">
                  <c:v>17.000000000058208</c:v>
                </c:pt>
                <c:pt idx="3">
                  <c:v>23.000000000058208</c:v>
                </c:pt>
                <c:pt idx="4">
                  <c:v>41.500000000116415</c:v>
                </c:pt>
                <c:pt idx="5">
                  <c:v>43.5</c:v>
                </c:pt>
                <c:pt idx="6">
                  <c:v>48</c:v>
                </c:pt>
                <c:pt idx="7">
                  <c:v>65.500000000116415</c:v>
                </c:pt>
                <c:pt idx="8">
                  <c:v>71.000000000058208</c:v>
                </c:pt>
                <c:pt idx="9">
                  <c:v>89.000000000058208</c:v>
                </c:pt>
                <c:pt idx="10">
                  <c:v>113.75000000005821</c:v>
                </c:pt>
                <c:pt idx="11">
                  <c:v>120.50000000005821</c:v>
                </c:pt>
                <c:pt idx="12">
                  <c:v>141.50000000005821</c:v>
                </c:pt>
                <c:pt idx="13">
                  <c:v>161.00000000005821</c:v>
                </c:pt>
                <c:pt idx="14">
                  <c:v>167.00000000005821</c:v>
                </c:pt>
                <c:pt idx="15">
                  <c:v>186.50000000005821</c:v>
                </c:pt>
                <c:pt idx="16">
                  <c:v>191.00000000005821</c:v>
                </c:pt>
                <c:pt idx="17">
                  <c:v>209.00000000005821</c:v>
                </c:pt>
                <c:pt idx="18">
                  <c:v>215.00000000005821</c:v>
                </c:pt>
                <c:pt idx="19">
                  <c:v>241.5</c:v>
                </c:pt>
                <c:pt idx="20">
                  <c:v>258.50000000005821</c:v>
                </c:pt>
                <c:pt idx="21">
                  <c:v>284.00000000005821</c:v>
                </c:pt>
                <c:pt idx="22">
                  <c:v>308.00000000005821</c:v>
                </c:pt>
                <c:pt idx="23">
                  <c:v>329.75000000005821</c:v>
                </c:pt>
                <c:pt idx="24">
                  <c:v>335.00000000005821</c:v>
                </c:pt>
                <c:pt idx="25">
                  <c:v>354</c:v>
                </c:pt>
                <c:pt idx="26">
                  <c:v>359.50000000011642</c:v>
                </c:pt>
                <c:pt idx="27">
                  <c:v>378.50000000005821</c:v>
                </c:pt>
              </c:numCache>
            </c:numRef>
          </c:xVal>
          <c:yVal>
            <c:numRef>
              <c:f>[1]Hoja1!$G$124:$G$151</c:f>
              <c:numCache>
                <c:formatCode>General</c:formatCode>
                <c:ptCount val="28"/>
                <c:pt idx="0">
                  <c:v>0.94</c:v>
                </c:pt>
                <c:pt idx="1">
                  <c:v>1.9</c:v>
                </c:pt>
                <c:pt idx="2">
                  <c:v>2.1</c:v>
                </c:pt>
                <c:pt idx="3">
                  <c:v>1.95</c:v>
                </c:pt>
                <c:pt idx="4">
                  <c:v>1.75</c:v>
                </c:pt>
                <c:pt idx="5">
                  <c:v>1.35</c:v>
                </c:pt>
                <c:pt idx="6">
                  <c:v>5.15</c:v>
                </c:pt>
                <c:pt idx="7">
                  <c:v>1.4</c:v>
                </c:pt>
                <c:pt idx="8">
                  <c:v>2.7</c:v>
                </c:pt>
                <c:pt idx="9">
                  <c:v>1.9</c:v>
                </c:pt>
                <c:pt idx="10">
                  <c:v>2.8</c:v>
                </c:pt>
                <c:pt idx="11">
                  <c:v>3.45</c:v>
                </c:pt>
                <c:pt idx="12">
                  <c:v>2.4</c:v>
                </c:pt>
                <c:pt idx="13">
                  <c:v>5.95</c:v>
                </c:pt>
                <c:pt idx="14">
                  <c:v>7.4</c:v>
                </c:pt>
                <c:pt idx="15">
                  <c:v>6.8</c:v>
                </c:pt>
                <c:pt idx="16">
                  <c:v>6</c:v>
                </c:pt>
                <c:pt idx="17">
                  <c:v>7.3</c:v>
                </c:pt>
                <c:pt idx="18">
                  <c:v>6.65</c:v>
                </c:pt>
                <c:pt idx="19">
                  <c:v>1</c:v>
                </c:pt>
                <c:pt idx="20">
                  <c:v>8.35</c:v>
                </c:pt>
                <c:pt idx="21">
                  <c:v>6.95</c:v>
                </c:pt>
                <c:pt idx="22">
                  <c:v>10.1</c:v>
                </c:pt>
                <c:pt idx="23">
                  <c:v>10.25</c:v>
                </c:pt>
                <c:pt idx="24">
                  <c:v>10.5</c:v>
                </c:pt>
                <c:pt idx="25">
                  <c:v>11.25</c:v>
                </c:pt>
                <c:pt idx="26">
                  <c:v>11.3</c:v>
                </c:pt>
                <c:pt idx="27">
                  <c:v>10.3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335-46A3-811E-C6A512D1A0E5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[1]Hoja1!$C$124:$C$151</c:f>
              <c:numCache>
                <c:formatCode>General</c:formatCode>
                <c:ptCount val="28"/>
                <c:pt idx="0">
                  <c:v>0</c:v>
                </c:pt>
                <c:pt idx="1">
                  <c:v>4.0000000001164153</c:v>
                </c:pt>
                <c:pt idx="2">
                  <c:v>17.000000000058208</c:v>
                </c:pt>
                <c:pt idx="3">
                  <c:v>23.000000000058208</c:v>
                </c:pt>
                <c:pt idx="4">
                  <c:v>41.500000000116415</c:v>
                </c:pt>
                <c:pt idx="5">
                  <c:v>43.5</c:v>
                </c:pt>
                <c:pt idx="6">
                  <c:v>48</c:v>
                </c:pt>
                <c:pt idx="7">
                  <c:v>65.500000000116415</c:v>
                </c:pt>
                <c:pt idx="8">
                  <c:v>71.000000000058208</c:v>
                </c:pt>
                <c:pt idx="9">
                  <c:v>89.000000000058208</c:v>
                </c:pt>
                <c:pt idx="10">
                  <c:v>113.75000000005821</c:v>
                </c:pt>
                <c:pt idx="11">
                  <c:v>120.50000000005821</c:v>
                </c:pt>
                <c:pt idx="12">
                  <c:v>141.50000000005821</c:v>
                </c:pt>
                <c:pt idx="13">
                  <c:v>161.00000000005821</c:v>
                </c:pt>
                <c:pt idx="14">
                  <c:v>167.00000000005821</c:v>
                </c:pt>
                <c:pt idx="15">
                  <c:v>186.50000000005821</c:v>
                </c:pt>
                <c:pt idx="16">
                  <c:v>191.00000000005821</c:v>
                </c:pt>
                <c:pt idx="17">
                  <c:v>209.00000000005821</c:v>
                </c:pt>
                <c:pt idx="18">
                  <c:v>215.00000000005821</c:v>
                </c:pt>
                <c:pt idx="19">
                  <c:v>241.5</c:v>
                </c:pt>
                <c:pt idx="20">
                  <c:v>258.50000000005821</c:v>
                </c:pt>
                <c:pt idx="21">
                  <c:v>284.00000000005821</c:v>
                </c:pt>
                <c:pt idx="22">
                  <c:v>308.00000000005821</c:v>
                </c:pt>
                <c:pt idx="23">
                  <c:v>329.75000000005821</c:v>
                </c:pt>
                <c:pt idx="24">
                  <c:v>335.00000000005821</c:v>
                </c:pt>
                <c:pt idx="25">
                  <c:v>354</c:v>
                </c:pt>
                <c:pt idx="26">
                  <c:v>359.50000000011642</c:v>
                </c:pt>
                <c:pt idx="27">
                  <c:v>378.50000000005821</c:v>
                </c:pt>
              </c:numCache>
            </c:numRef>
          </c:xVal>
          <c:yVal>
            <c:numRef>
              <c:f>[1]Hoja1!$I$124:$I$151</c:f>
              <c:numCache>
                <c:formatCode>General</c:formatCode>
                <c:ptCount val="2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335-46A3-811E-C6A512D1A0E5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[1]Hoja1!$C$124:$C$151</c:f>
              <c:numCache>
                <c:formatCode>General</c:formatCode>
                <c:ptCount val="28"/>
                <c:pt idx="0">
                  <c:v>0</c:v>
                </c:pt>
                <c:pt idx="1">
                  <c:v>4.0000000001164153</c:v>
                </c:pt>
                <c:pt idx="2">
                  <c:v>17.000000000058208</c:v>
                </c:pt>
                <c:pt idx="3">
                  <c:v>23.000000000058208</c:v>
                </c:pt>
                <c:pt idx="4">
                  <c:v>41.500000000116415</c:v>
                </c:pt>
                <c:pt idx="5">
                  <c:v>43.5</c:v>
                </c:pt>
                <c:pt idx="6">
                  <c:v>48</c:v>
                </c:pt>
                <c:pt idx="7">
                  <c:v>65.500000000116415</c:v>
                </c:pt>
                <c:pt idx="8">
                  <c:v>71.000000000058208</c:v>
                </c:pt>
                <c:pt idx="9">
                  <c:v>89.000000000058208</c:v>
                </c:pt>
                <c:pt idx="10">
                  <c:v>113.75000000005821</c:v>
                </c:pt>
                <c:pt idx="11">
                  <c:v>120.50000000005821</c:v>
                </c:pt>
                <c:pt idx="12">
                  <c:v>141.50000000005821</c:v>
                </c:pt>
                <c:pt idx="13">
                  <c:v>161.00000000005821</c:v>
                </c:pt>
                <c:pt idx="14">
                  <c:v>167.00000000005821</c:v>
                </c:pt>
                <c:pt idx="15">
                  <c:v>186.50000000005821</c:v>
                </c:pt>
                <c:pt idx="16">
                  <c:v>191.00000000005821</c:v>
                </c:pt>
                <c:pt idx="17">
                  <c:v>209.00000000005821</c:v>
                </c:pt>
                <c:pt idx="18">
                  <c:v>215.00000000005821</c:v>
                </c:pt>
                <c:pt idx="19">
                  <c:v>241.5</c:v>
                </c:pt>
                <c:pt idx="20">
                  <c:v>258.50000000005821</c:v>
                </c:pt>
                <c:pt idx="21">
                  <c:v>284.00000000005821</c:v>
                </c:pt>
                <c:pt idx="22">
                  <c:v>308.00000000005821</c:v>
                </c:pt>
                <c:pt idx="23">
                  <c:v>329.75000000005821</c:v>
                </c:pt>
                <c:pt idx="24">
                  <c:v>335.00000000005821</c:v>
                </c:pt>
                <c:pt idx="25">
                  <c:v>354</c:v>
                </c:pt>
                <c:pt idx="26">
                  <c:v>359.50000000011642</c:v>
                </c:pt>
                <c:pt idx="27">
                  <c:v>378.50000000005821</c:v>
                </c:pt>
              </c:numCache>
            </c:numRef>
          </c:xVal>
          <c:yVal>
            <c:numRef>
              <c:f>[1]Hoja1!$J$124:$J$151</c:f>
              <c:numCache>
                <c:formatCode>General</c:formatCode>
                <c:ptCount val="28"/>
                <c:pt idx="6">
                  <c:v>2.04</c:v>
                </c:pt>
                <c:pt idx="12">
                  <c:v>4.5199999999999996</c:v>
                </c:pt>
                <c:pt idx="19">
                  <c:v>9</c:v>
                </c:pt>
                <c:pt idx="21">
                  <c:v>8.9600000000000009</c:v>
                </c:pt>
                <c:pt idx="27">
                  <c:v>12.09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335-46A3-811E-C6A512D1A0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0791304"/>
        <c:axId val="660793352"/>
      </c:scatterChart>
      <c:valAx>
        <c:axId val="660791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793352"/>
        <c:crosses val="autoZero"/>
        <c:crossBetween val="midCat"/>
      </c:valAx>
      <c:valAx>
        <c:axId val="660793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791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[1]Hoja1!$C$152:$C$180</c:f>
              <c:numCache>
                <c:formatCode>General</c:formatCode>
                <c:ptCount val="29"/>
                <c:pt idx="0">
                  <c:v>0</c:v>
                </c:pt>
                <c:pt idx="1">
                  <c:v>4.0000000001164153</c:v>
                </c:pt>
                <c:pt idx="2">
                  <c:v>17.000000000058208</c:v>
                </c:pt>
                <c:pt idx="3">
                  <c:v>23.000000000058208</c:v>
                </c:pt>
                <c:pt idx="4">
                  <c:v>41.500000000116415</c:v>
                </c:pt>
                <c:pt idx="5">
                  <c:v>43.5</c:v>
                </c:pt>
                <c:pt idx="6">
                  <c:v>48</c:v>
                </c:pt>
                <c:pt idx="7">
                  <c:v>65.500000000116415</c:v>
                </c:pt>
                <c:pt idx="8">
                  <c:v>71.000000000058208</c:v>
                </c:pt>
                <c:pt idx="9">
                  <c:v>89.000000000058208</c:v>
                </c:pt>
                <c:pt idx="10">
                  <c:v>113.75000000005821</c:v>
                </c:pt>
                <c:pt idx="11">
                  <c:v>119.66666666680248</c:v>
                </c:pt>
                <c:pt idx="12">
                  <c:v>120.50000000005821</c:v>
                </c:pt>
                <c:pt idx="13">
                  <c:v>141.50000000005821</c:v>
                </c:pt>
                <c:pt idx="14">
                  <c:v>161.00000000005821</c:v>
                </c:pt>
                <c:pt idx="15">
                  <c:v>167.00000000005821</c:v>
                </c:pt>
                <c:pt idx="16">
                  <c:v>186.50000000005821</c:v>
                </c:pt>
                <c:pt idx="17">
                  <c:v>191.00000000005821</c:v>
                </c:pt>
                <c:pt idx="18">
                  <c:v>209.00000000005821</c:v>
                </c:pt>
                <c:pt idx="19">
                  <c:v>215.00000000005821</c:v>
                </c:pt>
                <c:pt idx="20">
                  <c:v>241.5</c:v>
                </c:pt>
                <c:pt idx="21">
                  <c:v>258.50000000005821</c:v>
                </c:pt>
                <c:pt idx="22">
                  <c:v>284.00000000005821</c:v>
                </c:pt>
                <c:pt idx="23">
                  <c:v>308.00000000005821</c:v>
                </c:pt>
                <c:pt idx="24">
                  <c:v>329.75000000005821</c:v>
                </c:pt>
                <c:pt idx="25">
                  <c:v>335.00000000005821</c:v>
                </c:pt>
                <c:pt idx="26">
                  <c:v>354</c:v>
                </c:pt>
                <c:pt idx="27">
                  <c:v>359.50000000011642</c:v>
                </c:pt>
                <c:pt idx="28">
                  <c:v>378.50000000005821</c:v>
                </c:pt>
              </c:numCache>
            </c:numRef>
          </c:xVal>
          <c:yVal>
            <c:numRef>
              <c:f>[1]Hoja1!$D$152:$D$180</c:f>
              <c:numCache>
                <c:formatCode>General</c:formatCode>
                <c:ptCount val="29"/>
                <c:pt idx="0">
                  <c:v>1059</c:v>
                </c:pt>
                <c:pt idx="1">
                  <c:v>1059.3</c:v>
                </c:pt>
                <c:pt idx="2">
                  <c:v>1059.4000000000001</c:v>
                </c:pt>
                <c:pt idx="3">
                  <c:v>1058.5</c:v>
                </c:pt>
                <c:pt idx="4">
                  <c:v>1058.5999999999999</c:v>
                </c:pt>
                <c:pt idx="5">
                  <c:v>1058.4000000000001</c:v>
                </c:pt>
                <c:pt idx="6">
                  <c:v>1055.2</c:v>
                </c:pt>
                <c:pt idx="7">
                  <c:v>1058</c:v>
                </c:pt>
                <c:pt idx="8">
                  <c:v>1056.3</c:v>
                </c:pt>
                <c:pt idx="9">
                  <c:v>1057.2</c:v>
                </c:pt>
                <c:pt idx="10">
                  <c:v>1055.0999999999999</c:v>
                </c:pt>
                <c:pt idx="11">
                  <c:v>1051.8</c:v>
                </c:pt>
                <c:pt idx="12">
                  <c:v>1049.9000000000001</c:v>
                </c:pt>
                <c:pt idx="13">
                  <c:v>1037.5999999999999</c:v>
                </c:pt>
                <c:pt idx="14">
                  <c:v>1024.5</c:v>
                </c:pt>
                <c:pt idx="15">
                  <c:v>1021.2</c:v>
                </c:pt>
                <c:pt idx="16">
                  <c:v>1015.5</c:v>
                </c:pt>
                <c:pt idx="17">
                  <c:v>1013.7</c:v>
                </c:pt>
                <c:pt idx="18">
                  <c:v>1010.4</c:v>
                </c:pt>
                <c:pt idx="19">
                  <c:v>1009.4</c:v>
                </c:pt>
                <c:pt idx="20">
                  <c:v>1006.2</c:v>
                </c:pt>
                <c:pt idx="21">
                  <c:v>1004.6</c:v>
                </c:pt>
                <c:pt idx="22">
                  <c:v>1000.2</c:v>
                </c:pt>
                <c:pt idx="23">
                  <c:v>997.8</c:v>
                </c:pt>
                <c:pt idx="24">
                  <c:v>997.1</c:v>
                </c:pt>
                <c:pt idx="25">
                  <c:v>996.3</c:v>
                </c:pt>
                <c:pt idx="26">
                  <c:v>995.4</c:v>
                </c:pt>
                <c:pt idx="27">
                  <c:v>994.1</c:v>
                </c:pt>
                <c:pt idx="28">
                  <c:v>993.5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2E9-4AF7-BBD0-B4A6F723B064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[1]Hoja1!$C$152:$C$180</c:f>
              <c:numCache>
                <c:formatCode>General</c:formatCode>
                <c:ptCount val="29"/>
                <c:pt idx="0">
                  <c:v>0</c:v>
                </c:pt>
                <c:pt idx="1">
                  <c:v>4.0000000001164153</c:v>
                </c:pt>
                <c:pt idx="2">
                  <c:v>17.000000000058208</c:v>
                </c:pt>
                <c:pt idx="3">
                  <c:v>23.000000000058208</c:v>
                </c:pt>
                <c:pt idx="4">
                  <c:v>41.500000000116415</c:v>
                </c:pt>
                <c:pt idx="5">
                  <c:v>43.5</c:v>
                </c:pt>
                <c:pt idx="6">
                  <c:v>48</c:v>
                </c:pt>
                <c:pt idx="7">
                  <c:v>65.500000000116415</c:v>
                </c:pt>
                <c:pt idx="8">
                  <c:v>71.000000000058208</c:v>
                </c:pt>
                <c:pt idx="9">
                  <c:v>89.000000000058208</c:v>
                </c:pt>
                <c:pt idx="10">
                  <c:v>113.75000000005821</c:v>
                </c:pt>
                <c:pt idx="11">
                  <c:v>119.66666666680248</c:v>
                </c:pt>
                <c:pt idx="12">
                  <c:v>120.50000000005821</c:v>
                </c:pt>
                <c:pt idx="13">
                  <c:v>141.50000000005821</c:v>
                </c:pt>
                <c:pt idx="14">
                  <c:v>161.00000000005821</c:v>
                </c:pt>
                <c:pt idx="15">
                  <c:v>167.00000000005821</c:v>
                </c:pt>
                <c:pt idx="16">
                  <c:v>186.50000000005821</c:v>
                </c:pt>
                <c:pt idx="17">
                  <c:v>191.00000000005821</c:v>
                </c:pt>
                <c:pt idx="18">
                  <c:v>209.00000000005821</c:v>
                </c:pt>
                <c:pt idx="19">
                  <c:v>215.00000000005821</c:v>
                </c:pt>
                <c:pt idx="20">
                  <c:v>241.5</c:v>
                </c:pt>
                <c:pt idx="21">
                  <c:v>258.50000000005821</c:v>
                </c:pt>
                <c:pt idx="22">
                  <c:v>284.00000000005821</c:v>
                </c:pt>
                <c:pt idx="23">
                  <c:v>308.00000000005821</c:v>
                </c:pt>
                <c:pt idx="24">
                  <c:v>329.75000000005821</c:v>
                </c:pt>
                <c:pt idx="25">
                  <c:v>335.00000000005821</c:v>
                </c:pt>
                <c:pt idx="26">
                  <c:v>354</c:v>
                </c:pt>
                <c:pt idx="27">
                  <c:v>359.50000000011642</c:v>
                </c:pt>
                <c:pt idx="28">
                  <c:v>378.50000000005821</c:v>
                </c:pt>
              </c:numCache>
            </c:numRef>
          </c:xVal>
          <c:yVal>
            <c:numRef>
              <c:f>[1]Hoja1!$E$152:$E$180</c:f>
              <c:numCache>
                <c:formatCode>General</c:formatCode>
                <c:ptCount val="29"/>
                <c:pt idx="0">
                  <c:v>1.0589999999999999</c:v>
                </c:pt>
                <c:pt idx="1">
                  <c:v>1.0592999999999999</c:v>
                </c:pt>
                <c:pt idx="2">
                  <c:v>1.0594000000000001</c:v>
                </c:pt>
                <c:pt idx="3">
                  <c:v>1.0585</c:v>
                </c:pt>
                <c:pt idx="4">
                  <c:v>1.0586</c:v>
                </c:pt>
                <c:pt idx="5">
                  <c:v>1.0584</c:v>
                </c:pt>
                <c:pt idx="6">
                  <c:v>1.0552000000000001</c:v>
                </c:pt>
                <c:pt idx="7">
                  <c:v>1.0580000000000001</c:v>
                </c:pt>
                <c:pt idx="8">
                  <c:v>1.0563</c:v>
                </c:pt>
                <c:pt idx="9">
                  <c:v>1.0572000000000001</c:v>
                </c:pt>
                <c:pt idx="10">
                  <c:v>1.0550999999999999</c:v>
                </c:pt>
                <c:pt idx="11">
                  <c:v>1.0517999999999998</c:v>
                </c:pt>
                <c:pt idx="12">
                  <c:v>1.0499000000000001</c:v>
                </c:pt>
                <c:pt idx="13">
                  <c:v>1.0375999999999999</c:v>
                </c:pt>
                <c:pt idx="14">
                  <c:v>1.0245</c:v>
                </c:pt>
                <c:pt idx="15">
                  <c:v>1.0212000000000001</c:v>
                </c:pt>
                <c:pt idx="16">
                  <c:v>1.0155000000000001</c:v>
                </c:pt>
                <c:pt idx="17">
                  <c:v>1.0137</c:v>
                </c:pt>
                <c:pt idx="18">
                  <c:v>1.0104</c:v>
                </c:pt>
                <c:pt idx="19">
                  <c:v>1.0094000000000001</c:v>
                </c:pt>
                <c:pt idx="20">
                  <c:v>1.0062</c:v>
                </c:pt>
                <c:pt idx="21">
                  <c:v>1.0045999999999999</c:v>
                </c:pt>
                <c:pt idx="22">
                  <c:v>1.0002</c:v>
                </c:pt>
                <c:pt idx="23">
                  <c:v>0.99779999999999991</c:v>
                </c:pt>
                <c:pt idx="24">
                  <c:v>0.99709999999999999</c:v>
                </c:pt>
                <c:pt idx="25">
                  <c:v>0.99629999999999996</c:v>
                </c:pt>
                <c:pt idx="26">
                  <c:v>0.99539999999999995</c:v>
                </c:pt>
                <c:pt idx="27">
                  <c:v>0.99409999999999998</c:v>
                </c:pt>
                <c:pt idx="28">
                  <c:v>0.99350000000000005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2E9-4AF7-BBD0-B4A6F723B064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[1]Hoja1!$C$152:$C$180</c:f>
              <c:numCache>
                <c:formatCode>General</c:formatCode>
                <c:ptCount val="29"/>
                <c:pt idx="0">
                  <c:v>0</c:v>
                </c:pt>
                <c:pt idx="1">
                  <c:v>4.0000000001164153</c:v>
                </c:pt>
                <c:pt idx="2">
                  <c:v>17.000000000058208</c:v>
                </c:pt>
                <c:pt idx="3">
                  <c:v>23.000000000058208</c:v>
                </c:pt>
                <c:pt idx="4">
                  <c:v>41.500000000116415</c:v>
                </c:pt>
                <c:pt idx="5">
                  <c:v>43.5</c:v>
                </c:pt>
                <c:pt idx="6">
                  <c:v>48</c:v>
                </c:pt>
                <c:pt idx="7">
                  <c:v>65.500000000116415</c:v>
                </c:pt>
                <c:pt idx="8">
                  <c:v>71.000000000058208</c:v>
                </c:pt>
                <c:pt idx="9">
                  <c:v>89.000000000058208</c:v>
                </c:pt>
                <c:pt idx="10">
                  <c:v>113.75000000005821</c:v>
                </c:pt>
                <c:pt idx="11">
                  <c:v>119.66666666680248</c:v>
                </c:pt>
                <c:pt idx="12">
                  <c:v>120.50000000005821</c:v>
                </c:pt>
                <c:pt idx="13">
                  <c:v>141.50000000005821</c:v>
                </c:pt>
                <c:pt idx="14">
                  <c:v>161.00000000005821</c:v>
                </c:pt>
                <c:pt idx="15">
                  <c:v>167.00000000005821</c:v>
                </c:pt>
                <c:pt idx="16">
                  <c:v>186.50000000005821</c:v>
                </c:pt>
                <c:pt idx="17">
                  <c:v>191.00000000005821</c:v>
                </c:pt>
                <c:pt idx="18">
                  <c:v>209.00000000005821</c:v>
                </c:pt>
                <c:pt idx="19">
                  <c:v>215.00000000005821</c:v>
                </c:pt>
                <c:pt idx="20">
                  <c:v>241.5</c:v>
                </c:pt>
                <c:pt idx="21">
                  <c:v>258.50000000005821</c:v>
                </c:pt>
                <c:pt idx="22">
                  <c:v>284.00000000005821</c:v>
                </c:pt>
                <c:pt idx="23">
                  <c:v>308.00000000005821</c:v>
                </c:pt>
                <c:pt idx="24">
                  <c:v>329.75000000005821</c:v>
                </c:pt>
                <c:pt idx="25">
                  <c:v>335.00000000005821</c:v>
                </c:pt>
                <c:pt idx="26">
                  <c:v>354</c:v>
                </c:pt>
                <c:pt idx="27">
                  <c:v>359.50000000011642</c:v>
                </c:pt>
                <c:pt idx="28">
                  <c:v>378.50000000005821</c:v>
                </c:pt>
              </c:numCache>
            </c:numRef>
          </c:xVal>
          <c:yVal>
            <c:numRef>
              <c:f>[1]Hoja1!$F$152:$F$180</c:f>
              <c:numCache>
                <c:formatCode>General</c:formatCode>
                <c:ptCount val="29"/>
                <c:pt idx="0">
                  <c:v>14.506889407077892</c:v>
                </c:pt>
                <c:pt idx="1">
                  <c:v>14.57700016695901</c:v>
                </c:pt>
                <c:pt idx="2">
                  <c:v>14.600362585107064</c:v>
                </c:pt>
                <c:pt idx="3">
                  <c:v>14.389959723467541</c:v>
                </c:pt>
                <c:pt idx="4">
                  <c:v>14.41335350701263</c:v>
                </c:pt>
                <c:pt idx="5">
                  <c:v>14.366562014321516</c:v>
                </c:pt>
                <c:pt idx="6">
                  <c:v>13.615756053243445</c:v>
                </c:pt>
                <c:pt idx="7">
                  <c:v>14.272931899831065</c:v>
                </c:pt>
                <c:pt idx="8">
                  <c:v>13.874301369588807</c:v>
                </c:pt>
                <c:pt idx="9">
                  <c:v>14.085482909193047</c:v>
                </c:pt>
                <c:pt idx="10">
                  <c:v>13.592228185101817</c:v>
                </c:pt>
                <c:pt idx="11">
                  <c:v>12.813578841733602</c:v>
                </c:pt>
                <c:pt idx="12">
                  <c:v>12.363292625914596</c:v>
                </c:pt>
                <c:pt idx="13">
                  <c:v>9.4128459473727162</c:v>
                </c:pt>
                <c:pt idx="14">
                  <c:v>6.2013348755880315</c:v>
                </c:pt>
                <c:pt idx="15">
                  <c:v>5.3807951421956659</c:v>
                </c:pt>
                <c:pt idx="16">
                  <c:v>3.9523602011547609</c:v>
                </c:pt>
                <c:pt idx="17">
                  <c:v>3.4983175544836058</c:v>
                </c:pt>
                <c:pt idx="18">
                  <c:v>2.6621853201097565</c:v>
                </c:pt>
                <c:pt idx="19">
                  <c:v>2.4078565013917341</c:v>
                </c:pt>
                <c:pt idx="20">
                  <c:v>1.5909996641587441</c:v>
                </c:pt>
                <c:pt idx="21">
                  <c:v>1.1808461938481969</c:v>
                </c:pt>
                <c:pt idx="22">
                  <c:v>4.694996938769691E-2</c:v>
                </c:pt>
                <c:pt idx="23">
                  <c:v>-0.57525702354712394</c:v>
                </c:pt>
                <c:pt idx="24">
                  <c:v>-0.75723141815740291</c:v>
                </c:pt>
                <c:pt idx="25">
                  <c:v>-0.96547804379338231</c:v>
                </c:pt>
                <c:pt idx="26">
                  <c:v>-1.2001079260244296</c:v>
                </c:pt>
                <c:pt idx="27">
                  <c:v>-1.5396781091309322</c:v>
                </c:pt>
                <c:pt idx="28">
                  <c:v>-1.6966666091550451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2E9-4AF7-BBD0-B4A6F723B064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[1]Hoja1!$C$152:$C$180</c:f>
              <c:numCache>
                <c:formatCode>General</c:formatCode>
                <c:ptCount val="29"/>
                <c:pt idx="0">
                  <c:v>0</c:v>
                </c:pt>
                <c:pt idx="1">
                  <c:v>4.0000000001164153</c:v>
                </c:pt>
                <c:pt idx="2">
                  <c:v>17.000000000058208</c:v>
                </c:pt>
                <c:pt idx="3">
                  <c:v>23.000000000058208</c:v>
                </c:pt>
                <c:pt idx="4">
                  <c:v>41.500000000116415</c:v>
                </c:pt>
                <c:pt idx="5">
                  <c:v>43.5</c:v>
                </c:pt>
                <c:pt idx="6">
                  <c:v>48</c:v>
                </c:pt>
                <c:pt idx="7">
                  <c:v>65.500000000116415</c:v>
                </c:pt>
                <c:pt idx="8">
                  <c:v>71.000000000058208</c:v>
                </c:pt>
                <c:pt idx="9">
                  <c:v>89.000000000058208</c:v>
                </c:pt>
                <c:pt idx="10">
                  <c:v>113.75000000005821</c:v>
                </c:pt>
                <c:pt idx="11">
                  <c:v>119.66666666680248</c:v>
                </c:pt>
                <c:pt idx="12">
                  <c:v>120.50000000005821</c:v>
                </c:pt>
                <c:pt idx="13">
                  <c:v>141.50000000005821</c:v>
                </c:pt>
                <c:pt idx="14">
                  <c:v>161.00000000005821</c:v>
                </c:pt>
                <c:pt idx="15">
                  <c:v>167.00000000005821</c:v>
                </c:pt>
                <c:pt idx="16">
                  <c:v>186.50000000005821</c:v>
                </c:pt>
                <c:pt idx="17">
                  <c:v>191.00000000005821</c:v>
                </c:pt>
                <c:pt idx="18">
                  <c:v>209.00000000005821</c:v>
                </c:pt>
                <c:pt idx="19">
                  <c:v>215.00000000005821</c:v>
                </c:pt>
                <c:pt idx="20">
                  <c:v>241.5</c:v>
                </c:pt>
                <c:pt idx="21">
                  <c:v>258.50000000005821</c:v>
                </c:pt>
                <c:pt idx="22">
                  <c:v>284.00000000005821</c:v>
                </c:pt>
                <c:pt idx="23">
                  <c:v>308.00000000005821</c:v>
                </c:pt>
                <c:pt idx="24">
                  <c:v>329.75000000005821</c:v>
                </c:pt>
                <c:pt idx="25">
                  <c:v>335.00000000005821</c:v>
                </c:pt>
                <c:pt idx="26">
                  <c:v>354</c:v>
                </c:pt>
                <c:pt idx="27">
                  <c:v>359.50000000011642</c:v>
                </c:pt>
                <c:pt idx="28">
                  <c:v>378.50000000005821</c:v>
                </c:pt>
              </c:numCache>
            </c:numRef>
          </c:xVal>
          <c:yVal>
            <c:numRef>
              <c:f>[1]Hoja1!$H$152:$H$180</c:f>
              <c:numCache>
                <c:formatCode>General</c:formatCode>
                <c:ptCount val="29"/>
                <c:pt idx="0">
                  <c:v>0.94</c:v>
                </c:pt>
                <c:pt idx="1">
                  <c:v>0.8935054681934218</c:v>
                </c:pt>
                <c:pt idx="2">
                  <c:v>0.87801248686637445</c:v>
                </c:pt>
                <c:pt idx="3">
                  <c:v>1.0175428893221679</c:v>
                </c:pt>
                <c:pt idx="4">
                  <c:v>1.0020291077719801</c:v>
                </c:pt>
                <c:pt idx="5">
                  <c:v>1.0330592741671694</c:v>
                </c:pt>
                <c:pt idx="6">
                  <c:v>1.5309624732924503</c:v>
                </c:pt>
                <c:pt idx="7">
                  <c:v>1.095150861016484</c:v>
                </c:pt>
                <c:pt idx="8">
                  <c:v>1.359506002778589</c:v>
                </c:pt>
                <c:pt idx="9">
                  <c:v>1.2194592135733291</c:v>
                </c:pt>
                <c:pt idx="10">
                  <c:v>1.5465651741547255</c:v>
                </c:pt>
                <c:pt idx="11">
                  <c:v>2.0629329431361438</c:v>
                </c:pt>
                <c:pt idx="12">
                  <c:v>2.3615439811417231</c:v>
                </c:pt>
                <c:pt idx="13">
                  <c:v>4.318157162509106</c:v>
                </c:pt>
                <c:pt idx="14">
                  <c:v>6.4478973611242587</c:v>
                </c:pt>
                <c:pt idx="15">
                  <c:v>6.9920450896250212</c:v>
                </c:pt>
                <c:pt idx="16">
                  <c:v>7.9393235660310477</c:v>
                </c:pt>
                <c:pt idx="17">
                  <c:v>8.2404257123063225</c:v>
                </c:pt>
                <c:pt idx="18">
                  <c:v>8.7949137371333101</c:v>
                </c:pt>
                <c:pt idx="19">
                  <c:v>8.9635740022804171</c:v>
                </c:pt>
                <c:pt idx="20">
                  <c:v>9.5052793876527808</c:v>
                </c:pt>
                <c:pt idx="21">
                  <c:v>9.7772760626748134</c:v>
                </c:pt>
                <c:pt idx="22">
                  <c:v>10.529228746726899</c:v>
                </c:pt>
                <c:pt idx="23">
                  <c:v>10.94185047372482</c:v>
                </c:pt>
                <c:pt idx="24">
                  <c:v>11.062528302527943</c:v>
                </c:pt>
                <c:pt idx="25">
                  <c:v>11.200628779197464</c:v>
                </c:pt>
                <c:pt idx="26">
                  <c:v>11.356225531260382</c:v>
                </c:pt>
                <c:pt idx="27">
                  <c:v>11.581414314063219</c:v>
                </c:pt>
                <c:pt idx="28">
                  <c:v>11.685522539676731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2E9-4AF7-BBD0-B4A6F723B064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[1]Hoja1!$C$152:$C$180</c:f>
              <c:numCache>
                <c:formatCode>General</c:formatCode>
                <c:ptCount val="29"/>
                <c:pt idx="0">
                  <c:v>0</c:v>
                </c:pt>
                <c:pt idx="1">
                  <c:v>4.0000000001164153</c:v>
                </c:pt>
                <c:pt idx="2">
                  <c:v>17.000000000058208</c:v>
                </c:pt>
                <c:pt idx="3">
                  <c:v>23.000000000058208</c:v>
                </c:pt>
                <c:pt idx="4">
                  <c:v>41.500000000116415</c:v>
                </c:pt>
                <c:pt idx="5">
                  <c:v>43.5</c:v>
                </c:pt>
                <c:pt idx="6">
                  <c:v>48</c:v>
                </c:pt>
                <c:pt idx="7">
                  <c:v>65.500000000116415</c:v>
                </c:pt>
                <c:pt idx="8">
                  <c:v>71.000000000058208</c:v>
                </c:pt>
                <c:pt idx="9">
                  <c:v>89.000000000058208</c:v>
                </c:pt>
                <c:pt idx="10">
                  <c:v>113.75000000005821</c:v>
                </c:pt>
                <c:pt idx="11">
                  <c:v>119.66666666680248</c:v>
                </c:pt>
                <c:pt idx="12">
                  <c:v>120.50000000005821</c:v>
                </c:pt>
                <c:pt idx="13">
                  <c:v>141.50000000005821</c:v>
                </c:pt>
                <c:pt idx="14">
                  <c:v>161.00000000005821</c:v>
                </c:pt>
                <c:pt idx="15">
                  <c:v>167.00000000005821</c:v>
                </c:pt>
                <c:pt idx="16">
                  <c:v>186.50000000005821</c:v>
                </c:pt>
                <c:pt idx="17">
                  <c:v>191.00000000005821</c:v>
                </c:pt>
                <c:pt idx="18">
                  <c:v>209.00000000005821</c:v>
                </c:pt>
                <c:pt idx="19">
                  <c:v>215.00000000005821</c:v>
                </c:pt>
                <c:pt idx="20">
                  <c:v>241.5</c:v>
                </c:pt>
                <c:pt idx="21">
                  <c:v>258.50000000005821</c:v>
                </c:pt>
                <c:pt idx="22">
                  <c:v>284.00000000005821</c:v>
                </c:pt>
                <c:pt idx="23">
                  <c:v>308.00000000005821</c:v>
                </c:pt>
                <c:pt idx="24">
                  <c:v>329.75000000005821</c:v>
                </c:pt>
                <c:pt idx="25">
                  <c:v>335.00000000005821</c:v>
                </c:pt>
                <c:pt idx="26">
                  <c:v>354</c:v>
                </c:pt>
                <c:pt idx="27">
                  <c:v>359.50000000011642</c:v>
                </c:pt>
                <c:pt idx="28">
                  <c:v>378.50000000005821</c:v>
                </c:pt>
              </c:numCache>
            </c:numRef>
          </c:xVal>
          <c:yVal>
            <c:numRef>
              <c:f>[1]Hoja1!$G$152:$G$180</c:f>
              <c:numCache>
                <c:formatCode>General</c:formatCode>
                <c:ptCount val="29"/>
                <c:pt idx="0">
                  <c:v>0.94</c:v>
                </c:pt>
                <c:pt idx="1">
                  <c:v>2.0499999999999998</c:v>
                </c:pt>
                <c:pt idx="2">
                  <c:v>2.1</c:v>
                </c:pt>
                <c:pt idx="3">
                  <c:v>1.9</c:v>
                </c:pt>
                <c:pt idx="4">
                  <c:v>1.4</c:v>
                </c:pt>
                <c:pt idx="5">
                  <c:v>1.55</c:v>
                </c:pt>
                <c:pt idx="6">
                  <c:v>1.65</c:v>
                </c:pt>
                <c:pt idx="7">
                  <c:v>1.35</c:v>
                </c:pt>
                <c:pt idx="8">
                  <c:v>1.5</c:v>
                </c:pt>
                <c:pt idx="9">
                  <c:v>2</c:v>
                </c:pt>
                <c:pt idx="10">
                  <c:v>1.35</c:v>
                </c:pt>
                <c:pt idx="11">
                  <c:v>0</c:v>
                </c:pt>
                <c:pt idx="12">
                  <c:v>2.7</c:v>
                </c:pt>
                <c:pt idx="13">
                  <c:v>4.7</c:v>
                </c:pt>
                <c:pt idx="14">
                  <c:v>5.2</c:v>
                </c:pt>
                <c:pt idx="15">
                  <c:v>6.7</c:v>
                </c:pt>
                <c:pt idx="16">
                  <c:v>5.9</c:v>
                </c:pt>
                <c:pt idx="17">
                  <c:v>5.5</c:v>
                </c:pt>
                <c:pt idx="18">
                  <c:v>6.25</c:v>
                </c:pt>
                <c:pt idx="19">
                  <c:v>5.35</c:v>
                </c:pt>
                <c:pt idx="20">
                  <c:v>7.3</c:v>
                </c:pt>
                <c:pt idx="21">
                  <c:v>8.1999999999999993</c:v>
                </c:pt>
                <c:pt idx="22">
                  <c:v>6.2</c:v>
                </c:pt>
                <c:pt idx="23">
                  <c:v>8.6</c:v>
                </c:pt>
                <c:pt idx="24">
                  <c:v>9</c:v>
                </c:pt>
                <c:pt idx="25">
                  <c:v>9.8000000000000007</c:v>
                </c:pt>
                <c:pt idx="26">
                  <c:v>11.15</c:v>
                </c:pt>
                <c:pt idx="27">
                  <c:v>11.2</c:v>
                </c:pt>
                <c:pt idx="28">
                  <c:v>9.1999999999999993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2E9-4AF7-BBD0-B4A6F723B064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[1]Hoja1!$C$152:$C$180</c:f>
              <c:numCache>
                <c:formatCode>General</c:formatCode>
                <c:ptCount val="29"/>
                <c:pt idx="0">
                  <c:v>0</c:v>
                </c:pt>
                <c:pt idx="1">
                  <c:v>4.0000000001164153</c:v>
                </c:pt>
                <c:pt idx="2">
                  <c:v>17.000000000058208</c:v>
                </c:pt>
                <c:pt idx="3">
                  <c:v>23.000000000058208</c:v>
                </c:pt>
                <c:pt idx="4">
                  <c:v>41.500000000116415</c:v>
                </c:pt>
                <c:pt idx="5">
                  <c:v>43.5</c:v>
                </c:pt>
                <c:pt idx="6">
                  <c:v>48</c:v>
                </c:pt>
                <c:pt idx="7">
                  <c:v>65.500000000116415</c:v>
                </c:pt>
                <c:pt idx="8">
                  <c:v>71.000000000058208</c:v>
                </c:pt>
                <c:pt idx="9">
                  <c:v>89.000000000058208</c:v>
                </c:pt>
                <c:pt idx="10">
                  <c:v>113.75000000005821</c:v>
                </c:pt>
                <c:pt idx="11">
                  <c:v>119.66666666680248</c:v>
                </c:pt>
                <c:pt idx="12">
                  <c:v>120.50000000005821</c:v>
                </c:pt>
                <c:pt idx="13">
                  <c:v>141.50000000005821</c:v>
                </c:pt>
                <c:pt idx="14">
                  <c:v>161.00000000005821</c:v>
                </c:pt>
                <c:pt idx="15">
                  <c:v>167.00000000005821</c:v>
                </c:pt>
                <c:pt idx="16">
                  <c:v>186.50000000005821</c:v>
                </c:pt>
                <c:pt idx="17">
                  <c:v>191.00000000005821</c:v>
                </c:pt>
                <c:pt idx="18">
                  <c:v>209.00000000005821</c:v>
                </c:pt>
                <c:pt idx="19">
                  <c:v>215.00000000005821</c:v>
                </c:pt>
                <c:pt idx="20">
                  <c:v>241.5</c:v>
                </c:pt>
                <c:pt idx="21">
                  <c:v>258.50000000005821</c:v>
                </c:pt>
                <c:pt idx="22">
                  <c:v>284.00000000005821</c:v>
                </c:pt>
                <c:pt idx="23">
                  <c:v>308.00000000005821</c:v>
                </c:pt>
                <c:pt idx="24">
                  <c:v>329.75000000005821</c:v>
                </c:pt>
                <c:pt idx="25">
                  <c:v>335.00000000005821</c:v>
                </c:pt>
                <c:pt idx="26">
                  <c:v>354</c:v>
                </c:pt>
                <c:pt idx="27">
                  <c:v>359.50000000011642</c:v>
                </c:pt>
                <c:pt idx="28">
                  <c:v>378.50000000005821</c:v>
                </c:pt>
              </c:numCache>
            </c:numRef>
          </c:xVal>
          <c:yVal>
            <c:numRef>
              <c:f>[1]Hoja1!$I$152:$I$180</c:f>
              <c:numCache>
                <c:formatCode>General</c:formatCode>
                <c:ptCount val="29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2E9-4AF7-BBD0-B4A6F723B064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[1]Hoja1!$C$152:$C$180</c:f>
              <c:numCache>
                <c:formatCode>General</c:formatCode>
                <c:ptCount val="29"/>
                <c:pt idx="0">
                  <c:v>0</c:v>
                </c:pt>
                <c:pt idx="1">
                  <c:v>4.0000000001164153</c:v>
                </c:pt>
                <c:pt idx="2">
                  <c:v>17.000000000058208</c:v>
                </c:pt>
                <c:pt idx="3">
                  <c:v>23.000000000058208</c:v>
                </c:pt>
                <c:pt idx="4">
                  <c:v>41.500000000116415</c:v>
                </c:pt>
                <c:pt idx="5">
                  <c:v>43.5</c:v>
                </c:pt>
                <c:pt idx="6">
                  <c:v>48</c:v>
                </c:pt>
                <c:pt idx="7">
                  <c:v>65.500000000116415</c:v>
                </c:pt>
                <c:pt idx="8">
                  <c:v>71.000000000058208</c:v>
                </c:pt>
                <c:pt idx="9">
                  <c:v>89.000000000058208</c:v>
                </c:pt>
                <c:pt idx="10">
                  <c:v>113.75000000005821</c:v>
                </c:pt>
                <c:pt idx="11">
                  <c:v>119.66666666680248</c:v>
                </c:pt>
                <c:pt idx="12">
                  <c:v>120.50000000005821</c:v>
                </c:pt>
                <c:pt idx="13">
                  <c:v>141.50000000005821</c:v>
                </c:pt>
                <c:pt idx="14">
                  <c:v>161.00000000005821</c:v>
                </c:pt>
                <c:pt idx="15">
                  <c:v>167.00000000005821</c:v>
                </c:pt>
                <c:pt idx="16">
                  <c:v>186.50000000005821</c:v>
                </c:pt>
                <c:pt idx="17">
                  <c:v>191.00000000005821</c:v>
                </c:pt>
                <c:pt idx="18">
                  <c:v>209.00000000005821</c:v>
                </c:pt>
                <c:pt idx="19">
                  <c:v>215.00000000005821</c:v>
                </c:pt>
                <c:pt idx="20">
                  <c:v>241.5</c:v>
                </c:pt>
                <c:pt idx="21">
                  <c:v>258.50000000005821</c:v>
                </c:pt>
                <c:pt idx="22">
                  <c:v>284.00000000005821</c:v>
                </c:pt>
                <c:pt idx="23">
                  <c:v>308.00000000005821</c:v>
                </c:pt>
                <c:pt idx="24">
                  <c:v>329.75000000005821</c:v>
                </c:pt>
                <c:pt idx="25">
                  <c:v>335.00000000005821</c:v>
                </c:pt>
                <c:pt idx="26">
                  <c:v>354</c:v>
                </c:pt>
                <c:pt idx="27">
                  <c:v>359.50000000011642</c:v>
                </c:pt>
                <c:pt idx="28">
                  <c:v>378.50000000005821</c:v>
                </c:pt>
              </c:numCache>
            </c:numRef>
          </c:xVal>
          <c:yVal>
            <c:numRef>
              <c:f>[1]Hoja1!$J$152:$J$180</c:f>
              <c:numCache>
                <c:formatCode>General</c:formatCode>
                <c:ptCount val="29"/>
                <c:pt idx="10">
                  <c:v>2.4000000000000004</c:v>
                </c:pt>
                <c:pt idx="15">
                  <c:v>6.3199999999999994</c:v>
                </c:pt>
                <c:pt idx="17">
                  <c:v>7.3600000000000012</c:v>
                </c:pt>
                <c:pt idx="19">
                  <c:v>7.9599999999999991</c:v>
                </c:pt>
                <c:pt idx="22">
                  <c:v>7.4799999999999995</c:v>
                </c:pt>
                <c:pt idx="27">
                  <c:v>9.7200000000000006</c:v>
                </c:pt>
                <c:pt idx="28">
                  <c:v>11.9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2E9-4AF7-BBD0-B4A6F723B0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1189383"/>
        <c:axId val="1201191431"/>
      </c:scatterChart>
      <c:valAx>
        <c:axId val="1201189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191431"/>
        <c:crosses val="autoZero"/>
        <c:crossBetween val="midCat"/>
      </c:valAx>
      <c:valAx>
        <c:axId val="1201191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1893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561975</xdr:colOff>
      <xdr:row>12</xdr:row>
      <xdr:rowOff>76200</xdr:rowOff>
    </xdr:from>
    <xdr:to>
      <xdr:col>25</xdr:col>
      <xdr:colOff>257175</xdr:colOff>
      <xdr:row>26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24F025C-D7D6-4D66-B5F5-B5BA2492852F}"/>
            </a:ext>
            <a:ext uri="{147F2762-F138-4A5C-976F-8EAC2B608ADB}">
              <a16:predDERef xmlns:a16="http://schemas.microsoft.com/office/drawing/2014/main" pred="{97412FFA-D604-99BD-08AC-A1A19955B7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201930</xdr:colOff>
      <xdr:row>23</xdr:row>
      <xdr:rowOff>5715</xdr:rowOff>
    </xdr:from>
    <xdr:to>
      <xdr:col>19</xdr:col>
      <xdr:colOff>506730</xdr:colOff>
      <xdr:row>37</xdr:row>
      <xdr:rowOff>81915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1E00543-93BA-4D63-B022-6D8CB7FEFE5E}"/>
            </a:ext>
            <a:ext uri="{147F2762-F138-4A5C-976F-8EAC2B608ADB}">
              <a16:predDERef xmlns:a16="http://schemas.microsoft.com/office/drawing/2014/main" pred="{FB8368AF-4AAB-7A94-9696-84CDE9F15C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133350</xdr:colOff>
      <xdr:row>36</xdr:row>
      <xdr:rowOff>161925</xdr:rowOff>
    </xdr:from>
    <xdr:to>
      <xdr:col>23</xdr:col>
      <xdr:colOff>438150</xdr:colOff>
      <xdr:row>51</xdr:row>
      <xdr:rowOff>47625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AC9CE6C-9E88-425A-B828-5103AD1AA075}"/>
            </a:ext>
            <a:ext uri="{147F2762-F138-4A5C-976F-8EAC2B608ADB}">
              <a16:predDERef xmlns:a16="http://schemas.microsoft.com/office/drawing/2014/main" pred="{9F4171E4-3685-8777-DB2A-89C6E01322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607695</xdr:colOff>
      <xdr:row>51</xdr:row>
      <xdr:rowOff>167640</xdr:rowOff>
    </xdr:from>
    <xdr:to>
      <xdr:col>20</xdr:col>
      <xdr:colOff>302895</xdr:colOff>
      <xdr:row>66</xdr:row>
      <xdr:rowOff>62865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54C44828-F4CD-4965-BFD5-8F8D5CAFA626}"/>
            </a:ext>
            <a:ext uri="{147F2762-F138-4A5C-976F-8EAC2B608ADB}">
              <a16:predDERef xmlns:a16="http://schemas.microsoft.com/office/drawing/2014/main" pred="{9F824543-5CC0-F788-0C10-A6BE483944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161925</xdr:colOff>
      <xdr:row>71</xdr:row>
      <xdr:rowOff>72390</xdr:rowOff>
    </xdr:from>
    <xdr:to>
      <xdr:col>20</xdr:col>
      <xdr:colOff>466725</xdr:colOff>
      <xdr:row>85</xdr:row>
      <xdr:rowOff>139065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13333559-8C10-4CB3-9F60-C835029E0010}"/>
            </a:ext>
            <a:ext uri="{147F2762-F138-4A5C-976F-8EAC2B608ADB}">
              <a16:predDERef xmlns:a16="http://schemas.microsoft.com/office/drawing/2014/main" pred="{5977A022-D69D-0601-EC14-22E10E7783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83820</xdr:colOff>
      <xdr:row>91</xdr:row>
      <xdr:rowOff>66675</xdr:rowOff>
    </xdr:from>
    <xdr:to>
      <xdr:col>20</xdr:col>
      <xdr:colOff>388620</xdr:colOff>
      <xdr:row>105</xdr:row>
      <xdr:rowOff>142875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7D9514AC-84B0-42C5-B284-B0927B33351E}"/>
            </a:ext>
            <a:ext uri="{147F2762-F138-4A5C-976F-8EAC2B608ADB}">
              <a16:predDERef xmlns:a16="http://schemas.microsoft.com/office/drawing/2014/main" pred="{5E029E64-FD6E-2FF5-1591-8E155FBB19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348615</xdr:colOff>
      <xdr:row>107</xdr:row>
      <xdr:rowOff>64770</xdr:rowOff>
    </xdr:from>
    <xdr:to>
      <xdr:col>21</xdr:col>
      <xdr:colOff>43815</xdr:colOff>
      <xdr:row>121</xdr:row>
      <xdr:rowOff>140970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0175DD17-2C90-46F0-BEF1-DF72F139534F}"/>
            </a:ext>
            <a:ext uri="{147F2762-F138-4A5C-976F-8EAC2B608ADB}">
              <a16:predDERef xmlns:a16="http://schemas.microsoft.com/office/drawing/2014/main" pred="{22D28230-FE14-2C3B-5A71-57172C32F7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0</xdr:colOff>
      <xdr:row>130</xdr:row>
      <xdr:rowOff>87630</xdr:rowOff>
    </xdr:from>
    <xdr:to>
      <xdr:col>22</xdr:col>
      <xdr:colOff>304800</xdr:colOff>
      <xdr:row>144</xdr:row>
      <xdr:rowOff>163830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EBC3FCE2-0120-465B-A434-24C8F477E7F0}"/>
            </a:ext>
            <a:ext uri="{147F2762-F138-4A5C-976F-8EAC2B608ADB}">
              <a16:predDERef xmlns:a16="http://schemas.microsoft.com/office/drawing/2014/main" pred="{C2E59210-B29A-7D3F-85AE-FC1FBE9996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238125</xdr:colOff>
      <xdr:row>156</xdr:row>
      <xdr:rowOff>104775</xdr:rowOff>
    </xdr:from>
    <xdr:to>
      <xdr:col>18</xdr:col>
      <xdr:colOff>542925</xdr:colOff>
      <xdr:row>170</xdr:row>
      <xdr:rowOff>180975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6034BF43-4955-493E-9284-4775C1B360D7}"/>
            </a:ext>
            <a:ext uri="{147F2762-F138-4A5C-976F-8EAC2B608ADB}">
              <a16:predDERef xmlns:a16="http://schemas.microsoft.com/office/drawing/2014/main" pred="{8B128003-F9BC-8B39-47EF-E740B536AF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506730</xdr:colOff>
      <xdr:row>0</xdr:row>
      <xdr:rowOff>0</xdr:rowOff>
    </xdr:from>
    <xdr:to>
      <xdr:col>21</xdr:col>
      <xdr:colOff>201930</xdr:colOff>
      <xdr:row>14</xdr:row>
      <xdr:rowOff>76200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EC690483-9D0F-4CC4-80F2-4A183CBAE216}"/>
            </a:ext>
            <a:ext uri="{147F2762-F138-4A5C-976F-8EAC2B608ADB}">
              <a16:predDERef xmlns:a16="http://schemas.microsoft.com/office/drawing/2014/main" pred="{35AAF4D7-BB8B-64B1-EFBF-F2D9749623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CTORRE~1\AppData\Local\Temp\MicrosoftEdgeDownloads\c54c2023-321d-4fa6-aed9-6cd6587fbdac\Etanol.xlsx" TargetMode="External"/><Relationship Id="rId1" Type="http://schemas.openxmlformats.org/officeDocument/2006/relationships/externalLinkPath" Target="/Users/CTORRE~1/AppData/Local/Temp/MicrosoftEdgeDownloads/c54c2023-321d-4fa6-aed9-6cd6587fbdac/Etano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oja1"/>
      <sheetName val="Hoja1 (2)"/>
    </sheetNames>
    <sheetDataSet>
      <sheetData sheetId="0">
        <row r="2">
          <cell r="C2">
            <v>0</v>
          </cell>
          <cell r="D2">
            <v>1063</v>
          </cell>
          <cell r="E2">
            <v>1.0629999999999999</v>
          </cell>
          <cell r="F2">
            <v>15.438810256424745</v>
          </cell>
          <cell r="G2">
            <v>0.78</v>
          </cell>
          <cell r="H2">
            <v>0.78</v>
          </cell>
        </row>
        <row r="3">
          <cell r="C3">
            <v>12.700000000011642</v>
          </cell>
          <cell r="D3">
            <v>1062.3</v>
          </cell>
          <cell r="E3">
            <v>1.0623</v>
          </cell>
          <cell r="F3">
            <v>15.276173805661188</v>
          </cell>
          <cell r="G3">
            <v>0.8</v>
          </cell>
          <cell r="H3">
            <v>0.88785371098183918</v>
          </cell>
        </row>
        <row r="4">
          <cell r="C4">
            <v>37.000000000116415</v>
          </cell>
          <cell r="D4">
            <v>1040.0999999999999</v>
          </cell>
          <cell r="E4">
            <v>1.0400999999999998</v>
          </cell>
          <cell r="F4">
            <v>10.017553218964395</v>
          </cell>
          <cell r="G4">
            <v>2.95</v>
          </cell>
          <cell r="H4">
            <v>4.3751515600064224</v>
          </cell>
        </row>
        <row r="5">
          <cell r="C5">
            <v>40.833333333372138</v>
          </cell>
          <cell r="D5">
            <v>1035.8</v>
          </cell>
          <cell r="E5">
            <v>1.0358000000000001</v>
          </cell>
          <cell r="F5">
            <v>8.9758499452678961</v>
          </cell>
          <cell r="G5">
            <v>3.4</v>
          </cell>
          <cell r="H5">
            <v>5.0659657242520248</v>
          </cell>
        </row>
        <row r="6">
          <cell r="C6">
            <v>61.250000000058208</v>
          </cell>
          <cell r="D6">
            <v>1016.2</v>
          </cell>
          <cell r="E6">
            <v>1.0162</v>
          </cell>
          <cell r="F6">
            <v>4.1285473098320153</v>
          </cell>
          <cell r="G6">
            <v>7.55</v>
          </cell>
          <cell r="H6">
            <v>8.2804946630559151</v>
          </cell>
        </row>
        <row r="7">
          <cell r="C7">
            <v>84.833333333430346</v>
          </cell>
          <cell r="D7">
            <v>1002.3</v>
          </cell>
          <cell r="E7">
            <v>1.0023</v>
          </cell>
          <cell r="F7">
            <v>0.58922415346989965</v>
          </cell>
          <cell r="G7">
            <v>9.25</v>
          </cell>
          <cell r="H7">
            <v>10.627626163930666</v>
          </cell>
        </row>
        <row r="8">
          <cell r="C8">
            <v>89.000000000058208</v>
          </cell>
          <cell r="D8">
            <v>998.8</v>
          </cell>
          <cell r="E8">
            <v>0.99879999999999991</v>
          </cell>
          <cell r="F8">
            <v>-0.31568366988301477</v>
          </cell>
          <cell r="G8">
            <v>9.1999999999999993</v>
          </cell>
          <cell r="H8">
            <v>11.227723290908671</v>
          </cell>
          <cell r="I8">
            <v>10.88</v>
          </cell>
        </row>
        <row r="9">
          <cell r="C9">
            <v>108.33333333337214</v>
          </cell>
          <cell r="D9">
            <v>994.8</v>
          </cell>
          <cell r="E9">
            <v>0.99479999999999991</v>
          </cell>
          <cell r="F9">
            <v>-1.3567355360218016</v>
          </cell>
          <cell r="G9">
            <v>10.4</v>
          </cell>
          <cell r="H9">
            <v>11.918105468830598</v>
          </cell>
          <cell r="I9">
            <v>10.88</v>
          </cell>
        </row>
        <row r="10">
          <cell r="C10">
            <v>113.16666666674428</v>
          </cell>
          <cell r="D10">
            <v>993.4</v>
          </cell>
          <cell r="E10">
            <v>0.99339999999999995</v>
          </cell>
          <cell r="F10">
            <v>-1.7228475829570016</v>
          </cell>
          <cell r="G10">
            <v>10.3</v>
          </cell>
          <cell r="H10">
            <v>12.160895708729061</v>
          </cell>
          <cell r="I10">
            <v>11.280000000000001</v>
          </cell>
        </row>
        <row r="11">
          <cell r="C11">
            <v>131.25</v>
          </cell>
          <cell r="D11">
            <v>991.7</v>
          </cell>
          <cell r="E11">
            <v>0.99170000000000003</v>
          </cell>
          <cell r="F11">
            <v>-2.1686346893151267</v>
          </cell>
          <cell r="G11">
            <v>12.8</v>
          </cell>
          <cell r="H11">
            <v>12.456523124986925</v>
          </cell>
          <cell r="I11">
            <v>12.960000000000003</v>
          </cell>
        </row>
        <row r="12">
          <cell r="C12">
            <v>136.83333333337214</v>
          </cell>
          <cell r="D12">
            <v>990.7</v>
          </cell>
          <cell r="E12">
            <v>0.99070000000000003</v>
          </cell>
          <cell r="F12">
            <v>-2.431490735740681</v>
          </cell>
          <cell r="G12">
            <v>12</v>
          </cell>
          <cell r="H12">
            <v>12.630838291900067</v>
          </cell>
        </row>
        <row r="13">
          <cell r="C13">
            <v>0</v>
          </cell>
          <cell r="D13">
            <v>1063.0999999999999</v>
          </cell>
          <cell r="E13">
            <v>1.0630999999999999</v>
          </cell>
          <cell r="F13">
            <v>15.462028520999638</v>
          </cell>
          <cell r="G13">
            <v>0.78</v>
          </cell>
          <cell r="H13">
            <v>0.78</v>
          </cell>
        </row>
        <row r="14">
          <cell r="C14">
            <v>12.700000000011642</v>
          </cell>
          <cell r="D14">
            <v>1063.7</v>
          </cell>
          <cell r="E14">
            <v>1.0637000000000001</v>
          </cell>
          <cell r="F14">
            <v>15.601256766683719</v>
          </cell>
          <cell r="G14">
            <v>1.3</v>
          </cell>
          <cell r="H14">
            <v>0.68766963432846828</v>
          </cell>
        </row>
        <row r="15">
          <cell r="C15">
            <v>37.000000000116415</v>
          </cell>
          <cell r="D15">
            <v>1050.4000000000001</v>
          </cell>
          <cell r="E15">
            <v>1.0504</v>
          </cell>
          <cell r="F15">
            <v>12.481929383232</v>
          </cell>
          <cell r="G15">
            <v>2.25</v>
          </cell>
          <cell r="H15">
            <v>2.7562774555950904</v>
          </cell>
        </row>
        <row r="16">
          <cell r="C16">
            <v>40.833333333372138</v>
          </cell>
          <cell r="D16">
            <v>1046.0999999999999</v>
          </cell>
          <cell r="E16">
            <v>1.0460999999999998</v>
          </cell>
          <cell r="F16">
            <v>11.458359295564264</v>
          </cell>
          <cell r="G16">
            <v>1.9</v>
          </cell>
          <cell r="H16">
            <v>3.4350664471568066</v>
          </cell>
        </row>
        <row r="17">
          <cell r="C17">
            <v>61.250000000058208</v>
          </cell>
          <cell r="D17">
            <v>1028</v>
          </cell>
          <cell r="E17">
            <v>1.028</v>
          </cell>
          <cell r="F17">
            <v>7.0664907529152288</v>
          </cell>
          <cell r="G17">
            <v>2.8000000000000003</v>
          </cell>
          <cell r="H17">
            <v>6.3475704906552783</v>
          </cell>
        </row>
        <row r="18">
          <cell r="C18">
            <v>84.833333333430346</v>
          </cell>
          <cell r="D18">
            <v>1013.9</v>
          </cell>
          <cell r="E18">
            <v>1.0139</v>
          </cell>
          <cell r="F18">
            <v>3.5488372775333801</v>
          </cell>
          <cell r="G18">
            <v>7.85</v>
          </cell>
          <cell r="H18">
            <v>8.6803315628927713</v>
          </cell>
          <cell r="I18">
            <v>10.4</v>
          </cell>
        </row>
        <row r="19">
          <cell r="C19">
            <v>89.000000000058208</v>
          </cell>
          <cell r="D19">
            <v>1009.4</v>
          </cell>
          <cell r="E19">
            <v>1.0094000000000001</v>
          </cell>
          <cell r="F19">
            <v>2.4078565013917341</v>
          </cell>
          <cell r="G19">
            <v>4.8</v>
          </cell>
          <cell r="H19">
            <v>9.4369824261406432</v>
          </cell>
          <cell r="I19">
            <v>10.440000000000001</v>
          </cell>
        </row>
        <row r="20">
          <cell r="C20">
            <v>108.33333333337214</v>
          </cell>
          <cell r="D20">
            <v>1002.2</v>
          </cell>
          <cell r="E20">
            <v>1.0022</v>
          </cell>
          <cell r="F20">
            <v>0.56344706212325946</v>
          </cell>
          <cell r="G20">
            <v>7.05</v>
          </cell>
          <cell r="H20">
            <v>10.660117840502579</v>
          </cell>
          <cell r="I20">
            <v>9.7200000000000006</v>
          </cell>
        </row>
        <row r="21">
          <cell r="C21">
            <v>113.16666666674428</v>
          </cell>
          <cell r="D21">
            <v>1000.3</v>
          </cell>
          <cell r="E21">
            <v>1.0003</v>
          </cell>
          <cell r="F21">
            <v>7.2818107764419437E-2</v>
          </cell>
          <cell r="G21">
            <v>5.3999999999999995</v>
          </cell>
          <cell r="H21">
            <v>10.985482500111823</v>
          </cell>
          <cell r="I21">
            <v>3.6399999999999997</v>
          </cell>
        </row>
        <row r="22">
          <cell r="C22">
            <v>131.25</v>
          </cell>
          <cell r="D22">
            <v>997.1</v>
          </cell>
          <cell r="E22">
            <v>0.99709999999999999</v>
          </cell>
          <cell r="F22">
            <v>-0.75723141815740291</v>
          </cell>
          <cell r="G22">
            <v>7.3</v>
          </cell>
          <cell r="H22">
            <v>11.535936726388169</v>
          </cell>
          <cell r="I22">
            <v>-1.2</v>
          </cell>
        </row>
        <row r="23">
          <cell r="C23">
            <v>136.83333333337214</v>
          </cell>
          <cell r="D23">
            <v>995.1</v>
          </cell>
          <cell r="E23">
            <v>0.99509999999999998</v>
          </cell>
          <cell r="F23">
            <v>-1.2784009424664191</v>
          </cell>
          <cell r="G23">
            <v>7.05</v>
          </cell>
          <cell r="H23">
            <v>11.881554618216651</v>
          </cell>
          <cell r="I23">
            <v>10.760000000000002</v>
          </cell>
        </row>
        <row r="24">
          <cell r="C24">
            <v>156</v>
          </cell>
          <cell r="D24">
            <v>994</v>
          </cell>
          <cell r="E24">
            <v>0.99399999999999999</v>
          </cell>
          <cell r="F24">
            <v>-1.5658312761817115</v>
          </cell>
          <cell r="G24">
            <v>7.85</v>
          </cell>
          <cell r="H24">
            <v>12.072166427527538</v>
          </cell>
          <cell r="I24">
            <v>-1.2</v>
          </cell>
        </row>
        <row r="25">
          <cell r="C25">
            <v>180</v>
          </cell>
          <cell r="D25">
            <v>994</v>
          </cell>
          <cell r="E25">
            <v>0.99399999999999999</v>
          </cell>
          <cell r="F25">
            <v>-1.5658312761817115</v>
          </cell>
          <cell r="G25">
            <v>12.1</v>
          </cell>
          <cell r="H25">
            <v>12.072166427527538</v>
          </cell>
        </row>
        <row r="26">
          <cell r="C26">
            <v>0</v>
          </cell>
          <cell r="D26">
            <v>1063.3</v>
          </cell>
          <cell r="E26">
            <v>1.0632999999999999</v>
          </cell>
          <cell r="F26">
            <v>15.508453425518496</v>
          </cell>
          <cell r="G26">
            <v>0.78</v>
          </cell>
          <cell r="H26">
            <v>0.78</v>
          </cell>
        </row>
        <row r="27">
          <cell r="C27">
            <v>12.700000000011642</v>
          </cell>
          <cell r="D27">
            <v>1062.5999999999999</v>
          </cell>
          <cell r="E27">
            <v>1.0626</v>
          </cell>
          <cell r="F27">
            <v>15.345898423808308</v>
          </cell>
          <cell r="G27">
            <v>0.65</v>
          </cell>
          <cell r="H27">
            <v>0.88779969736668396</v>
          </cell>
        </row>
        <row r="28">
          <cell r="C28">
            <v>37.000000000116415</v>
          </cell>
          <cell r="D28">
            <v>1040.4000000000001</v>
          </cell>
          <cell r="E28">
            <v>1.0404</v>
          </cell>
          <cell r="F28">
            <v>10.089944418815435</v>
          </cell>
          <cell r="G28">
            <v>2.8999999999999995</v>
          </cell>
          <cell r="H28">
            <v>4.373329180621762</v>
          </cell>
        </row>
        <row r="29">
          <cell r="C29">
            <v>40.833333333372138</v>
          </cell>
          <cell r="D29">
            <v>1036.8</v>
          </cell>
          <cell r="E29">
            <v>1.0367999999999999</v>
          </cell>
          <cell r="F29">
            <v>9.2187920577503064</v>
          </cell>
          <cell r="G29">
            <v>3.5</v>
          </cell>
          <cell r="H29">
            <v>4.9510410928674427</v>
          </cell>
        </row>
        <row r="30">
          <cell r="C30">
            <v>61.250000000058208</v>
          </cell>
          <cell r="D30">
            <v>1016.4</v>
          </cell>
          <cell r="E30">
            <v>1.0164</v>
          </cell>
          <cell r="F30">
            <v>4.1788469691551882</v>
          </cell>
          <cell r="G30">
            <v>7.65</v>
          </cell>
          <cell r="H30">
            <v>8.2933224719657606</v>
          </cell>
        </row>
        <row r="31">
          <cell r="C31">
            <v>84.833333333430346</v>
          </cell>
          <cell r="D31">
            <v>1002.2</v>
          </cell>
          <cell r="E31">
            <v>1.0022</v>
          </cell>
          <cell r="F31">
            <v>0.56344706212325946</v>
          </cell>
          <cell r="G31">
            <v>9.35</v>
          </cell>
          <cell r="H31">
            <v>10.690904900911416</v>
          </cell>
        </row>
        <row r="32">
          <cell r="C32">
            <v>89.000000000058208</v>
          </cell>
          <cell r="D32">
            <v>998.6</v>
          </cell>
          <cell r="E32">
            <v>0.99860000000000004</v>
          </cell>
          <cell r="F32">
            <v>-0.36756167219846247</v>
          </cell>
          <cell r="G32">
            <v>8.5500000000000007</v>
          </cell>
          <cell r="H32">
            <v>11.308311063439422</v>
          </cell>
          <cell r="I32">
            <v>11.4</v>
          </cell>
        </row>
        <row r="33">
          <cell r="C33">
            <v>108.33333333337214</v>
          </cell>
          <cell r="D33">
            <v>995.1</v>
          </cell>
          <cell r="E33">
            <v>0.99509999999999998</v>
          </cell>
          <cell r="F33">
            <v>-1.2784009424664191</v>
          </cell>
          <cell r="G33">
            <v>10</v>
          </cell>
          <cell r="H33">
            <v>11.912341678625486</v>
          </cell>
          <cell r="I33">
            <v>10.96</v>
          </cell>
        </row>
        <row r="34">
          <cell r="C34">
            <v>113.16666666674428</v>
          </cell>
          <cell r="D34">
            <v>993.6</v>
          </cell>
          <cell r="E34">
            <v>0.99360000000000004</v>
          </cell>
          <cell r="F34">
            <v>-1.6704902725483635</v>
          </cell>
          <cell r="G34">
            <v>11.95</v>
          </cell>
          <cell r="H34">
            <v>12.172358969258569</v>
          </cell>
          <cell r="I34">
            <v>9.64</v>
          </cell>
        </row>
        <row r="35">
          <cell r="C35">
            <v>131.25</v>
          </cell>
          <cell r="D35">
            <v>991.5</v>
          </cell>
          <cell r="E35">
            <v>0.99150000000000005</v>
          </cell>
          <cell r="F35">
            <v>-2.2211686083589939</v>
          </cell>
          <cell r="G35">
            <v>11.65</v>
          </cell>
          <cell r="H35">
            <v>12.537545874135299</v>
          </cell>
          <cell r="I35">
            <v>13.280000000000001</v>
          </cell>
        </row>
        <row r="36">
          <cell r="C36">
            <v>136.83333333337214</v>
          </cell>
          <cell r="D36">
            <v>990.6</v>
          </cell>
          <cell r="E36">
            <v>0.99060000000000004</v>
          </cell>
          <cell r="F36">
            <v>-2.4578019954875572</v>
          </cell>
          <cell r="G36">
            <v>11.9</v>
          </cell>
          <cell r="H36">
            <v>12.69447126708501</v>
          </cell>
        </row>
        <row r="37">
          <cell r="C37">
            <v>0</v>
          </cell>
          <cell r="D37">
            <v>1062.2</v>
          </cell>
          <cell r="E37">
            <v>1.0622</v>
          </cell>
          <cell r="F37">
            <v>15.252924499738128</v>
          </cell>
          <cell r="G37">
            <v>0.78</v>
          </cell>
          <cell r="H37">
            <v>0.78</v>
          </cell>
        </row>
        <row r="38">
          <cell r="C38">
            <v>12.700000000011642</v>
          </cell>
          <cell r="D38">
            <v>1062</v>
          </cell>
          <cell r="E38">
            <v>1.0620000000000001</v>
          </cell>
          <cell r="F38">
            <v>15.206414231512667</v>
          </cell>
          <cell r="G38">
            <v>1.4000000000000001</v>
          </cell>
          <cell r="H38">
            <v>0.81084367005874625</v>
          </cell>
        </row>
        <row r="39">
          <cell r="C39">
            <v>37.000000000116415</v>
          </cell>
          <cell r="D39">
            <v>1051.9000000000001</v>
          </cell>
          <cell r="E39">
            <v>1.0519000000000001</v>
          </cell>
          <cell r="F39">
            <v>12.837238061065023</v>
          </cell>
          <cell r="G39">
            <v>2.35</v>
          </cell>
          <cell r="H39">
            <v>2.3819824938148386</v>
          </cell>
        </row>
        <row r="40">
          <cell r="C40">
            <v>40.833333333372138</v>
          </cell>
          <cell r="D40">
            <v>1048.3</v>
          </cell>
          <cell r="E40">
            <v>1.0483</v>
          </cell>
          <cell r="F40">
            <v>11.982979010049917</v>
          </cell>
          <cell r="G40">
            <v>2.5</v>
          </cell>
          <cell r="H40">
            <v>2.9484914674135698</v>
          </cell>
        </row>
        <row r="41">
          <cell r="C41">
            <v>61.250000000058208</v>
          </cell>
          <cell r="D41">
            <v>1030</v>
          </cell>
          <cell r="E41">
            <v>1.03</v>
          </cell>
          <cell r="F41">
            <v>7.5585198026999478</v>
          </cell>
          <cell r="G41">
            <v>5.25</v>
          </cell>
          <cell r="H41">
            <v>5.8826082804655941</v>
          </cell>
        </row>
        <row r="42">
          <cell r="C42">
            <v>84.833333333430346</v>
          </cell>
          <cell r="D42">
            <v>1015.3</v>
          </cell>
          <cell r="E42">
            <v>1.0152999999999999</v>
          </cell>
          <cell r="F42">
            <v>3.9019814765356386</v>
          </cell>
          <cell r="G42">
            <v>7.4</v>
          </cell>
          <cell r="H42">
            <v>8.3074719931980177</v>
          </cell>
        </row>
        <row r="43">
          <cell r="C43">
            <v>89.000000000058208</v>
          </cell>
          <cell r="D43">
            <v>1010.8</v>
          </cell>
          <cell r="E43">
            <v>1.0107999999999999</v>
          </cell>
          <cell r="F43">
            <v>2.7637921252255637</v>
          </cell>
          <cell r="G43">
            <v>3.4</v>
          </cell>
          <cell r="H43">
            <v>9.0622716999210251</v>
          </cell>
          <cell r="I43">
            <v>10.48</v>
          </cell>
        </row>
        <row r="44">
          <cell r="C44">
            <v>108.33333333337214</v>
          </cell>
          <cell r="D44">
            <v>1003.5</v>
          </cell>
          <cell r="E44">
            <v>1.0035000000000001</v>
          </cell>
          <cell r="F44">
            <v>0.89819537592677534</v>
          </cell>
          <cell r="G44">
            <v>4.3999999999999995</v>
          </cell>
          <cell r="H44">
            <v>10.299457654624709</v>
          </cell>
          <cell r="I44">
            <v>11</v>
          </cell>
        </row>
        <row r="45">
          <cell r="C45">
            <v>113.16666666674428</v>
          </cell>
          <cell r="D45">
            <v>1002.2</v>
          </cell>
          <cell r="E45">
            <v>1.0022</v>
          </cell>
          <cell r="F45">
            <v>0.56344706212325946</v>
          </cell>
          <cell r="G45">
            <v>5.7999999999999989</v>
          </cell>
          <cell r="H45">
            <v>10.521448774814061</v>
          </cell>
          <cell r="I45">
            <v>10.24</v>
          </cell>
        </row>
        <row r="46">
          <cell r="C46">
            <v>131.25</v>
          </cell>
          <cell r="D46">
            <v>997.4</v>
          </cell>
          <cell r="E46">
            <v>0.99739999999999995</v>
          </cell>
          <cell r="F46">
            <v>-0.67921482708686653</v>
          </cell>
          <cell r="G46">
            <v>7.2</v>
          </cell>
          <cell r="H46">
            <v>11.345530311380935</v>
          </cell>
          <cell r="I46">
            <v>2.4800000000000004</v>
          </cell>
        </row>
        <row r="47">
          <cell r="C47">
            <v>136.83333333337214</v>
          </cell>
          <cell r="D47">
            <v>995.3</v>
          </cell>
          <cell r="E47">
            <v>0.99529999999999996</v>
          </cell>
          <cell r="F47">
            <v>-1.2262009803170031</v>
          </cell>
          <cell r="G47">
            <v>5.35</v>
          </cell>
          <cell r="H47">
            <v>11.708268714762095</v>
          </cell>
          <cell r="I47">
            <v>12.48</v>
          </cell>
        </row>
        <row r="48">
          <cell r="C48">
            <v>156</v>
          </cell>
          <cell r="D48">
            <v>994.6</v>
          </cell>
          <cell r="E48">
            <v>0.99460000000000004</v>
          </cell>
          <cell r="F48">
            <v>-1.4089817113850813</v>
          </cell>
          <cell r="G48">
            <v>6.45</v>
          </cell>
          <cell r="H48">
            <v>11.829481272273728</v>
          </cell>
          <cell r="I48">
            <v>11.84</v>
          </cell>
        </row>
        <row r="49">
          <cell r="C49">
            <v>180</v>
          </cell>
          <cell r="D49">
            <v>994.6</v>
          </cell>
          <cell r="E49">
            <v>0.99460000000000004</v>
          </cell>
          <cell r="F49">
            <v>-1.4089817113850813</v>
          </cell>
          <cell r="G49">
            <v>11.9</v>
          </cell>
          <cell r="H49">
            <v>11.829481272273728</v>
          </cell>
        </row>
        <row r="50">
          <cell r="C50">
            <v>0</v>
          </cell>
          <cell r="D50">
            <v>1061.0999999999999</v>
          </cell>
          <cell r="E50">
            <v>1.0610999999999999</v>
          </cell>
          <cell r="F50">
            <v>14.996925477474065</v>
          </cell>
          <cell r="G50">
            <v>1.04</v>
          </cell>
          <cell r="H50">
            <v>1.04</v>
          </cell>
        </row>
        <row r="51">
          <cell r="C51">
            <v>0.50000000005820766</v>
          </cell>
          <cell r="D51">
            <v>1061.0999999999999</v>
          </cell>
          <cell r="E51">
            <v>1.0610999999999999</v>
          </cell>
          <cell r="F51">
            <v>14.996925477474065</v>
          </cell>
          <cell r="G51">
            <v>0</v>
          </cell>
          <cell r="H51">
            <v>1.04</v>
          </cell>
        </row>
        <row r="52">
          <cell r="C52">
            <v>15</v>
          </cell>
          <cell r="D52">
            <v>1059.8</v>
          </cell>
          <cell r="E52">
            <v>1.0597999999999999</v>
          </cell>
          <cell r="F52">
            <v>14.693773111165115</v>
          </cell>
          <cell r="G52">
            <v>1.2000000000000002</v>
          </cell>
          <cell r="H52">
            <v>1.2410380055998649</v>
          </cell>
        </row>
        <row r="53">
          <cell r="C53">
            <v>21</v>
          </cell>
          <cell r="D53">
            <v>1058.2</v>
          </cell>
          <cell r="E53">
            <v>1.0582</v>
          </cell>
          <cell r="F53">
            <v>14.319754814846988</v>
          </cell>
          <cell r="G53">
            <v>3.7</v>
          </cell>
          <cell r="H53">
            <v>1.4890713403389562</v>
          </cell>
          <cell r="I53">
            <v>5.04</v>
          </cell>
        </row>
        <row r="54">
          <cell r="C54">
            <v>24</v>
          </cell>
          <cell r="D54">
            <v>1058.2</v>
          </cell>
          <cell r="E54">
            <v>1.0582</v>
          </cell>
          <cell r="F54">
            <v>14.319754814846988</v>
          </cell>
          <cell r="G54">
            <v>1.3499999999999999</v>
          </cell>
          <cell r="H54">
            <v>1.4890713403389562</v>
          </cell>
        </row>
        <row r="55">
          <cell r="C55">
            <v>39.999999999941792</v>
          </cell>
          <cell r="D55">
            <v>1052.2</v>
          </cell>
          <cell r="E55">
            <v>1.0522</v>
          </cell>
          <cell r="F55">
            <v>12.908191736305753</v>
          </cell>
          <cell r="G55">
            <v>1.9499999999999997</v>
          </cell>
          <cell r="H55">
            <v>2.4251611012189032</v>
          </cell>
        </row>
        <row r="56">
          <cell r="C56">
            <v>44.499999999941792</v>
          </cell>
          <cell r="D56">
            <v>1049.2</v>
          </cell>
          <cell r="E56">
            <v>1.0492000000000001</v>
          </cell>
          <cell r="F56">
            <v>12.197032305498055</v>
          </cell>
          <cell r="G56">
            <v>1.5</v>
          </cell>
          <cell r="H56">
            <v>2.8967723750276986</v>
          </cell>
        </row>
        <row r="57">
          <cell r="C57">
            <v>46.666666666686069</v>
          </cell>
          <cell r="D57">
            <v>1048.2</v>
          </cell>
          <cell r="E57">
            <v>1.0482</v>
          </cell>
          <cell r="F57">
            <v>11.959175138819319</v>
          </cell>
          <cell r="G57">
            <v>1.65</v>
          </cell>
          <cell r="H57">
            <v>3.0545093275342641</v>
          </cell>
        </row>
        <row r="58">
          <cell r="C58">
            <v>63.999999999941792</v>
          </cell>
          <cell r="D58">
            <v>1037.2</v>
          </cell>
          <cell r="E58">
            <v>1.0372000000000001</v>
          </cell>
          <cell r="F58">
            <v>9.3158522728421076</v>
          </cell>
          <cell r="G58">
            <v>3.9</v>
          </cell>
          <cell r="H58">
            <v>4.8074508057842005</v>
          </cell>
          <cell r="I58">
            <v>6.9599999999999991</v>
          </cell>
        </row>
        <row r="59">
          <cell r="C59">
            <v>68.499999999941792</v>
          </cell>
          <cell r="D59">
            <v>1033.2</v>
          </cell>
          <cell r="E59">
            <v>1.0332000000000001</v>
          </cell>
          <cell r="F59">
            <v>8.3422442360127889</v>
          </cell>
          <cell r="G59">
            <v>1.7</v>
          </cell>
          <cell r="H59">
            <v>5.4531070490235836</v>
          </cell>
          <cell r="I59">
            <v>8.08</v>
          </cell>
        </row>
        <row r="60">
          <cell r="C60">
            <v>90</v>
          </cell>
          <cell r="D60">
            <v>1023</v>
          </cell>
          <cell r="E60">
            <v>1.0229999999999999</v>
          </cell>
          <cell r="F60">
            <v>5.8289448398367085</v>
          </cell>
          <cell r="G60">
            <v>2.4500000000000002</v>
          </cell>
          <cell r="H60">
            <v>7.1198223850590994</v>
          </cell>
          <cell r="I60">
            <v>8.6000000000000014</v>
          </cell>
        </row>
        <row r="61">
          <cell r="C61">
            <v>118.5</v>
          </cell>
          <cell r="D61">
            <v>1010.4</v>
          </cell>
          <cell r="E61">
            <v>1.0104</v>
          </cell>
          <cell r="F61">
            <v>2.6621853201097565</v>
          </cell>
          <cell r="G61">
            <v>5.6999999999999993</v>
          </cell>
          <cell r="H61">
            <v>9.2198852208262387</v>
          </cell>
        </row>
        <row r="62">
          <cell r="C62">
            <v>135.99999999994179</v>
          </cell>
          <cell r="D62">
            <v>1005.7</v>
          </cell>
          <cell r="E62">
            <v>1.0057</v>
          </cell>
          <cell r="F62">
            <v>1.4629506148512519</v>
          </cell>
          <cell r="G62">
            <v>6.45</v>
          </cell>
          <cell r="H62">
            <v>10.015167660236951</v>
          </cell>
        </row>
        <row r="63">
          <cell r="C63">
            <v>142.33333333331393</v>
          </cell>
          <cell r="D63">
            <v>1003.9</v>
          </cell>
          <cell r="E63">
            <v>1.0039</v>
          </cell>
          <cell r="F63">
            <v>1.0010408029727387</v>
          </cell>
          <cell r="G63">
            <v>6.45</v>
          </cell>
          <cell r="H63">
            <v>10.321486982357719</v>
          </cell>
        </row>
        <row r="64">
          <cell r="C64">
            <v>159</v>
          </cell>
          <cell r="D64">
            <v>1001.9</v>
          </cell>
          <cell r="E64">
            <v>1.0019</v>
          </cell>
          <cell r="F64">
            <v>0.48608853199584701</v>
          </cell>
          <cell r="G64">
            <v>8.5</v>
          </cell>
          <cell r="H64">
            <v>10.662981851082613</v>
          </cell>
        </row>
        <row r="65">
          <cell r="C65">
            <v>165</v>
          </cell>
          <cell r="D65">
            <v>999.9</v>
          </cell>
          <cell r="E65">
            <v>0.99990000000000001</v>
          </cell>
          <cell r="F65">
            <v>-3.0681833200446818E-2</v>
          </cell>
          <cell r="G65">
            <v>9.7000000000000011</v>
          </cell>
          <cell r="H65">
            <v>11.005682404065595</v>
          </cell>
        </row>
        <row r="66">
          <cell r="C66">
            <v>183.50000000005821</v>
          </cell>
          <cell r="D66">
            <v>999</v>
          </cell>
          <cell r="E66">
            <v>0.999</v>
          </cell>
          <cell r="F66">
            <v>-0.26382398426017062</v>
          </cell>
          <cell r="G66">
            <v>9.7000000000000011</v>
          </cell>
          <cell r="H66">
            <v>11.160292554865283</v>
          </cell>
        </row>
        <row r="67">
          <cell r="C67">
            <v>189.99999999994179</v>
          </cell>
          <cell r="D67">
            <v>996.2</v>
          </cell>
          <cell r="E67">
            <v>0.99620000000000009</v>
          </cell>
          <cell r="F67">
            <v>-0.99152958994261553</v>
          </cell>
          <cell r="G67">
            <v>9.7999999999999989</v>
          </cell>
          <cell r="H67">
            <v>11.642876561750935</v>
          </cell>
        </row>
        <row r="68">
          <cell r="C68">
            <v>207.99999999994179</v>
          </cell>
          <cell r="D68">
            <v>995.3</v>
          </cell>
          <cell r="E68">
            <v>0.99529999999999996</v>
          </cell>
          <cell r="F68">
            <v>-1.2262009803170031</v>
          </cell>
          <cell r="G68">
            <v>5.6499999999999995</v>
          </cell>
          <cell r="H68">
            <v>11.798500840283317</v>
          </cell>
          <cell r="I68">
            <v>12.56</v>
          </cell>
        </row>
        <row r="69">
          <cell r="C69">
            <v>213</v>
          </cell>
          <cell r="D69">
            <v>993.6</v>
          </cell>
          <cell r="E69">
            <v>0.99360000000000004</v>
          </cell>
          <cell r="F69">
            <v>-1.6704902725483635</v>
          </cell>
          <cell r="G69">
            <v>4.3999999999999995</v>
          </cell>
          <cell r="H69">
            <v>12.093134968682435</v>
          </cell>
          <cell r="I69">
            <v>12.88</v>
          </cell>
        </row>
        <row r="70">
          <cell r="C70">
            <v>231</v>
          </cell>
          <cell r="D70">
            <v>994.1</v>
          </cell>
          <cell r="E70">
            <v>0.99409999999999998</v>
          </cell>
          <cell r="F70">
            <v>-1.5396781091309322</v>
          </cell>
          <cell r="G70">
            <v>11.7</v>
          </cell>
          <cell r="H70">
            <v>12.006385797756149</v>
          </cell>
        </row>
        <row r="71">
          <cell r="C71">
            <v>0</v>
          </cell>
          <cell r="D71">
            <v>1061.9000000000001</v>
          </cell>
          <cell r="E71">
            <v>1.0619000000000001</v>
          </cell>
          <cell r="F71">
            <v>15.183153267020771</v>
          </cell>
          <cell r="G71">
            <v>1.04</v>
          </cell>
          <cell r="H71">
            <v>1.04</v>
          </cell>
        </row>
        <row r="72">
          <cell r="C72">
            <v>0.50000000005820766</v>
          </cell>
          <cell r="D72">
            <v>1061.9000000000001</v>
          </cell>
          <cell r="E72">
            <v>1.0619000000000001</v>
          </cell>
          <cell r="F72">
            <v>15.183153267020771</v>
          </cell>
          <cell r="G72">
            <v>0</v>
          </cell>
          <cell r="H72">
            <v>1.04</v>
          </cell>
        </row>
        <row r="73">
          <cell r="C73">
            <v>15</v>
          </cell>
          <cell r="D73">
            <v>1059.7</v>
          </cell>
          <cell r="E73">
            <v>1.0597000000000001</v>
          </cell>
          <cell r="F73">
            <v>14.670426349441072</v>
          </cell>
          <cell r="G73">
            <v>0.85</v>
          </cell>
          <cell r="H73">
            <v>1.3800191071658661</v>
          </cell>
        </row>
        <row r="74">
          <cell r="C74">
            <v>21</v>
          </cell>
          <cell r="D74">
            <v>1056.0999999999999</v>
          </cell>
          <cell r="E74">
            <v>1.0560999999999998</v>
          </cell>
          <cell r="F74">
            <v>13.827328720120818</v>
          </cell>
          <cell r="G74">
            <v>1.1500000000000001</v>
          </cell>
          <cell r="H74">
            <v>1.9391262914118959</v>
          </cell>
        </row>
        <row r="75">
          <cell r="C75">
            <v>24</v>
          </cell>
          <cell r="D75">
            <v>1056.0999999999999</v>
          </cell>
          <cell r="E75">
            <v>1.0560999999999998</v>
          </cell>
          <cell r="F75">
            <v>13.827328720120818</v>
          </cell>
          <cell r="G75">
            <v>1.4</v>
          </cell>
          <cell r="H75">
            <v>1.9391262914118959</v>
          </cell>
        </row>
        <row r="76">
          <cell r="C76">
            <v>39.999999999941792</v>
          </cell>
          <cell r="D76">
            <v>1051.9000000000001</v>
          </cell>
          <cell r="E76">
            <v>1.0519000000000001</v>
          </cell>
          <cell r="F76">
            <v>12.837238061065023</v>
          </cell>
          <cell r="G76">
            <v>2</v>
          </cell>
          <cell r="H76">
            <v>2.5957131222624268</v>
          </cell>
        </row>
        <row r="77">
          <cell r="C77">
            <v>44.499999999941792</v>
          </cell>
          <cell r="D77">
            <v>1048.5999999999999</v>
          </cell>
          <cell r="E77">
            <v>1.0486</v>
          </cell>
          <cell r="F77">
            <v>12.054366404520692</v>
          </cell>
          <cell r="G77">
            <v>1.2500000000000004</v>
          </cell>
          <cell r="H77">
            <v>3.1148809532399939</v>
          </cell>
          <cell r="I77">
            <v>5.96</v>
          </cell>
        </row>
        <row r="78">
          <cell r="C78">
            <v>46.666666666686069</v>
          </cell>
          <cell r="D78">
            <v>1047.9000000000001</v>
          </cell>
          <cell r="E78">
            <v>1.0479000000000001</v>
          </cell>
          <cell r="F78">
            <v>11.887739290580043</v>
          </cell>
          <cell r="G78">
            <v>2.0499999999999998</v>
          </cell>
          <cell r="H78">
            <v>3.2253811056001784</v>
          </cell>
        </row>
        <row r="79">
          <cell r="C79">
            <v>63.999999999941792</v>
          </cell>
          <cell r="D79">
            <v>1036.7</v>
          </cell>
          <cell r="E79">
            <v>1.0367</v>
          </cell>
          <cell r="F79">
            <v>9.1945165988040571</v>
          </cell>
          <cell r="G79">
            <v>3.45</v>
          </cell>
          <cell r="H79">
            <v>5.0114140671214109</v>
          </cell>
        </row>
        <row r="80">
          <cell r="C80">
            <v>68.499999999941792</v>
          </cell>
          <cell r="D80">
            <v>1031.8</v>
          </cell>
          <cell r="E80">
            <v>1.0318000000000001</v>
          </cell>
          <cell r="F80">
            <v>7.9998964360264608</v>
          </cell>
          <cell r="G80">
            <v>2.9000000000000004</v>
          </cell>
          <cell r="H80">
            <v>5.8036363344199504</v>
          </cell>
        </row>
        <row r="81">
          <cell r="C81">
            <v>90</v>
          </cell>
          <cell r="D81">
            <v>1022.8</v>
          </cell>
          <cell r="E81">
            <v>1.0227999999999999</v>
          </cell>
          <cell r="F81">
            <v>5.7792195736191161</v>
          </cell>
          <cell r="G81">
            <v>5</v>
          </cell>
          <cell r="H81">
            <v>7.2762966106229712</v>
          </cell>
        </row>
        <row r="82">
          <cell r="C82">
            <v>118.5</v>
          </cell>
          <cell r="D82">
            <v>1011.7</v>
          </cell>
          <cell r="E82">
            <v>1.0117</v>
          </cell>
          <cell r="F82">
            <v>2.9921473470659521</v>
          </cell>
          <cell r="G82">
            <v>5</v>
          </cell>
          <cell r="H82">
            <v>9.1245666693761969</v>
          </cell>
          <cell r="I82">
            <v>10.56</v>
          </cell>
        </row>
        <row r="83">
          <cell r="C83">
            <v>135.99999999994179</v>
          </cell>
          <cell r="D83">
            <v>1006.8</v>
          </cell>
          <cell r="E83">
            <v>1.0067999999999999</v>
          </cell>
          <cell r="F83">
            <v>1.7445100960620721</v>
          </cell>
          <cell r="G83">
            <v>8.6499999999999986</v>
          </cell>
          <cell r="H83">
            <v>9.9519476583746425</v>
          </cell>
          <cell r="I83">
            <v>11.040000000000001</v>
          </cell>
        </row>
        <row r="84">
          <cell r="C84">
            <v>142.33333333331393</v>
          </cell>
          <cell r="D84">
            <v>1005.1</v>
          </cell>
          <cell r="E84">
            <v>1.0051000000000001</v>
          </cell>
          <cell r="F84">
            <v>1.3091431236966855</v>
          </cell>
          <cell r="G84">
            <v>7.2</v>
          </cell>
          <cell r="H84">
            <v>10.240664876366566</v>
          </cell>
        </row>
        <row r="85">
          <cell r="C85">
            <v>159</v>
          </cell>
          <cell r="D85">
            <v>1003.2</v>
          </cell>
          <cell r="E85">
            <v>1.0032000000000001</v>
          </cell>
          <cell r="F85">
            <v>0.82101376842047102</v>
          </cell>
          <cell r="G85">
            <v>8.35</v>
          </cell>
          <cell r="H85">
            <v>10.564371906116314</v>
          </cell>
        </row>
        <row r="86">
          <cell r="C86">
            <v>165</v>
          </cell>
          <cell r="D86">
            <v>1001</v>
          </cell>
          <cell r="E86">
            <v>1.0009999999999999</v>
          </cell>
          <cell r="F86">
            <v>0.2537673806600651</v>
          </cell>
          <cell r="G86">
            <v>7.75</v>
          </cell>
          <cell r="H86">
            <v>10.940546052033621</v>
          </cell>
        </row>
        <row r="87">
          <cell r="C87">
            <v>183.50000000005821</v>
          </cell>
          <cell r="D87">
            <v>999.8</v>
          </cell>
          <cell r="E87">
            <v>0.99979999999999991</v>
          </cell>
          <cell r="F87">
            <v>-5.6568233531606893E-2</v>
          </cell>
          <cell r="G87">
            <v>10.150000000000002</v>
          </cell>
          <cell r="H87">
            <v>11.146347688033785</v>
          </cell>
        </row>
        <row r="88">
          <cell r="C88">
            <v>189.99999999994179</v>
          </cell>
          <cell r="D88">
            <v>997.4</v>
          </cell>
          <cell r="E88">
            <v>0.99739999999999995</v>
          </cell>
          <cell r="F88">
            <v>-0.67921482708686653</v>
          </cell>
          <cell r="G88">
            <v>9.5500000000000007</v>
          </cell>
          <cell r="H88">
            <v>11.559260939828526</v>
          </cell>
        </row>
        <row r="89">
          <cell r="C89">
            <v>207.99999999994179</v>
          </cell>
          <cell r="D89">
            <v>996.4</v>
          </cell>
          <cell r="E89">
            <v>0.99639999999999995</v>
          </cell>
          <cell r="F89">
            <v>-0.93943110418649667</v>
          </cell>
          <cell r="G89">
            <v>8.35</v>
          </cell>
          <cell r="H89">
            <v>11.731825521822973</v>
          </cell>
          <cell r="I89">
            <v>12.040000000000001</v>
          </cell>
        </row>
        <row r="90">
          <cell r="C90">
            <v>213</v>
          </cell>
          <cell r="D90">
            <v>994.8</v>
          </cell>
          <cell r="E90">
            <v>0.99479999999999991</v>
          </cell>
          <cell r="F90">
            <v>-1.3567355360218016</v>
          </cell>
          <cell r="G90">
            <v>6.5</v>
          </cell>
          <cell r="H90">
            <v>12.008564416279285</v>
          </cell>
          <cell r="I90">
            <v>3.08</v>
          </cell>
        </row>
        <row r="91">
          <cell r="C91">
            <v>231</v>
          </cell>
          <cell r="D91">
            <v>995.1</v>
          </cell>
          <cell r="E91">
            <v>0.99509999999999998</v>
          </cell>
          <cell r="F91">
            <v>-1.2784009424664191</v>
          </cell>
          <cell r="G91">
            <v>11.7</v>
          </cell>
          <cell r="H91">
            <v>11.956616180975722</v>
          </cell>
        </row>
        <row r="92">
          <cell r="C92">
            <v>0</v>
          </cell>
          <cell r="D92">
            <v>1058.9000000000001</v>
          </cell>
          <cell r="E92">
            <v>1.0589000000000002</v>
          </cell>
          <cell r="F92">
            <v>14.483511314989414</v>
          </cell>
          <cell r="G92">
            <v>0.94</v>
          </cell>
          <cell r="H92">
            <v>0.94</v>
          </cell>
        </row>
        <row r="93">
          <cell r="C93">
            <v>15</v>
          </cell>
          <cell r="D93">
            <v>1058.2</v>
          </cell>
          <cell r="E93">
            <v>1.0582</v>
          </cell>
          <cell r="F93">
            <v>14.319754814846988</v>
          </cell>
          <cell r="G93">
            <v>2.1</v>
          </cell>
          <cell r="H93">
            <v>1.0485964810154127</v>
          </cell>
        </row>
        <row r="94">
          <cell r="C94">
            <v>21</v>
          </cell>
          <cell r="D94">
            <v>1056.5</v>
          </cell>
          <cell r="E94">
            <v>1.0565</v>
          </cell>
          <cell r="F94">
            <v>13.921258220313803</v>
          </cell>
          <cell r="G94">
            <v>2.25</v>
          </cell>
          <cell r="H94">
            <v>1.3128628022013884</v>
          </cell>
        </row>
        <row r="95">
          <cell r="C95">
            <v>39</v>
          </cell>
          <cell r="D95">
            <v>1047.3</v>
          </cell>
          <cell r="E95">
            <v>1.0472999999999999</v>
          </cell>
          <cell r="F95">
            <v>11.744758440110218</v>
          </cell>
          <cell r="G95">
            <v>2.95</v>
          </cell>
          <cell r="H95">
            <v>2.7562266800038309</v>
          </cell>
        </row>
        <row r="96">
          <cell r="C96">
            <v>42</v>
          </cell>
          <cell r="D96">
            <v>1044.9000000000001</v>
          </cell>
          <cell r="E96">
            <v>1.0449000000000002</v>
          </cell>
          <cell r="F96">
            <v>11.171375316422541</v>
          </cell>
          <cell r="G96">
            <v>3.0500000000000003</v>
          </cell>
          <cell r="H96">
            <v>3.1364704532400087</v>
          </cell>
        </row>
        <row r="97">
          <cell r="C97">
            <v>45.500000000058208</v>
          </cell>
          <cell r="D97">
            <v>1041.7</v>
          </cell>
          <cell r="E97">
            <v>1.0417000000000001</v>
          </cell>
          <cell r="F97">
            <v>10.403211127403097</v>
          </cell>
          <cell r="G97">
            <v>4.3999999999999995</v>
          </cell>
          <cell r="H97">
            <v>3.6458849051672058</v>
          </cell>
        </row>
        <row r="98">
          <cell r="C98">
            <v>63</v>
          </cell>
          <cell r="D98">
            <v>1025.9000000000001</v>
          </cell>
          <cell r="E98">
            <v>1.0259</v>
          </cell>
          <cell r="F98">
            <v>6.5480263774878722</v>
          </cell>
          <cell r="G98">
            <v>5.7499999999999991</v>
          </cell>
          <cell r="H98">
            <v>6.2024826410796781</v>
          </cell>
        </row>
        <row r="99">
          <cell r="C99">
            <v>68.499999999941792</v>
          </cell>
          <cell r="D99">
            <v>1023.2</v>
          </cell>
          <cell r="E99">
            <v>1.0232000000000001</v>
          </cell>
          <cell r="F99">
            <v>5.8786528490898036</v>
          </cell>
          <cell r="G99">
            <v>6.85</v>
          </cell>
          <cell r="H99">
            <v>6.6463832471971607</v>
          </cell>
          <cell r="I99">
            <v>8.84</v>
          </cell>
        </row>
        <row r="100">
          <cell r="C100">
            <v>87.999999999941792</v>
          </cell>
          <cell r="D100">
            <v>1013.3</v>
          </cell>
          <cell r="E100">
            <v>1.0132999999999999</v>
          </cell>
          <cell r="F100">
            <v>3.397225106980045</v>
          </cell>
          <cell r="G100">
            <v>5.3999999999999995</v>
          </cell>
          <cell r="H100">
            <v>8.2919626315438411</v>
          </cell>
          <cell r="I100">
            <v>10.16</v>
          </cell>
        </row>
        <row r="101">
          <cell r="C101">
            <v>119.00000000005821</v>
          </cell>
          <cell r="D101">
            <v>1003.7</v>
          </cell>
          <cell r="E101">
            <v>1.0037</v>
          </cell>
          <cell r="F101">
            <v>0.94962714050927843</v>
          </cell>
          <cell r="G101">
            <v>10.050000000000001</v>
          </cell>
          <cell r="H101">
            <v>9.9151075196431044</v>
          </cell>
          <cell r="I101">
            <v>11.24</v>
          </cell>
        </row>
        <row r="102">
          <cell r="C102">
            <v>135</v>
          </cell>
          <cell r="D102">
            <v>999.7</v>
          </cell>
          <cell r="E102">
            <v>0.99970000000000003</v>
          </cell>
          <cell r="F102">
            <v>-8.2459202088443817E-2</v>
          </cell>
          <cell r="G102">
            <v>9.7999999999999989</v>
          </cell>
          <cell r="H102">
            <v>10.599544136282434</v>
          </cell>
        </row>
        <row r="103">
          <cell r="C103">
            <v>141</v>
          </cell>
          <cell r="D103">
            <v>997.7</v>
          </cell>
          <cell r="E103">
            <v>0.99770000000000003</v>
          </cell>
          <cell r="F103">
            <v>-0.60123958651411158</v>
          </cell>
          <cell r="G103">
            <v>4.7</v>
          </cell>
          <cell r="H103">
            <v>10.943577650185402</v>
          </cell>
          <cell r="I103">
            <v>9.56</v>
          </cell>
        </row>
        <row r="104">
          <cell r="C104">
            <v>159</v>
          </cell>
          <cell r="D104">
            <v>996.3</v>
          </cell>
          <cell r="E104">
            <v>0.99629999999999996</v>
          </cell>
          <cell r="F104">
            <v>-0.96547804379338231</v>
          </cell>
          <cell r="G104">
            <v>9.4</v>
          </cell>
          <cell r="H104">
            <v>11.185125403566847</v>
          </cell>
        </row>
        <row r="105">
          <cell r="C105">
            <v>165</v>
          </cell>
          <cell r="D105">
            <v>994.3</v>
          </cell>
          <cell r="E105">
            <v>0.99429999999999996</v>
          </cell>
          <cell r="F105">
            <v>-1.4873856658153954</v>
          </cell>
          <cell r="G105">
            <v>8.8000000000000007</v>
          </cell>
          <cell r="H105">
            <v>11.531232771014356</v>
          </cell>
          <cell r="I105">
            <v>-1.2</v>
          </cell>
        </row>
        <row r="106">
          <cell r="C106">
            <v>183</v>
          </cell>
          <cell r="D106">
            <v>993.8</v>
          </cell>
          <cell r="E106">
            <v>0.99379999999999991</v>
          </cell>
          <cell r="F106">
            <v>-1.6181515065426311</v>
          </cell>
          <cell r="G106">
            <v>10.3</v>
          </cell>
          <cell r="H106">
            <v>11.617951222664512</v>
          </cell>
        </row>
        <row r="107">
          <cell r="C107">
            <v>189</v>
          </cell>
          <cell r="D107">
            <v>991.8</v>
          </cell>
          <cell r="E107">
            <v>0.9917999999999999</v>
          </cell>
          <cell r="F107">
            <v>-2.1423747156924264</v>
          </cell>
          <cell r="G107">
            <v>11.7</v>
          </cell>
          <cell r="H107">
            <v>11.965594190917749</v>
          </cell>
        </row>
        <row r="108">
          <cell r="C108">
            <v>0</v>
          </cell>
          <cell r="D108">
            <v>1059.0999999999999</v>
          </cell>
          <cell r="E108">
            <v>1.0590999999999999</v>
          </cell>
          <cell r="F108">
            <v>14.530263579039115</v>
          </cell>
          <cell r="G108">
            <v>0.94</v>
          </cell>
          <cell r="H108">
            <v>0.94</v>
          </cell>
        </row>
        <row r="109">
          <cell r="C109">
            <v>15</v>
          </cell>
          <cell r="D109">
            <v>1058.4000000000001</v>
          </cell>
          <cell r="E109">
            <v>1.0584</v>
          </cell>
          <cell r="F109">
            <v>14.366562014321516</v>
          </cell>
          <cell r="G109">
            <v>3.85</v>
          </cell>
          <cell r="H109">
            <v>1.0485600501328878</v>
          </cell>
          <cell r="I109">
            <v>5.28</v>
          </cell>
        </row>
        <row r="110">
          <cell r="C110">
            <v>21</v>
          </cell>
          <cell r="D110">
            <v>1056.4000000000001</v>
          </cell>
          <cell r="E110">
            <v>1.0564</v>
          </cell>
          <cell r="F110">
            <v>13.89778176924699</v>
          </cell>
          <cell r="G110">
            <v>3.7</v>
          </cell>
          <cell r="H110">
            <v>1.3594355570004597</v>
          </cell>
        </row>
        <row r="111">
          <cell r="C111">
            <v>39</v>
          </cell>
          <cell r="D111">
            <v>1046.0999999999999</v>
          </cell>
          <cell r="E111">
            <v>1.0460999999999998</v>
          </cell>
          <cell r="F111">
            <v>11.458359295564264</v>
          </cell>
          <cell r="G111">
            <v>2.65</v>
          </cell>
          <cell r="H111">
            <v>2.9771587992622996</v>
          </cell>
          <cell r="I111">
            <v>0.48</v>
          </cell>
        </row>
        <row r="112">
          <cell r="C112">
            <v>42</v>
          </cell>
          <cell r="D112">
            <v>1043.5999999999999</v>
          </cell>
          <cell r="E112">
            <v>1.0435999999999999</v>
          </cell>
          <cell r="F112">
            <v>10.859813842005906</v>
          </cell>
          <cell r="G112">
            <v>2.25</v>
          </cell>
          <cell r="H112">
            <v>3.3740891802101007</v>
          </cell>
          <cell r="J112">
            <v>3.5199999999999996</v>
          </cell>
        </row>
        <row r="113">
          <cell r="C113">
            <v>45.500000000058208</v>
          </cell>
          <cell r="D113">
            <v>1040.5999999999999</v>
          </cell>
          <cell r="E113">
            <v>1.0406</v>
          </cell>
          <cell r="F113">
            <v>10.138184598127623</v>
          </cell>
          <cell r="G113">
            <v>2.65</v>
          </cell>
          <cell r="H113">
            <v>3.8526435973772721</v>
          </cell>
          <cell r="J113">
            <v>3.96</v>
          </cell>
        </row>
        <row r="114">
          <cell r="C114">
            <v>63</v>
          </cell>
          <cell r="D114">
            <v>1024.8</v>
          </cell>
          <cell r="E114">
            <v>1.0247999999999999</v>
          </cell>
          <cell r="F114">
            <v>6.275696723373585</v>
          </cell>
          <cell r="G114">
            <v>6.5</v>
          </cell>
          <cell r="H114">
            <v>6.4140844610875511</v>
          </cell>
        </row>
        <row r="115">
          <cell r="C115">
            <v>68.499999999941792</v>
          </cell>
          <cell r="D115">
            <v>1022.7</v>
          </cell>
          <cell r="E115">
            <v>1.0226999999999999</v>
          </cell>
          <cell r="F115">
            <v>5.7543504664118927</v>
          </cell>
          <cell r="G115">
            <v>5.4499999999999993</v>
          </cell>
          <cell r="H115">
            <v>6.759819554640206</v>
          </cell>
        </row>
        <row r="116">
          <cell r="C116">
            <v>87.999999999941792</v>
          </cell>
          <cell r="D116">
            <v>1012.7</v>
          </cell>
          <cell r="E116">
            <v>1.0127000000000002</v>
          </cell>
          <cell r="F116">
            <v>3.2454538008449845</v>
          </cell>
          <cell r="G116">
            <v>2.8500000000000005</v>
          </cell>
          <cell r="H116">
            <v>8.4236151833627346</v>
          </cell>
          <cell r="J116">
            <v>6.6399999999999988</v>
          </cell>
        </row>
        <row r="117">
          <cell r="C117">
            <v>119.00000000005821</v>
          </cell>
          <cell r="D117">
            <v>1002.4</v>
          </cell>
          <cell r="E117">
            <v>1.0024</v>
          </cell>
          <cell r="F117">
            <v>0.61499670396017336</v>
          </cell>
          <cell r="G117">
            <v>7.05</v>
          </cell>
          <cell r="H117">
            <v>10.168024620150033</v>
          </cell>
        </row>
        <row r="118">
          <cell r="C118">
            <v>135</v>
          </cell>
          <cell r="D118">
            <v>998.8</v>
          </cell>
          <cell r="E118">
            <v>0.99879999999999991</v>
          </cell>
          <cell r="F118">
            <v>-0.31568366988301477</v>
          </cell>
          <cell r="G118">
            <v>4.4999999999999991</v>
          </cell>
          <cell r="H118">
            <v>10.785213027703781</v>
          </cell>
          <cell r="I118">
            <v>11.440000000000001</v>
          </cell>
        </row>
        <row r="119">
          <cell r="C119">
            <v>141</v>
          </cell>
          <cell r="D119">
            <v>997.3</v>
          </cell>
          <cell r="E119">
            <v>0.99729999999999996</v>
          </cell>
          <cell r="F119">
            <v>-0.70521576148428267</v>
          </cell>
          <cell r="G119">
            <v>5.85</v>
          </cell>
          <cell r="H119">
            <v>11.043534464432579</v>
          </cell>
          <cell r="I119">
            <v>12.16</v>
          </cell>
        </row>
        <row r="120">
          <cell r="C120">
            <v>159</v>
          </cell>
          <cell r="D120">
            <v>996</v>
          </cell>
          <cell r="E120">
            <v>0.996</v>
          </cell>
          <cell r="F120">
            <v>-1.0436465062464322</v>
          </cell>
          <cell r="G120">
            <v>8.1</v>
          </cell>
          <cell r="H120">
            <v>11.267967619248598</v>
          </cell>
        </row>
        <row r="121">
          <cell r="C121">
            <v>165</v>
          </cell>
          <cell r="D121">
            <v>993.3</v>
          </cell>
          <cell r="E121">
            <v>0.99329999999999996</v>
          </cell>
          <cell r="F121">
            <v>-1.7490331950490372</v>
          </cell>
          <cell r="G121">
            <v>8.0500000000000007</v>
          </cell>
          <cell r="H121">
            <v>11.735750651326423</v>
          </cell>
        </row>
        <row r="122">
          <cell r="C122">
            <v>183</v>
          </cell>
          <cell r="D122">
            <v>993.3</v>
          </cell>
          <cell r="E122">
            <v>0.99329999999999996</v>
          </cell>
          <cell r="F122">
            <v>-1.7490331950490372</v>
          </cell>
          <cell r="G122">
            <v>1.55</v>
          </cell>
          <cell r="H122">
            <v>11.735750651326423</v>
          </cell>
          <cell r="I122">
            <v>12</v>
          </cell>
        </row>
        <row r="123">
          <cell r="C123">
            <v>189</v>
          </cell>
          <cell r="D123">
            <v>991.1</v>
          </cell>
          <cell r="E123">
            <v>0.99109999999999998</v>
          </cell>
          <cell r="F123">
            <v>-2.3262923642923852</v>
          </cell>
          <cell r="G123">
            <v>11.7</v>
          </cell>
          <cell r="H123">
            <v>12.118564856314839</v>
          </cell>
          <cell r="J123">
            <v>11.93</v>
          </cell>
        </row>
        <row r="124">
          <cell r="C124">
            <v>0</v>
          </cell>
          <cell r="D124">
            <v>1059</v>
          </cell>
          <cell r="E124">
            <v>1.0589999999999999</v>
          </cell>
          <cell r="F124">
            <v>14.506889407077892</v>
          </cell>
          <cell r="G124">
            <v>0.94</v>
          </cell>
          <cell r="H124">
            <v>0.94</v>
          </cell>
        </row>
        <row r="125">
          <cell r="C125">
            <v>4.0000000001164153</v>
          </cell>
          <cell r="D125">
            <v>1059.7</v>
          </cell>
          <cell r="E125">
            <v>1.0597000000000001</v>
          </cell>
          <cell r="F125">
            <v>14.670426349441072</v>
          </cell>
          <cell r="G125">
            <v>1.9</v>
          </cell>
          <cell r="H125">
            <v>0.83154912054657071</v>
          </cell>
        </row>
        <row r="126">
          <cell r="C126">
            <v>17.000000000058208</v>
          </cell>
          <cell r="D126">
            <v>1059.3</v>
          </cell>
          <cell r="E126">
            <v>1.0592999999999999</v>
          </cell>
          <cell r="F126">
            <v>14.57700016695901</v>
          </cell>
          <cell r="G126">
            <v>2.1</v>
          </cell>
          <cell r="H126">
            <v>0.8935054681934218</v>
          </cell>
        </row>
        <row r="127">
          <cell r="C127">
            <v>23.000000000058208</v>
          </cell>
          <cell r="D127">
            <v>1057.9000000000001</v>
          </cell>
          <cell r="E127">
            <v>1.0579000000000001</v>
          </cell>
          <cell r="F127">
            <v>14.249514546258297</v>
          </cell>
          <cell r="G127">
            <v>1.95</v>
          </cell>
          <cell r="H127">
            <v>1.1106802732259808</v>
          </cell>
        </row>
        <row r="128">
          <cell r="C128">
            <v>41.500000000116415</v>
          </cell>
          <cell r="D128">
            <v>1058</v>
          </cell>
          <cell r="E128">
            <v>1.0580000000000001</v>
          </cell>
          <cell r="F128">
            <v>14.272931899831065</v>
          </cell>
          <cell r="G128">
            <v>1.75</v>
          </cell>
          <cell r="H128">
            <v>1.095150861016484</v>
          </cell>
        </row>
        <row r="129">
          <cell r="C129">
            <v>43.5</v>
          </cell>
          <cell r="D129">
            <v>1057.5</v>
          </cell>
          <cell r="E129">
            <v>1.0575000000000001</v>
          </cell>
          <cell r="F129">
            <v>14.155805799323502</v>
          </cell>
          <cell r="G129">
            <v>1.35</v>
          </cell>
          <cell r="H129">
            <v>1.1728240058328185</v>
          </cell>
        </row>
        <row r="130">
          <cell r="C130">
            <v>48</v>
          </cell>
          <cell r="D130">
            <v>1056.4000000000001</v>
          </cell>
          <cell r="E130">
            <v>1.0564</v>
          </cell>
          <cell r="F130">
            <v>13.89778176924699</v>
          </cell>
          <cell r="G130">
            <v>5.15</v>
          </cell>
          <cell r="H130">
            <v>1.3439347810347411</v>
          </cell>
          <cell r="J130">
            <v>2.04</v>
          </cell>
        </row>
        <row r="131">
          <cell r="C131">
            <v>65.500000000116415</v>
          </cell>
          <cell r="D131">
            <v>1053.5</v>
          </cell>
          <cell r="E131">
            <v>1.0535000000000001</v>
          </cell>
          <cell r="F131">
            <v>13.215242606485617</v>
          </cell>
          <cell r="G131">
            <v>1.4</v>
          </cell>
          <cell r="H131">
            <v>1.7965662867558851</v>
          </cell>
        </row>
        <row r="132">
          <cell r="C132">
            <v>71.000000000058208</v>
          </cell>
          <cell r="D132">
            <v>1051.9000000000001</v>
          </cell>
          <cell r="E132">
            <v>1.0519000000000001</v>
          </cell>
          <cell r="F132">
            <v>12.837238061065023</v>
          </cell>
          <cell r="G132">
            <v>2.7</v>
          </cell>
          <cell r="H132">
            <v>2.0472431356431313</v>
          </cell>
        </row>
        <row r="133">
          <cell r="C133">
            <v>89.000000000058208</v>
          </cell>
          <cell r="D133">
            <v>1047.2</v>
          </cell>
          <cell r="E133">
            <v>1.0472000000000001</v>
          </cell>
          <cell r="F133">
            <v>11.720914136001625</v>
          </cell>
          <cell r="G133">
            <v>1.9</v>
          </cell>
          <cell r="H133">
            <v>2.787542603632251</v>
          </cell>
        </row>
        <row r="134">
          <cell r="C134">
            <v>113.75000000005821</v>
          </cell>
          <cell r="D134">
            <v>1037</v>
          </cell>
          <cell r="E134">
            <v>1.0369999999999999</v>
          </cell>
          <cell r="F134">
            <v>9.2673304872453173</v>
          </cell>
          <cell r="G134">
            <v>2.8</v>
          </cell>
          <cell r="H134">
            <v>4.4146569465752652</v>
          </cell>
        </row>
        <row r="135">
          <cell r="C135">
            <v>120.50000000005821</v>
          </cell>
          <cell r="D135">
            <v>1033.4000000000001</v>
          </cell>
          <cell r="E135">
            <v>1.0334000000000001</v>
          </cell>
          <cell r="F135">
            <v>8.391083753309772</v>
          </cell>
          <cell r="G135">
            <v>3.45</v>
          </cell>
          <cell r="H135">
            <v>4.9957472344348997</v>
          </cell>
        </row>
        <row r="136">
          <cell r="C136">
            <v>141.50000000005821</v>
          </cell>
          <cell r="D136">
            <v>1025.2</v>
          </cell>
          <cell r="E136">
            <v>1.0252000000000001</v>
          </cell>
          <cell r="F136">
            <v>6.3747857353679365</v>
          </cell>
          <cell r="G136">
            <v>2.4</v>
          </cell>
          <cell r="H136">
            <v>6.3328719851250597</v>
          </cell>
          <cell r="J136">
            <v>4.5199999999999996</v>
          </cell>
        </row>
        <row r="137">
          <cell r="C137">
            <v>161.00000000005821</v>
          </cell>
          <cell r="D137">
            <v>1019.3</v>
          </cell>
          <cell r="E137">
            <v>1.0192999999999999</v>
          </cell>
          <cell r="F137">
            <v>4.9062247285772855</v>
          </cell>
          <cell r="G137">
            <v>5.95</v>
          </cell>
          <cell r="H137">
            <v>7.3067603947772515</v>
          </cell>
        </row>
        <row r="138">
          <cell r="C138">
            <v>167.00000000005821</v>
          </cell>
          <cell r="D138">
            <v>1017.3</v>
          </cell>
          <cell r="E138">
            <v>1.0172999999999999</v>
          </cell>
          <cell r="F138">
            <v>4.4049784310395808</v>
          </cell>
          <cell r="G138">
            <v>7.4</v>
          </cell>
          <cell r="H138">
            <v>7.6391660335595652</v>
          </cell>
        </row>
        <row r="139">
          <cell r="C139">
            <v>186.50000000005821</v>
          </cell>
          <cell r="D139">
            <v>1012.9</v>
          </cell>
          <cell r="E139">
            <v>1.0128999999999999</v>
          </cell>
          <cell r="F139">
            <v>3.2960619325514244</v>
          </cell>
          <cell r="G139">
            <v>6.8</v>
          </cell>
          <cell r="H139">
            <v>8.3745532051894465</v>
          </cell>
        </row>
        <row r="140">
          <cell r="C140">
            <v>191.00000000005821</v>
          </cell>
          <cell r="D140">
            <v>1010.7</v>
          </cell>
          <cell r="E140">
            <v>1.0107000000000002</v>
          </cell>
          <cell r="F140">
            <v>2.7383970983863719</v>
          </cell>
          <cell r="G140">
            <v>6</v>
          </cell>
          <cell r="H140">
            <v>8.7443732643852421</v>
          </cell>
        </row>
        <row r="141">
          <cell r="C141">
            <v>209.00000000005821</v>
          </cell>
          <cell r="D141">
            <v>1008.6</v>
          </cell>
          <cell r="E141">
            <v>1.0085999999999999</v>
          </cell>
          <cell r="F141">
            <v>2.204072153713355</v>
          </cell>
          <cell r="G141">
            <v>7.3</v>
          </cell>
          <cell r="H141">
            <v>9.0987152823190467</v>
          </cell>
        </row>
        <row r="142">
          <cell r="C142">
            <v>215.00000000005821</v>
          </cell>
          <cell r="D142">
            <v>1007</v>
          </cell>
          <cell r="E142">
            <v>1.0069999999999999</v>
          </cell>
          <cell r="F142">
            <v>1.7956442956141245</v>
          </cell>
          <cell r="G142">
            <v>6.65</v>
          </cell>
          <cell r="H142">
            <v>9.3695676032935555</v>
          </cell>
        </row>
        <row r="143">
          <cell r="C143">
            <v>241.5</v>
          </cell>
          <cell r="D143">
            <v>1003.7</v>
          </cell>
          <cell r="E143">
            <v>1.0037</v>
          </cell>
          <cell r="F143">
            <v>0.94962714050927843</v>
          </cell>
          <cell r="G143">
            <v>1</v>
          </cell>
          <cell r="H143">
            <v>9.9306108952737198</v>
          </cell>
          <cell r="J143">
            <v>9</v>
          </cell>
        </row>
        <row r="144">
          <cell r="C144">
            <v>258.50000000005821</v>
          </cell>
          <cell r="D144">
            <v>1002.5</v>
          </cell>
          <cell r="E144">
            <v>1.0024999999999999</v>
          </cell>
          <cell r="F144">
            <v>0.64076471468899854</v>
          </cell>
          <cell r="G144">
            <v>8.35</v>
          </cell>
          <cell r="H144">
            <v>10.135435574189023</v>
          </cell>
        </row>
        <row r="145">
          <cell r="C145">
            <v>284.00000000005821</v>
          </cell>
          <cell r="D145">
            <v>998.5</v>
          </cell>
          <cell r="E145">
            <v>0.99850000000000005</v>
          </cell>
          <cell r="F145">
            <v>-0.39350754485292327</v>
          </cell>
          <cell r="G145">
            <v>6.95</v>
          </cell>
          <cell r="H145">
            <v>10.821321799776552</v>
          </cell>
          <cell r="J145">
            <v>8.9600000000000009</v>
          </cell>
        </row>
        <row r="146">
          <cell r="C146">
            <v>308.00000000005821</v>
          </cell>
          <cell r="D146">
            <v>996</v>
          </cell>
          <cell r="E146">
            <v>0.996</v>
          </cell>
          <cell r="F146">
            <v>-1.0436465062464322</v>
          </cell>
          <cell r="G146">
            <v>10.1</v>
          </cell>
          <cell r="H146">
            <v>11.25246684328288</v>
          </cell>
        </row>
        <row r="147">
          <cell r="C147">
            <v>329.75000000005821</v>
          </cell>
          <cell r="D147">
            <v>996</v>
          </cell>
          <cell r="E147">
            <v>0.996</v>
          </cell>
          <cell r="F147">
            <v>-1.0436465062464322</v>
          </cell>
          <cell r="G147">
            <v>10.25</v>
          </cell>
          <cell r="H147">
            <v>11.25246684328288</v>
          </cell>
        </row>
        <row r="148">
          <cell r="C148">
            <v>335.00000000005821</v>
          </cell>
          <cell r="D148">
            <v>993.8</v>
          </cell>
          <cell r="E148">
            <v>0.99379999999999991</v>
          </cell>
          <cell r="F148">
            <v>-1.6181515065426311</v>
          </cell>
          <cell r="G148">
            <v>10.5</v>
          </cell>
          <cell r="H148">
            <v>11.633454598295128</v>
          </cell>
        </row>
        <row r="149">
          <cell r="C149">
            <v>354</v>
          </cell>
          <cell r="D149">
            <v>994.4</v>
          </cell>
          <cell r="E149">
            <v>0.99439999999999995</v>
          </cell>
          <cell r="F149">
            <v>-1.4612463873610295</v>
          </cell>
          <cell r="G149">
            <v>11.25</v>
          </cell>
          <cell r="H149">
            <v>11.529401667378762</v>
          </cell>
        </row>
        <row r="150">
          <cell r="C150">
            <v>359.50000000011642</v>
          </cell>
          <cell r="D150">
            <v>993.1</v>
          </cell>
          <cell r="E150">
            <v>0.99309999999999998</v>
          </cell>
          <cell r="F150">
            <v>-1.8014183384831313</v>
          </cell>
          <cell r="G150">
            <v>11.3</v>
          </cell>
          <cell r="H150">
            <v>11.754989517631286</v>
          </cell>
        </row>
        <row r="151">
          <cell r="C151">
            <v>378.50000000005821</v>
          </cell>
          <cell r="D151">
            <v>992.3</v>
          </cell>
          <cell r="E151">
            <v>0.99229999999999996</v>
          </cell>
          <cell r="F151">
            <v>-2.0111446627789746</v>
          </cell>
          <cell r="G151">
            <v>10.3</v>
          </cell>
          <cell r="H151">
            <v>11.894071268737452</v>
          </cell>
          <cell r="J151">
            <v>12.09</v>
          </cell>
        </row>
        <row r="152">
          <cell r="C152">
            <v>0</v>
          </cell>
          <cell r="D152">
            <v>1059</v>
          </cell>
          <cell r="E152">
            <v>1.0589999999999999</v>
          </cell>
          <cell r="F152">
            <v>14.506889407077892</v>
          </cell>
          <cell r="G152">
            <v>0.94</v>
          </cell>
          <cell r="H152">
            <v>0.94</v>
          </cell>
        </row>
        <row r="153">
          <cell r="C153">
            <v>4.0000000001164153</v>
          </cell>
          <cell r="D153">
            <v>1059.3</v>
          </cell>
          <cell r="E153">
            <v>1.0592999999999999</v>
          </cell>
          <cell r="F153">
            <v>14.57700016695901</v>
          </cell>
          <cell r="G153">
            <v>2.0499999999999998</v>
          </cell>
          <cell r="H153">
            <v>0.8935054681934218</v>
          </cell>
        </row>
        <row r="154">
          <cell r="C154">
            <v>17.000000000058208</v>
          </cell>
          <cell r="D154">
            <v>1059.4000000000001</v>
          </cell>
          <cell r="E154">
            <v>1.0594000000000001</v>
          </cell>
          <cell r="F154">
            <v>14.600362585107064</v>
          </cell>
          <cell r="G154">
            <v>2.1</v>
          </cell>
          <cell r="H154">
            <v>0.87801248686637445</v>
          </cell>
        </row>
        <row r="155">
          <cell r="C155">
            <v>23.000000000058208</v>
          </cell>
          <cell r="D155">
            <v>1058.5</v>
          </cell>
          <cell r="E155">
            <v>1.0585</v>
          </cell>
          <cell r="F155">
            <v>14.389959723467541</v>
          </cell>
          <cell r="G155">
            <v>1.9</v>
          </cell>
          <cell r="H155">
            <v>1.0175428893221679</v>
          </cell>
        </row>
        <row r="156">
          <cell r="C156">
            <v>41.500000000116415</v>
          </cell>
          <cell r="D156">
            <v>1058.5999999999999</v>
          </cell>
          <cell r="E156">
            <v>1.0586</v>
          </cell>
          <cell r="F156">
            <v>14.41335350701263</v>
          </cell>
          <cell r="G156">
            <v>1.4</v>
          </cell>
          <cell r="H156">
            <v>1.0020291077719801</v>
          </cell>
        </row>
        <row r="157">
          <cell r="C157">
            <v>43.5</v>
          </cell>
          <cell r="D157">
            <v>1058.4000000000001</v>
          </cell>
          <cell r="E157">
            <v>1.0584</v>
          </cell>
          <cell r="F157">
            <v>14.366562014321516</v>
          </cell>
          <cell r="G157">
            <v>1.55</v>
          </cell>
          <cell r="H157">
            <v>1.0330592741671694</v>
          </cell>
        </row>
        <row r="158">
          <cell r="C158">
            <v>48</v>
          </cell>
          <cell r="D158">
            <v>1055.2</v>
          </cell>
          <cell r="E158">
            <v>1.0552000000000001</v>
          </cell>
          <cell r="F158">
            <v>13.615756053243445</v>
          </cell>
          <cell r="G158">
            <v>1.65</v>
          </cell>
          <cell r="H158">
            <v>1.5309624732924503</v>
          </cell>
        </row>
        <row r="159">
          <cell r="C159">
            <v>65.500000000116415</v>
          </cell>
          <cell r="D159">
            <v>1058</v>
          </cell>
          <cell r="E159">
            <v>1.0580000000000001</v>
          </cell>
          <cell r="F159">
            <v>14.272931899831065</v>
          </cell>
          <cell r="G159">
            <v>1.35</v>
          </cell>
          <cell r="H159">
            <v>1.095150861016484</v>
          </cell>
        </row>
        <row r="160">
          <cell r="C160">
            <v>71.000000000058208</v>
          </cell>
          <cell r="D160">
            <v>1056.3</v>
          </cell>
          <cell r="E160">
            <v>1.0563</v>
          </cell>
          <cell r="F160">
            <v>13.874301369588807</v>
          </cell>
          <cell r="G160">
            <v>1.5</v>
          </cell>
          <cell r="H160">
            <v>1.359506002778589</v>
          </cell>
        </row>
        <row r="161">
          <cell r="C161">
            <v>89.000000000058208</v>
          </cell>
          <cell r="D161">
            <v>1057.2</v>
          </cell>
          <cell r="E161">
            <v>1.0572000000000001</v>
          </cell>
          <cell r="F161">
            <v>14.085482909193047</v>
          </cell>
          <cell r="G161">
            <v>2</v>
          </cell>
          <cell r="H161">
            <v>1.2194592135733291</v>
          </cell>
        </row>
        <row r="162">
          <cell r="C162">
            <v>113.75000000005821</v>
          </cell>
          <cell r="D162">
            <v>1055.0999999999999</v>
          </cell>
          <cell r="E162">
            <v>1.0550999999999999</v>
          </cell>
          <cell r="F162">
            <v>13.592228185101817</v>
          </cell>
          <cell r="G162">
            <v>1.35</v>
          </cell>
          <cell r="H162">
            <v>1.5465651741547255</v>
          </cell>
          <cell r="J162">
            <v>2.4000000000000004</v>
          </cell>
        </row>
        <row r="163">
          <cell r="C163">
            <v>119.66666666680248</v>
          </cell>
          <cell r="D163">
            <v>1051.8</v>
          </cell>
          <cell r="E163">
            <v>1.0517999999999998</v>
          </cell>
          <cell r="F163">
            <v>12.813578841733602</v>
          </cell>
          <cell r="G163">
            <v>0</v>
          </cell>
          <cell r="H163">
            <v>2.0629329431361438</v>
          </cell>
        </row>
        <row r="164">
          <cell r="C164">
            <v>120.50000000005821</v>
          </cell>
          <cell r="D164">
            <v>1049.9000000000001</v>
          </cell>
          <cell r="E164">
            <v>1.0499000000000001</v>
          </cell>
          <cell r="F164">
            <v>12.363292625914596</v>
          </cell>
          <cell r="G164">
            <v>2.7</v>
          </cell>
          <cell r="H164">
            <v>2.3615439811417231</v>
          </cell>
        </row>
        <row r="165">
          <cell r="C165">
            <v>141.50000000005821</v>
          </cell>
          <cell r="D165">
            <v>1037.5999999999999</v>
          </cell>
          <cell r="E165">
            <v>1.0375999999999999</v>
          </cell>
          <cell r="F165">
            <v>9.4128459473727162</v>
          </cell>
          <cell r="G165">
            <v>4.7</v>
          </cell>
          <cell r="H165">
            <v>4.318157162509106</v>
          </cell>
        </row>
        <row r="166">
          <cell r="C166">
            <v>161.00000000005821</v>
          </cell>
          <cell r="D166">
            <v>1024.5</v>
          </cell>
          <cell r="E166">
            <v>1.0245</v>
          </cell>
          <cell r="F166">
            <v>6.2013348755880315</v>
          </cell>
          <cell r="G166">
            <v>5.2</v>
          </cell>
          <cell r="H166">
            <v>6.4478973611242587</v>
          </cell>
        </row>
        <row r="167">
          <cell r="C167">
            <v>167.00000000005821</v>
          </cell>
          <cell r="D167">
            <v>1021.2</v>
          </cell>
          <cell r="E167">
            <v>1.0212000000000001</v>
          </cell>
          <cell r="F167">
            <v>5.3807951421956659</v>
          </cell>
          <cell r="G167">
            <v>6.7</v>
          </cell>
          <cell r="H167">
            <v>6.9920450896250212</v>
          </cell>
          <cell r="J167">
            <v>6.3199999999999994</v>
          </cell>
        </row>
        <row r="168">
          <cell r="C168">
            <v>186.50000000005821</v>
          </cell>
          <cell r="D168">
            <v>1015.5</v>
          </cell>
          <cell r="E168">
            <v>1.0155000000000001</v>
          </cell>
          <cell r="F168">
            <v>3.9523602011547609</v>
          </cell>
          <cell r="G168">
            <v>5.9</v>
          </cell>
          <cell r="H168">
            <v>7.9393235660310477</v>
          </cell>
        </row>
        <row r="169">
          <cell r="C169">
            <v>191.00000000005821</v>
          </cell>
          <cell r="D169">
            <v>1013.7</v>
          </cell>
          <cell r="E169">
            <v>1.0137</v>
          </cell>
          <cell r="F169">
            <v>3.4983175544836058</v>
          </cell>
          <cell r="G169">
            <v>5.5</v>
          </cell>
          <cell r="H169">
            <v>8.2404257123063225</v>
          </cell>
          <cell r="J169">
            <v>7.3600000000000012</v>
          </cell>
        </row>
        <row r="170">
          <cell r="C170">
            <v>209.00000000005821</v>
          </cell>
          <cell r="D170">
            <v>1010.4</v>
          </cell>
          <cell r="E170">
            <v>1.0104</v>
          </cell>
          <cell r="F170">
            <v>2.6621853201097565</v>
          </cell>
          <cell r="G170">
            <v>6.25</v>
          </cell>
          <cell r="H170">
            <v>8.7949137371333101</v>
          </cell>
        </row>
        <row r="171">
          <cell r="C171">
            <v>215.00000000005821</v>
          </cell>
          <cell r="D171">
            <v>1009.4</v>
          </cell>
          <cell r="E171">
            <v>1.0094000000000001</v>
          </cell>
          <cell r="F171">
            <v>2.4078565013917341</v>
          </cell>
          <cell r="G171">
            <v>5.35</v>
          </cell>
          <cell r="H171">
            <v>8.9635740022804171</v>
          </cell>
          <cell r="J171">
            <v>7.9599999999999991</v>
          </cell>
        </row>
        <row r="172">
          <cell r="C172">
            <v>241.5</v>
          </cell>
          <cell r="D172">
            <v>1006.2</v>
          </cell>
          <cell r="E172">
            <v>1.0062</v>
          </cell>
          <cell r="F172">
            <v>1.5909996641587441</v>
          </cell>
          <cell r="G172">
            <v>7.3</v>
          </cell>
          <cell r="H172">
            <v>9.5052793876527808</v>
          </cell>
        </row>
        <row r="173">
          <cell r="C173">
            <v>258.50000000005821</v>
          </cell>
          <cell r="D173">
            <v>1004.6</v>
          </cell>
          <cell r="E173">
            <v>1.0045999999999999</v>
          </cell>
          <cell r="F173">
            <v>1.1808461938481969</v>
          </cell>
          <cell r="G173">
            <v>8.1999999999999993</v>
          </cell>
          <cell r="H173">
            <v>9.7772760626748134</v>
          </cell>
        </row>
        <row r="174">
          <cell r="C174">
            <v>284.00000000005821</v>
          </cell>
          <cell r="D174">
            <v>1000.2</v>
          </cell>
          <cell r="E174">
            <v>1.0002</v>
          </cell>
          <cell r="F174">
            <v>4.694996938769691E-2</v>
          </cell>
          <cell r="G174">
            <v>6.2</v>
          </cell>
          <cell r="H174">
            <v>10.529228746726899</v>
          </cell>
          <cell r="J174">
            <v>7.4799999999999995</v>
          </cell>
        </row>
        <row r="175">
          <cell r="C175">
            <v>308.00000000005821</v>
          </cell>
          <cell r="D175">
            <v>997.8</v>
          </cell>
          <cell r="E175">
            <v>0.99779999999999991</v>
          </cell>
          <cell r="F175">
            <v>-0.57525702354712394</v>
          </cell>
          <cell r="G175">
            <v>8.6</v>
          </cell>
          <cell r="H175">
            <v>10.94185047372482</v>
          </cell>
        </row>
        <row r="176">
          <cell r="C176">
            <v>329.75000000005821</v>
          </cell>
          <cell r="D176">
            <v>997.1</v>
          </cell>
          <cell r="E176">
            <v>0.99709999999999999</v>
          </cell>
          <cell r="F176">
            <v>-0.75723141815740291</v>
          </cell>
          <cell r="G176">
            <v>9</v>
          </cell>
          <cell r="H176">
            <v>11.062528302527943</v>
          </cell>
        </row>
        <row r="177">
          <cell r="C177">
            <v>335.00000000005821</v>
          </cell>
          <cell r="D177">
            <v>996.3</v>
          </cell>
          <cell r="E177">
            <v>0.99629999999999996</v>
          </cell>
          <cell r="F177">
            <v>-0.96547804379338231</v>
          </cell>
          <cell r="G177">
            <v>9.8000000000000007</v>
          </cell>
          <cell r="H177">
            <v>11.200628779197464</v>
          </cell>
        </row>
        <row r="178">
          <cell r="C178">
            <v>354</v>
          </cell>
          <cell r="D178">
            <v>995.4</v>
          </cell>
          <cell r="E178">
            <v>0.99539999999999995</v>
          </cell>
          <cell r="F178">
            <v>-1.2001079260244296</v>
          </cell>
          <cell r="G178">
            <v>11.15</v>
          </cell>
          <cell r="H178">
            <v>11.356225531260382</v>
          </cell>
        </row>
        <row r="179">
          <cell r="C179">
            <v>359.50000000011642</v>
          </cell>
          <cell r="D179">
            <v>994.1</v>
          </cell>
          <cell r="E179">
            <v>0.99409999999999998</v>
          </cell>
          <cell r="F179">
            <v>-1.5396781091309322</v>
          </cell>
          <cell r="G179">
            <v>11.2</v>
          </cell>
          <cell r="H179">
            <v>11.581414314063219</v>
          </cell>
          <cell r="J179">
            <v>9.7200000000000006</v>
          </cell>
        </row>
        <row r="180">
          <cell r="C180">
            <v>378.50000000005821</v>
          </cell>
          <cell r="D180">
            <v>993.5</v>
          </cell>
          <cell r="E180">
            <v>0.99350000000000005</v>
          </cell>
          <cell r="F180">
            <v>-1.6966666091550451</v>
          </cell>
          <cell r="G180">
            <v>9.1999999999999993</v>
          </cell>
          <cell r="H180">
            <v>11.685522539676731</v>
          </cell>
          <cell r="J180">
            <v>11.9</v>
          </cell>
        </row>
      </sheetData>
      <sheetData sheetId="1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Cristobal Luis Torrealba Vasquez" id="{B9E229BC-5EFC-4E90-981F-D9B6FDA47EDE}" userId="S::cristobal.torrealba@conchaytoro.cl::e179aac1-4763-41ee-8f79-42caa10a6b6e" providerId="AD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96" dT="2025-05-01T22:03:50.25" personId="{B9E229BC-5EFC-4E90-981F-D9B6FDA47EDE}" id="{31888C50-64C4-4D7E-B1AC-58B8B79D3E79}">
    <text>Se me cayeron 3- 5 ml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U37" dT="2025-05-16T17:19:40.52" personId="{B9E229BC-5EFC-4E90-981F-D9B6FDA47EDE}" id="{7C3A8DCB-84A4-4B86-BC9E-CE03F17F74E0}">
    <text>Revisar BDD Y15 por switch entre GLUFRU</text>
  </threadedComment>
  <threadedComment ref="T62" dT="2025-05-16T17:24:49.57" personId="{B9E229BC-5EFC-4E90-981F-D9B6FDA47EDE}" id="{F254C439-16DD-406E-B7A5-D8062C430E64}">
    <text>Revisar BDD Y15 por switch GLU/FRU</text>
  </threadedComment>
</ThreadedComment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5F668-F98C-46A7-810B-6279C3A40493}">
  <dimension ref="A1:K3"/>
  <sheetViews>
    <sheetView workbookViewId="0">
      <selection activeCell="J2" sqref="J2"/>
    </sheetView>
  </sheetViews>
  <sheetFormatPr baseColWidth="10" defaultColWidth="11.44140625" defaultRowHeight="14.4" x14ac:dyDescent="0.3"/>
  <cols>
    <col min="1" max="1" width="21.88671875" style="3" customWidth="1"/>
    <col min="2" max="2" width="25.5546875" style="3" customWidth="1"/>
    <col min="3" max="3" width="17.44140625" style="3" customWidth="1"/>
    <col min="4" max="4" width="15.6640625" style="4" customWidth="1"/>
    <col min="5" max="5" width="16.6640625" style="3" customWidth="1"/>
    <col min="6" max="6" width="11.44140625" style="3"/>
    <col min="7" max="7" width="14.88671875" style="3" bestFit="1" customWidth="1"/>
    <col min="8" max="8" width="19.6640625" style="3" customWidth="1"/>
    <col min="9" max="10" width="11.44140625" style="3"/>
    <col min="11" max="11" width="41.33203125" style="3" customWidth="1"/>
  </cols>
  <sheetData>
    <row r="1" spans="1:11" s="1" customFormat="1" x14ac:dyDescent="0.3">
      <c r="A1" s="6" t="s">
        <v>0</v>
      </c>
      <c r="B1" s="7" t="s">
        <v>1</v>
      </c>
      <c r="C1" s="8" t="s">
        <v>2</v>
      </c>
      <c r="D1" s="9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</row>
    <row r="2" spans="1:11" x14ac:dyDescent="0.3">
      <c r="A2" s="2">
        <v>45720</v>
      </c>
      <c r="B2" s="3" t="s">
        <v>11</v>
      </c>
      <c r="C2" s="3" t="s">
        <v>12</v>
      </c>
      <c r="D2" s="4">
        <v>1</v>
      </c>
      <c r="E2" s="3" t="s">
        <v>13</v>
      </c>
      <c r="F2" s="3" t="s">
        <v>14</v>
      </c>
      <c r="G2" s="3" t="s">
        <v>15</v>
      </c>
      <c r="H2" s="3" t="s">
        <v>16</v>
      </c>
      <c r="I2" s="3">
        <v>40</v>
      </c>
      <c r="J2" s="3">
        <v>222</v>
      </c>
      <c r="K2" s="5" t="s">
        <v>17</v>
      </c>
    </row>
    <row r="3" spans="1:11" x14ac:dyDescent="0.3">
      <c r="A3" s="2">
        <v>45720</v>
      </c>
      <c r="B3" s="3" t="s">
        <v>11</v>
      </c>
      <c r="C3" s="3" t="s">
        <v>12</v>
      </c>
      <c r="D3" s="4">
        <v>2</v>
      </c>
      <c r="E3" s="3" t="s">
        <v>13</v>
      </c>
      <c r="F3" s="3" t="s">
        <v>14</v>
      </c>
      <c r="G3" s="3" t="s">
        <v>15</v>
      </c>
      <c r="H3" s="3" t="s">
        <v>18</v>
      </c>
      <c r="I3" s="3">
        <v>40</v>
      </c>
      <c r="J3" s="3">
        <v>291</v>
      </c>
      <c r="K3" s="3" t="s">
        <v>19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67D19-E6FB-4C92-8A82-04F21D4ADF13}">
  <dimension ref="A1:AA71"/>
  <sheetViews>
    <sheetView zoomScale="85" zoomScaleNormal="85" workbookViewId="0">
      <pane xSplit="1" topLeftCell="B1" activePane="topRight" state="frozen"/>
      <selection pane="topRight" activeCell="AA7" sqref="AA7"/>
    </sheetView>
  </sheetViews>
  <sheetFormatPr baseColWidth="10" defaultColWidth="11.44140625" defaultRowHeight="14.4" x14ac:dyDescent="0.3"/>
  <cols>
    <col min="1" max="1" width="18.5546875" style="62" hidden="1" customWidth="1"/>
    <col min="2" max="2" width="19.88671875" style="1" customWidth="1"/>
    <col min="3" max="3" width="10.5546875" style="19" bestFit="1" customWidth="1"/>
    <col min="4" max="4" width="19.109375" style="19" bestFit="1" customWidth="1"/>
    <col min="5" max="5" width="14.6640625" style="19" bestFit="1" customWidth="1"/>
    <col min="6" max="6" width="10.5546875" style="19" bestFit="1" customWidth="1"/>
    <col min="7" max="7" width="12.33203125" style="19" bestFit="1" customWidth="1"/>
    <col min="8" max="8" width="11" style="63" bestFit="1" customWidth="1"/>
    <col min="9" max="9" width="11.109375" style="58" customWidth="1"/>
    <col min="10" max="10" width="12.5546875" bestFit="1" customWidth="1"/>
    <col min="11" max="11" width="10.88671875" style="19" bestFit="1" customWidth="1"/>
    <col min="12" max="12" width="10.88671875" style="1" bestFit="1" customWidth="1"/>
    <col min="13" max="14" width="12.88671875" style="1" customWidth="1"/>
    <col min="15" max="15" width="9.33203125" style="19" bestFit="1" customWidth="1"/>
    <col min="16" max="16" width="13.5546875" style="63" customWidth="1"/>
    <col min="17" max="17" width="11.5546875" style="62" customWidth="1"/>
    <col min="18" max="18" width="8.5546875" style="1" bestFit="1" customWidth="1"/>
    <col min="19" max="19" width="11.5546875" hidden="1" customWidth="1"/>
    <col min="20" max="20" width="16.5546875" style="1" customWidth="1"/>
    <col min="21" max="21" width="14" style="1" customWidth="1"/>
    <col min="22" max="22" width="15.109375" bestFit="1" customWidth="1"/>
    <col min="23" max="23" width="13.6640625" bestFit="1" customWidth="1"/>
    <col min="24" max="24" width="14.6640625" style="59" bestFit="1" customWidth="1"/>
    <col min="25" max="25" width="12.5546875" style="62" customWidth="1"/>
    <col min="26" max="26" width="13.33203125" style="64" customWidth="1"/>
    <col min="27" max="27" width="17.6640625" customWidth="1"/>
  </cols>
  <sheetData>
    <row r="1" spans="1:27" ht="18.600000000000001" thickBot="1" x14ac:dyDescent="0.4">
      <c r="A1" s="211" t="s">
        <v>448</v>
      </c>
      <c r="B1" s="212"/>
      <c r="C1" s="213"/>
      <c r="D1" s="213"/>
      <c r="E1" s="213"/>
      <c r="F1" s="213"/>
      <c r="G1" s="213"/>
      <c r="H1" s="214"/>
      <c r="I1" s="215" t="s">
        <v>508</v>
      </c>
      <c r="J1" s="216"/>
      <c r="K1" s="216"/>
      <c r="L1" s="216"/>
      <c r="M1" s="216"/>
      <c r="N1" s="216"/>
      <c r="O1" s="216"/>
      <c r="P1" s="217"/>
      <c r="Q1" s="215" t="s">
        <v>509</v>
      </c>
      <c r="R1" s="216"/>
      <c r="S1" s="216"/>
      <c r="T1" s="216"/>
      <c r="U1" s="216"/>
      <c r="V1" s="216"/>
      <c r="W1" s="216"/>
      <c r="X1" s="217"/>
      <c r="Y1" s="218" t="s">
        <v>510</v>
      </c>
      <c r="Z1" s="219"/>
    </row>
    <row r="2" spans="1:27" s="51" customFormat="1" ht="46.5" customHeight="1" x14ac:dyDescent="0.3">
      <c r="A2" s="55" t="s">
        <v>511</v>
      </c>
      <c r="B2" s="55" t="s">
        <v>512</v>
      </c>
      <c r="C2" s="27" t="s">
        <v>30</v>
      </c>
      <c r="D2" s="27" t="s">
        <v>31</v>
      </c>
      <c r="E2" s="27" t="s">
        <v>34</v>
      </c>
      <c r="F2" s="27" t="s">
        <v>35</v>
      </c>
      <c r="G2" s="27" t="s">
        <v>36</v>
      </c>
      <c r="H2" s="56" t="s">
        <v>37</v>
      </c>
      <c r="I2" s="55" t="s">
        <v>513</v>
      </c>
      <c r="J2" s="27" t="s">
        <v>451</v>
      </c>
      <c r="K2" s="27" t="s">
        <v>514</v>
      </c>
      <c r="L2" s="27" t="s">
        <v>515</v>
      </c>
      <c r="M2" s="27" t="s">
        <v>516</v>
      </c>
      <c r="N2" s="27" t="s">
        <v>517</v>
      </c>
      <c r="O2" s="27" t="s">
        <v>460</v>
      </c>
      <c r="P2" s="56" t="s">
        <v>518</v>
      </c>
      <c r="Q2" s="55" t="s">
        <v>519</v>
      </c>
      <c r="R2" s="27" t="s">
        <v>451</v>
      </c>
      <c r="S2" s="27" t="s">
        <v>520</v>
      </c>
      <c r="T2" s="27" t="s">
        <v>521</v>
      </c>
      <c r="U2" s="27" t="s">
        <v>456</v>
      </c>
      <c r="V2" s="27" t="s">
        <v>459</v>
      </c>
      <c r="W2" s="27" t="s">
        <v>460</v>
      </c>
      <c r="X2" s="53" t="s">
        <v>461</v>
      </c>
      <c r="Y2" s="66" t="s">
        <v>522</v>
      </c>
      <c r="Z2" s="67" t="s">
        <v>523</v>
      </c>
      <c r="AA2" s="205"/>
    </row>
    <row r="3" spans="1:27" x14ac:dyDescent="0.3">
      <c r="A3" s="60" t="s">
        <v>524</v>
      </c>
      <c r="B3" s="60" t="s">
        <v>525</v>
      </c>
      <c r="C3" s="49">
        <v>25026</v>
      </c>
      <c r="D3" s="52">
        <v>45731.458333333336</v>
      </c>
      <c r="E3" s="49" t="s">
        <v>32</v>
      </c>
      <c r="F3" s="49">
        <v>42.5</v>
      </c>
      <c r="G3" s="49" t="s">
        <v>33</v>
      </c>
      <c r="H3" s="61">
        <v>13.5</v>
      </c>
      <c r="I3" s="57">
        <f>40000</f>
        <v>40000</v>
      </c>
      <c r="J3" s="49">
        <v>5</v>
      </c>
      <c r="K3" s="50">
        <f>($I3/J3*$F3/($F3+$H3))+($Q3/$R3*$F3/($F3+$H3))</f>
        <v>6079.0178571428569</v>
      </c>
      <c r="L3" s="50">
        <f>($I3/$J3*$H3/($F3+$H3))+($Q3/$R3*$H3/($F3+$H3))</f>
        <v>1930.9821428571429</v>
      </c>
      <c r="M3" s="50">
        <f>I3/J3</f>
        <v>8000</v>
      </c>
      <c r="N3" s="50">
        <f>S3</f>
        <v>10</v>
      </c>
      <c r="O3" s="50">
        <f>I3-M3</f>
        <v>32000</v>
      </c>
      <c r="P3" s="61"/>
      <c r="Q3" s="60">
        <v>10000</v>
      </c>
      <c r="R3" s="24">
        <v>1000</v>
      </c>
      <c r="S3" s="38">
        <f>(Q3/R3)</f>
        <v>10</v>
      </c>
      <c r="T3" s="49">
        <f t="shared" ref="T3:T46" si="0">P3*J3-0.3</f>
        <v>-0.3</v>
      </c>
      <c r="U3" s="38">
        <v>12.5</v>
      </c>
      <c r="V3" s="48">
        <f>(($U3*$Q3/100)-($T3/100*$S3))/0.99</f>
        <v>1262.6565656565656</v>
      </c>
      <c r="W3" s="48">
        <f>$Q3-S3-V3</f>
        <v>8727.3434343434346</v>
      </c>
      <c r="X3" s="65">
        <f t="shared" ref="X3:X36" si="1">($T3/100*S3+V3*0.99)/SUM(S3:W3)</f>
        <v>0.12484768582329557</v>
      </c>
      <c r="Y3" s="68">
        <f>F3-K3/1000</f>
        <v>36.420982142857142</v>
      </c>
      <c r="Z3" s="69">
        <f t="shared" ref="Z3:Z34" si="2">H3-L3/1000</f>
        <v>11.569017857142857</v>
      </c>
    </row>
    <row r="4" spans="1:27" x14ac:dyDescent="0.3">
      <c r="A4" s="60" t="s">
        <v>464</v>
      </c>
      <c r="B4" s="54" t="s">
        <v>524</v>
      </c>
      <c r="C4" s="49">
        <v>25026</v>
      </c>
      <c r="D4" s="52">
        <v>45732.46875</v>
      </c>
      <c r="E4" s="49" t="s">
        <v>32</v>
      </c>
      <c r="F4" s="49">
        <v>62.5</v>
      </c>
      <c r="G4" s="49" t="s">
        <v>33</v>
      </c>
      <c r="H4" s="61">
        <v>29</v>
      </c>
      <c r="I4" s="57">
        <f>40000</f>
        <v>40000</v>
      </c>
      <c r="J4" s="49">
        <v>5</v>
      </c>
      <c r="K4" s="50">
        <f t="shared" ref="K4:K68" si="3">($I4/J4*$F4/($F4+$H4))+($Q4/$R4*$F4/($F4+$H4))</f>
        <v>5471.311475409836</v>
      </c>
      <c r="L4" s="50">
        <f t="shared" ref="L4:L68" si="4">($I4/$J4*$H4/($F4+$H4))+($Q4/$R4*$H4/($F4+$H4))</f>
        <v>2538.6885245901635</v>
      </c>
      <c r="M4" s="50">
        <f t="shared" ref="M4:M68" si="5">I4/J4</f>
        <v>8000</v>
      </c>
      <c r="N4" s="50">
        <f t="shared" ref="N4:N68" si="6">S4</f>
        <v>10</v>
      </c>
      <c r="O4" s="50">
        <f t="shared" ref="O4:O68" si="7">I4-M4</f>
        <v>32000</v>
      </c>
      <c r="P4" s="61"/>
      <c r="Q4" s="60">
        <v>10000</v>
      </c>
      <c r="R4" s="24">
        <v>1000</v>
      </c>
      <c r="S4" s="38">
        <f t="shared" ref="S4:S66" si="8">(Q4/R4)</f>
        <v>10</v>
      </c>
      <c r="T4" s="49">
        <f t="shared" si="0"/>
        <v>-0.3</v>
      </c>
      <c r="U4" s="38">
        <v>12.5</v>
      </c>
      <c r="V4" s="48">
        <f t="shared" ref="V4:V68" si="9">(($U4*$Q4/100)-($T4/100*$S4))/0.99</f>
        <v>1262.6565656565656</v>
      </c>
      <c r="W4" s="48">
        <f t="shared" ref="W4:W66" si="10">$Q4-S4-V4</f>
        <v>8727.3434343434346</v>
      </c>
      <c r="X4" s="65">
        <f t="shared" si="1"/>
        <v>0.12484768582329557</v>
      </c>
      <c r="Y4" s="68">
        <f t="shared" ref="Y4:Y68" si="11">F4-K4/1000</f>
        <v>57.028688524590166</v>
      </c>
      <c r="Z4" s="69">
        <f t="shared" si="2"/>
        <v>26.461311475409836</v>
      </c>
    </row>
    <row r="5" spans="1:27" x14ac:dyDescent="0.3">
      <c r="A5" s="60" t="s">
        <v>465</v>
      </c>
      <c r="B5" s="60" t="s">
        <v>526</v>
      </c>
      <c r="C5" s="49">
        <v>25026</v>
      </c>
      <c r="D5" s="52">
        <v>45733.625</v>
      </c>
      <c r="E5" s="49" t="s">
        <v>32</v>
      </c>
      <c r="F5" s="49">
        <v>45</v>
      </c>
      <c r="G5" s="49" t="s">
        <v>33</v>
      </c>
      <c r="H5" s="61">
        <v>25</v>
      </c>
      <c r="I5" s="57">
        <f>40000</f>
        <v>40000</v>
      </c>
      <c r="J5" s="49">
        <v>5</v>
      </c>
      <c r="K5" s="50">
        <f t="shared" si="3"/>
        <v>5149.2857142857147</v>
      </c>
      <c r="L5" s="50">
        <f t="shared" si="4"/>
        <v>2860.7142857142858</v>
      </c>
      <c r="M5" s="50">
        <f t="shared" si="5"/>
        <v>8000</v>
      </c>
      <c r="N5" s="50">
        <f t="shared" si="6"/>
        <v>10</v>
      </c>
      <c r="O5" s="50">
        <f t="shared" si="7"/>
        <v>32000</v>
      </c>
      <c r="P5" s="61"/>
      <c r="Q5" s="60">
        <v>10000</v>
      </c>
      <c r="R5" s="24">
        <v>1000</v>
      </c>
      <c r="S5" s="38">
        <f t="shared" si="8"/>
        <v>10</v>
      </c>
      <c r="T5" s="49">
        <f t="shared" si="0"/>
        <v>-0.3</v>
      </c>
      <c r="U5" s="38">
        <v>12.5</v>
      </c>
      <c r="V5" s="48">
        <f t="shared" si="9"/>
        <v>1262.6565656565656</v>
      </c>
      <c r="W5" s="48">
        <f t="shared" si="10"/>
        <v>8727.3434343434346</v>
      </c>
      <c r="X5" s="65">
        <f t="shared" si="1"/>
        <v>0.12484768582329557</v>
      </c>
      <c r="Y5" s="68">
        <f t="shared" si="11"/>
        <v>39.850714285714282</v>
      </c>
      <c r="Z5" s="69">
        <f t="shared" si="2"/>
        <v>22.139285714285712</v>
      </c>
    </row>
    <row r="6" spans="1:27" x14ac:dyDescent="0.3">
      <c r="A6" s="60" t="s">
        <v>466</v>
      </c>
      <c r="B6" s="54" t="s">
        <v>527</v>
      </c>
      <c r="C6" s="49">
        <v>25026</v>
      </c>
      <c r="D6" s="52">
        <v>45735.618055555555</v>
      </c>
      <c r="E6" s="49" t="s">
        <v>32</v>
      </c>
      <c r="F6" s="49">
        <v>29</v>
      </c>
      <c r="G6" s="49" t="s">
        <v>33</v>
      </c>
      <c r="H6" s="61">
        <v>15</v>
      </c>
      <c r="I6" s="57">
        <f>40000</f>
        <v>40000</v>
      </c>
      <c r="J6" s="49">
        <v>5</v>
      </c>
      <c r="K6" s="50">
        <f t="shared" si="3"/>
        <v>5279.318181818182</v>
      </c>
      <c r="L6" s="50">
        <f t="shared" si="4"/>
        <v>2730.6818181818185</v>
      </c>
      <c r="M6" s="50">
        <f t="shared" si="5"/>
        <v>8000</v>
      </c>
      <c r="N6" s="50">
        <f t="shared" si="6"/>
        <v>10</v>
      </c>
      <c r="O6" s="50">
        <f t="shared" si="7"/>
        <v>32000</v>
      </c>
      <c r="P6" s="61"/>
      <c r="Q6" s="60">
        <v>10000</v>
      </c>
      <c r="R6" s="24">
        <v>1000</v>
      </c>
      <c r="S6" s="38">
        <f t="shared" si="8"/>
        <v>10</v>
      </c>
      <c r="T6" s="49">
        <f t="shared" si="0"/>
        <v>-0.3</v>
      </c>
      <c r="U6" s="38">
        <v>12.5</v>
      </c>
      <c r="V6" s="48">
        <f t="shared" si="9"/>
        <v>1262.6565656565656</v>
      </c>
      <c r="W6" s="48">
        <f t="shared" si="10"/>
        <v>8727.3434343434346</v>
      </c>
      <c r="X6" s="65">
        <f t="shared" si="1"/>
        <v>0.12484768582329557</v>
      </c>
      <c r="Y6" s="68">
        <f t="shared" si="11"/>
        <v>23.720681818181816</v>
      </c>
      <c r="Z6" s="69">
        <f t="shared" si="2"/>
        <v>12.269318181818182</v>
      </c>
    </row>
    <row r="7" spans="1:27" x14ac:dyDescent="0.3">
      <c r="A7" s="60" t="s">
        <v>468</v>
      </c>
      <c r="B7" s="54" t="s">
        <v>528</v>
      </c>
      <c r="C7" s="49">
        <v>25027</v>
      </c>
      <c r="D7" s="52">
        <v>45731.458333333336</v>
      </c>
      <c r="E7" s="49" t="s">
        <v>32</v>
      </c>
      <c r="F7" s="49">
        <v>15</v>
      </c>
      <c r="G7" s="49" t="s">
        <v>33</v>
      </c>
      <c r="H7" s="61">
        <v>6.5</v>
      </c>
      <c r="I7" s="57">
        <f>40000</f>
        <v>40000</v>
      </c>
      <c r="J7" s="49">
        <v>5</v>
      </c>
      <c r="K7" s="50">
        <f t="shared" si="3"/>
        <v>5588.3720930232557</v>
      </c>
      <c r="L7" s="50">
        <f t="shared" si="4"/>
        <v>2421.6279069767443</v>
      </c>
      <c r="M7" s="50">
        <f t="shared" si="5"/>
        <v>8000</v>
      </c>
      <c r="N7" s="50">
        <f t="shared" si="6"/>
        <v>10</v>
      </c>
      <c r="O7" s="50">
        <f t="shared" si="7"/>
        <v>32000</v>
      </c>
      <c r="P7" s="61"/>
      <c r="Q7" s="60">
        <v>10000</v>
      </c>
      <c r="R7" s="24">
        <v>1000</v>
      </c>
      <c r="S7" s="38">
        <f t="shared" si="8"/>
        <v>10</v>
      </c>
      <c r="T7" s="49">
        <f t="shared" si="0"/>
        <v>-0.3</v>
      </c>
      <c r="U7" s="38">
        <v>12.5</v>
      </c>
      <c r="V7" s="48">
        <f t="shared" si="9"/>
        <v>1262.6565656565656</v>
      </c>
      <c r="W7" s="48">
        <f t="shared" si="10"/>
        <v>8727.3434343434346</v>
      </c>
      <c r="X7" s="65">
        <f t="shared" si="1"/>
        <v>0.12484768582329557</v>
      </c>
      <c r="Y7" s="68">
        <f t="shared" si="11"/>
        <v>9.4116279069767437</v>
      </c>
      <c r="Z7" s="69">
        <f t="shared" si="2"/>
        <v>4.0783720930232557</v>
      </c>
    </row>
    <row r="8" spans="1:27" x14ac:dyDescent="0.3">
      <c r="A8" s="60" t="s">
        <v>469</v>
      </c>
      <c r="B8" s="54" t="s">
        <v>468</v>
      </c>
      <c r="C8" s="49">
        <v>25027</v>
      </c>
      <c r="D8" s="52">
        <v>45733.451388888891</v>
      </c>
      <c r="E8" s="49" t="s">
        <v>32</v>
      </c>
      <c r="F8" s="49">
        <v>67.5</v>
      </c>
      <c r="G8" s="49" t="s">
        <v>33</v>
      </c>
      <c r="H8" s="61">
        <v>33</v>
      </c>
      <c r="I8" s="57">
        <f>40000</f>
        <v>40000</v>
      </c>
      <c r="J8" s="49">
        <v>5</v>
      </c>
      <c r="K8" s="50">
        <f t="shared" si="3"/>
        <v>5379.8507462686566</v>
      </c>
      <c r="L8" s="50">
        <f t="shared" si="4"/>
        <v>2630.1492537313429</v>
      </c>
      <c r="M8" s="50">
        <f t="shared" si="5"/>
        <v>8000</v>
      </c>
      <c r="N8" s="50">
        <f t="shared" si="6"/>
        <v>10</v>
      </c>
      <c r="O8" s="50">
        <f t="shared" si="7"/>
        <v>32000</v>
      </c>
      <c r="P8" s="61"/>
      <c r="Q8" s="60">
        <v>10000</v>
      </c>
      <c r="R8" s="24">
        <v>1000</v>
      </c>
      <c r="S8" s="38">
        <f t="shared" si="8"/>
        <v>10</v>
      </c>
      <c r="T8" s="49">
        <f t="shared" si="0"/>
        <v>-0.3</v>
      </c>
      <c r="U8" s="38">
        <v>12.5</v>
      </c>
      <c r="V8" s="48">
        <f t="shared" si="9"/>
        <v>1262.6565656565656</v>
      </c>
      <c r="W8" s="48">
        <f t="shared" si="10"/>
        <v>8727.3434343434346</v>
      </c>
      <c r="X8" s="65">
        <f t="shared" si="1"/>
        <v>0.12484768582329557</v>
      </c>
      <c r="Y8" s="68">
        <f t="shared" si="11"/>
        <v>62.120149253731341</v>
      </c>
      <c r="Z8" s="69">
        <f t="shared" si="2"/>
        <v>30.369850746268657</v>
      </c>
    </row>
    <row r="9" spans="1:27" x14ac:dyDescent="0.3">
      <c r="A9" s="60" t="s">
        <v>470</v>
      </c>
      <c r="B9" s="54" t="s">
        <v>529</v>
      </c>
      <c r="C9" s="49">
        <v>25027</v>
      </c>
      <c r="D9" s="52">
        <v>45734.631944444445</v>
      </c>
      <c r="E9" s="49" t="s">
        <v>32</v>
      </c>
      <c r="F9" s="49">
        <v>27.5</v>
      </c>
      <c r="G9" s="49" t="s">
        <v>33</v>
      </c>
      <c r="H9" s="61">
        <v>15</v>
      </c>
      <c r="I9" s="57">
        <f>40000</f>
        <v>40000</v>
      </c>
      <c r="J9" s="49">
        <v>5</v>
      </c>
      <c r="K9" s="50">
        <f t="shared" si="3"/>
        <v>5182.9411764705874</v>
      </c>
      <c r="L9" s="50">
        <f t="shared" si="4"/>
        <v>2827.0588235294117</v>
      </c>
      <c r="M9" s="50">
        <f t="shared" si="5"/>
        <v>8000</v>
      </c>
      <c r="N9" s="50">
        <f t="shared" si="6"/>
        <v>10</v>
      </c>
      <c r="O9" s="50">
        <f t="shared" si="7"/>
        <v>32000</v>
      </c>
      <c r="P9" s="61"/>
      <c r="Q9" s="60">
        <v>10000</v>
      </c>
      <c r="R9" s="24">
        <v>1000</v>
      </c>
      <c r="S9" s="38">
        <f t="shared" si="8"/>
        <v>10</v>
      </c>
      <c r="T9" s="49">
        <f t="shared" si="0"/>
        <v>-0.3</v>
      </c>
      <c r="U9" s="38">
        <v>12.5</v>
      </c>
      <c r="V9" s="48">
        <f t="shared" si="9"/>
        <v>1262.6565656565656</v>
      </c>
      <c r="W9" s="48">
        <f t="shared" si="10"/>
        <v>8727.3434343434346</v>
      </c>
      <c r="X9" s="65">
        <f t="shared" si="1"/>
        <v>0.12484768582329557</v>
      </c>
      <c r="Y9" s="68">
        <f t="shared" si="11"/>
        <v>22.317058823529415</v>
      </c>
      <c r="Z9" s="69">
        <f t="shared" si="2"/>
        <v>12.172941176470587</v>
      </c>
    </row>
    <row r="10" spans="1:27" x14ac:dyDescent="0.3">
      <c r="A10" s="60" t="s">
        <v>471</v>
      </c>
      <c r="B10" s="54" t="s">
        <v>530</v>
      </c>
      <c r="C10" s="49">
        <v>25027</v>
      </c>
      <c r="D10" s="52">
        <v>45737.416666666664</v>
      </c>
      <c r="E10" s="49" t="s">
        <v>32</v>
      </c>
      <c r="F10" s="49">
        <v>17.5</v>
      </c>
      <c r="G10" s="49" t="s">
        <v>33</v>
      </c>
      <c r="H10" s="61">
        <v>22</v>
      </c>
      <c r="I10" s="57">
        <f>40000</f>
        <v>40000</v>
      </c>
      <c r="J10" s="49">
        <v>5</v>
      </c>
      <c r="K10" s="50">
        <f t="shared" si="3"/>
        <v>3548.7341772151899</v>
      </c>
      <c r="L10" s="50">
        <f t="shared" si="4"/>
        <v>4461.2658227848096</v>
      </c>
      <c r="M10" s="50">
        <f t="shared" si="5"/>
        <v>8000</v>
      </c>
      <c r="N10" s="50">
        <f t="shared" si="6"/>
        <v>10</v>
      </c>
      <c r="O10" s="50">
        <f t="shared" si="7"/>
        <v>32000</v>
      </c>
      <c r="P10" s="61"/>
      <c r="Q10" s="60">
        <v>10000</v>
      </c>
      <c r="R10" s="24">
        <v>1000</v>
      </c>
      <c r="S10" s="38">
        <f t="shared" si="8"/>
        <v>10</v>
      </c>
      <c r="T10" s="49">
        <f t="shared" si="0"/>
        <v>-0.3</v>
      </c>
      <c r="U10" s="38">
        <v>12.5</v>
      </c>
      <c r="V10" s="48">
        <f t="shared" si="9"/>
        <v>1262.6565656565656</v>
      </c>
      <c r="W10" s="48">
        <f t="shared" si="10"/>
        <v>8727.3434343434346</v>
      </c>
      <c r="X10" s="65">
        <f t="shared" si="1"/>
        <v>0.12484768582329557</v>
      </c>
      <c r="Y10" s="68">
        <f t="shared" si="11"/>
        <v>13.95126582278481</v>
      </c>
      <c r="Z10" s="69">
        <f t="shared" si="2"/>
        <v>17.53873417721519</v>
      </c>
    </row>
    <row r="11" spans="1:27" x14ac:dyDescent="0.3">
      <c r="A11" s="60" t="s">
        <v>476</v>
      </c>
      <c r="B11" s="60" t="s">
        <v>531</v>
      </c>
      <c r="C11" s="49">
        <v>25085</v>
      </c>
      <c r="D11" s="52">
        <v>45744.416666666664</v>
      </c>
      <c r="E11" s="49" t="s">
        <v>32</v>
      </c>
      <c r="F11" s="49">
        <v>34.9</v>
      </c>
      <c r="G11" s="49" t="s">
        <v>33</v>
      </c>
      <c r="H11" s="61">
        <v>15.3</v>
      </c>
      <c r="I11" s="57">
        <f>40000</f>
        <v>40000</v>
      </c>
      <c r="J11" s="49">
        <v>5</v>
      </c>
      <c r="K11" s="50">
        <f t="shared" si="3"/>
        <v>5568.7051792828688</v>
      </c>
      <c r="L11" s="50">
        <f t="shared" si="4"/>
        <v>2441.2948207171316</v>
      </c>
      <c r="M11" s="50">
        <f t="shared" si="5"/>
        <v>8000</v>
      </c>
      <c r="N11" s="50">
        <f t="shared" si="6"/>
        <v>10</v>
      </c>
      <c r="O11" s="50">
        <f t="shared" si="7"/>
        <v>32000</v>
      </c>
      <c r="P11" s="61"/>
      <c r="Q11" s="60">
        <v>10000</v>
      </c>
      <c r="R11" s="24">
        <v>1000</v>
      </c>
      <c r="S11" s="38">
        <f t="shared" si="8"/>
        <v>10</v>
      </c>
      <c r="T11" s="49">
        <f t="shared" si="0"/>
        <v>-0.3</v>
      </c>
      <c r="U11" s="38">
        <v>12.5</v>
      </c>
      <c r="V11" s="48">
        <f t="shared" si="9"/>
        <v>1262.6565656565656</v>
      </c>
      <c r="W11" s="48">
        <f t="shared" si="10"/>
        <v>8727.3434343434346</v>
      </c>
      <c r="X11" s="65">
        <f t="shared" si="1"/>
        <v>0.12484768582329557</v>
      </c>
      <c r="Y11" s="68">
        <f t="shared" si="11"/>
        <v>29.33129482071713</v>
      </c>
      <c r="Z11" s="69">
        <f t="shared" si="2"/>
        <v>12.858705179282868</v>
      </c>
    </row>
    <row r="12" spans="1:27" x14ac:dyDescent="0.3">
      <c r="A12" s="60" t="s">
        <v>477</v>
      </c>
      <c r="B12" s="60" t="s">
        <v>532</v>
      </c>
      <c r="C12" s="49">
        <v>25085</v>
      </c>
      <c r="D12" s="52">
        <v>45745.5</v>
      </c>
      <c r="E12" s="49" t="s">
        <v>32</v>
      </c>
      <c r="F12" s="49">
        <v>31.9</v>
      </c>
      <c r="G12" s="49" t="s">
        <v>33</v>
      </c>
      <c r="H12" s="61">
        <v>15</v>
      </c>
      <c r="I12" s="57">
        <f>40000</f>
        <v>40000</v>
      </c>
      <c r="J12" s="49">
        <v>5</v>
      </c>
      <c r="K12" s="50">
        <f t="shared" si="3"/>
        <v>5448.1663113006398</v>
      </c>
      <c r="L12" s="50">
        <f t="shared" si="4"/>
        <v>2561.8336886993607</v>
      </c>
      <c r="M12" s="50">
        <f t="shared" si="5"/>
        <v>8000</v>
      </c>
      <c r="N12" s="50">
        <f t="shared" si="6"/>
        <v>10</v>
      </c>
      <c r="O12" s="50">
        <f t="shared" si="7"/>
        <v>32000</v>
      </c>
      <c r="P12" s="61"/>
      <c r="Q12" s="60">
        <v>10000</v>
      </c>
      <c r="R12" s="24">
        <v>1000</v>
      </c>
      <c r="S12" s="38">
        <f t="shared" si="8"/>
        <v>10</v>
      </c>
      <c r="T12" s="49">
        <f t="shared" si="0"/>
        <v>-0.3</v>
      </c>
      <c r="U12" s="38">
        <v>12.5</v>
      </c>
      <c r="V12" s="48">
        <f t="shared" si="9"/>
        <v>1262.6565656565656</v>
      </c>
      <c r="W12" s="48">
        <f t="shared" si="10"/>
        <v>8727.3434343434346</v>
      </c>
      <c r="X12" s="65">
        <f t="shared" si="1"/>
        <v>0.12484768582329557</v>
      </c>
      <c r="Y12" s="68">
        <f t="shared" si="11"/>
        <v>26.451833688699359</v>
      </c>
      <c r="Z12" s="69">
        <f t="shared" si="2"/>
        <v>12.438166311300639</v>
      </c>
    </row>
    <row r="13" spans="1:27" x14ac:dyDescent="0.3">
      <c r="A13" s="60" t="s">
        <v>478</v>
      </c>
      <c r="B13" s="60" t="s">
        <v>533</v>
      </c>
      <c r="C13" s="49">
        <v>25085</v>
      </c>
      <c r="D13" s="52">
        <v>45747.680555555555</v>
      </c>
      <c r="E13" s="49" t="s">
        <v>32</v>
      </c>
      <c r="F13" s="49">
        <v>35.1</v>
      </c>
      <c r="G13" s="49" t="s">
        <v>33</v>
      </c>
      <c r="H13" s="61">
        <v>21.9</v>
      </c>
      <c r="I13" s="57">
        <f>40000</f>
        <v>40000</v>
      </c>
      <c r="J13" s="49">
        <v>5</v>
      </c>
      <c r="K13" s="50">
        <f t="shared" si="3"/>
        <v>4932.4736842105267</v>
      </c>
      <c r="L13" s="50">
        <f t="shared" si="4"/>
        <v>3077.5263157894738</v>
      </c>
      <c r="M13" s="50">
        <f t="shared" si="5"/>
        <v>8000</v>
      </c>
      <c r="N13" s="50">
        <f t="shared" si="6"/>
        <v>10</v>
      </c>
      <c r="O13" s="50">
        <f t="shared" si="7"/>
        <v>32000</v>
      </c>
      <c r="P13" s="61"/>
      <c r="Q13" s="60">
        <v>10000</v>
      </c>
      <c r="R13" s="24">
        <v>1000</v>
      </c>
      <c r="S13" s="38">
        <f t="shared" si="8"/>
        <v>10</v>
      </c>
      <c r="T13" s="49">
        <f t="shared" si="0"/>
        <v>-0.3</v>
      </c>
      <c r="U13" s="38">
        <v>12.5</v>
      </c>
      <c r="V13" s="48">
        <f t="shared" si="9"/>
        <v>1262.6565656565656</v>
      </c>
      <c r="W13" s="48">
        <f t="shared" si="10"/>
        <v>8727.3434343434346</v>
      </c>
      <c r="X13" s="65">
        <f t="shared" si="1"/>
        <v>0.12484768582329557</v>
      </c>
      <c r="Y13" s="68">
        <f t="shared" si="11"/>
        <v>30.167526315789473</v>
      </c>
      <c r="Z13" s="69">
        <f t="shared" si="2"/>
        <v>18.822473684210525</v>
      </c>
    </row>
    <row r="14" spans="1:27" x14ac:dyDescent="0.3">
      <c r="A14" s="60" t="s">
        <v>479</v>
      </c>
      <c r="B14" s="60" t="s">
        <v>534</v>
      </c>
      <c r="C14" s="49">
        <v>25085</v>
      </c>
      <c r="D14" s="52">
        <v>45751.375</v>
      </c>
      <c r="E14" s="49" t="s">
        <v>32</v>
      </c>
      <c r="F14" s="49">
        <v>24.9</v>
      </c>
      <c r="G14" s="49" t="s">
        <v>33</v>
      </c>
      <c r="H14" s="61">
        <v>16</v>
      </c>
      <c r="I14" s="57">
        <f>40000</f>
        <v>40000</v>
      </c>
      <c r="J14" s="49">
        <v>5</v>
      </c>
      <c r="K14" s="50">
        <f t="shared" si="3"/>
        <v>4876.5036674816629</v>
      </c>
      <c r="L14" s="50">
        <f t="shared" si="4"/>
        <v>3133.4963325183376</v>
      </c>
      <c r="M14" s="50">
        <f t="shared" si="5"/>
        <v>8000</v>
      </c>
      <c r="N14" s="50">
        <f t="shared" si="6"/>
        <v>10</v>
      </c>
      <c r="O14" s="50">
        <f t="shared" si="7"/>
        <v>32000</v>
      </c>
      <c r="P14" s="61"/>
      <c r="Q14" s="60">
        <v>10000</v>
      </c>
      <c r="R14" s="24">
        <v>1000</v>
      </c>
      <c r="S14" s="38">
        <f t="shared" si="8"/>
        <v>10</v>
      </c>
      <c r="T14" s="49">
        <f t="shared" si="0"/>
        <v>-0.3</v>
      </c>
      <c r="U14" s="38">
        <v>12.5</v>
      </c>
      <c r="V14" s="48">
        <f t="shared" si="9"/>
        <v>1262.6565656565656</v>
      </c>
      <c r="W14" s="48">
        <f t="shared" si="10"/>
        <v>8727.3434343434346</v>
      </c>
      <c r="X14" s="65">
        <f t="shared" si="1"/>
        <v>0.12484768582329557</v>
      </c>
      <c r="Y14" s="68">
        <f t="shared" si="11"/>
        <v>20.023496332518334</v>
      </c>
      <c r="Z14" s="69">
        <f t="shared" si="2"/>
        <v>12.866503667481663</v>
      </c>
    </row>
    <row r="15" spans="1:27" x14ac:dyDescent="0.3">
      <c r="A15" s="60" t="s">
        <v>480</v>
      </c>
      <c r="B15" s="60" t="s">
        <v>535</v>
      </c>
      <c r="C15" s="49">
        <v>25086</v>
      </c>
      <c r="D15" s="52">
        <v>45744.416666666664</v>
      </c>
      <c r="E15" s="49" t="s">
        <v>32</v>
      </c>
      <c r="F15" s="49">
        <v>35.799999999999997</v>
      </c>
      <c r="G15" s="49" t="s">
        <v>33</v>
      </c>
      <c r="H15" s="61">
        <v>15.4</v>
      </c>
      <c r="I15" s="57">
        <f>40000</f>
        <v>40000</v>
      </c>
      <c r="J15" s="49">
        <v>5</v>
      </c>
      <c r="K15" s="50">
        <f t="shared" si="3"/>
        <v>5600.7421875000009</v>
      </c>
      <c r="L15" s="50">
        <f t="shared" si="4"/>
        <v>2409.2578125</v>
      </c>
      <c r="M15" s="50">
        <f t="shared" si="5"/>
        <v>8000</v>
      </c>
      <c r="N15" s="50">
        <f t="shared" si="6"/>
        <v>10</v>
      </c>
      <c r="O15" s="50">
        <f t="shared" si="7"/>
        <v>32000</v>
      </c>
      <c r="P15" s="61"/>
      <c r="Q15" s="60">
        <v>10000</v>
      </c>
      <c r="R15" s="24">
        <v>1000</v>
      </c>
      <c r="S15" s="38">
        <f t="shared" si="8"/>
        <v>10</v>
      </c>
      <c r="T15" s="49">
        <f t="shared" si="0"/>
        <v>-0.3</v>
      </c>
      <c r="U15" s="38">
        <v>12.5</v>
      </c>
      <c r="V15" s="48">
        <f t="shared" si="9"/>
        <v>1262.6565656565656</v>
      </c>
      <c r="W15" s="48">
        <f t="shared" si="10"/>
        <v>8727.3434343434346</v>
      </c>
      <c r="X15" s="65">
        <f t="shared" si="1"/>
        <v>0.12484768582329557</v>
      </c>
      <c r="Y15" s="68">
        <f t="shared" si="11"/>
        <v>30.199257812499997</v>
      </c>
      <c r="Z15" s="69">
        <f t="shared" si="2"/>
        <v>12.9907421875</v>
      </c>
    </row>
    <row r="16" spans="1:27" x14ac:dyDescent="0.3">
      <c r="A16" s="60" t="s">
        <v>481</v>
      </c>
      <c r="B16" s="60" t="s">
        <v>536</v>
      </c>
      <c r="C16" s="49">
        <v>25086</v>
      </c>
      <c r="D16" s="52">
        <v>45745.5</v>
      </c>
      <c r="E16" s="49" t="s">
        <v>32</v>
      </c>
      <c r="F16" s="49">
        <v>30</v>
      </c>
      <c r="G16" s="49" t="s">
        <v>33</v>
      </c>
      <c r="H16" s="61">
        <v>14.9</v>
      </c>
      <c r="I16" s="57">
        <f>40000</f>
        <v>40000</v>
      </c>
      <c r="J16" s="49">
        <v>5</v>
      </c>
      <c r="K16" s="50">
        <f t="shared" si="3"/>
        <v>5351.8930957683751</v>
      </c>
      <c r="L16" s="50">
        <f t="shared" si="4"/>
        <v>2658.1069042316258</v>
      </c>
      <c r="M16" s="50">
        <f t="shared" si="5"/>
        <v>8000</v>
      </c>
      <c r="N16" s="50">
        <f t="shared" si="6"/>
        <v>10</v>
      </c>
      <c r="O16" s="50">
        <f t="shared" si="7"/>
        <v>32000</v>
      </c>
      <c r="P16" s="61"/>
      <c r="Q16" s="60">
        <v>10000</v>
      </c>
      <c r="R16" s="24">
        <v>1000</v>
      </c>
      <c r="S16" s="38">
        <f t="shared" si="8"/>
        <v>10</v>
      </c>
      <c r="T16" s="49">
        <f t="shared" si="0"/>
        <v>-0.3</v>
      </c>
      <c r="U16" s="38">
        <v>12.5</v>
      </c>
      <c r="V16" s="48">
        <f t="shared" si="9"/>
        <v>1262.6565656565656</v>
      </c>
      <c r="W16" s="48">
        <f t="shared" si="10"/>
        <v>8727.3434343434346</v>
      </c>
      <c r="X16" s="65">
        <f t="shared" si="1"/>
        <v>0.12484768582329557</v>
      </c>
      <c r="Y16" s="68">
        <f t="shared" si="11"/>
        <v>24.648106904231625</v>
      </c>
      <c r="Z16" s="69">
        <f t="shared" si="2"/>
        <v>12.241893095768376</v>
      </c>
    </row>
    <row r="17" spans="1:26" x14ac:dyDescent="0.3">
      <c r="A17" s="60" t="s">
        <v>482</v>
      </c>
      <c r="B17" s="60" t="s">
        <v>537</v>
      </c>
      <c r="C17" s="49">
        <v>25086</v>
      </c>
      <c r="D17" s="52">
        <v>45747.680555555555</v>
      </c>
      <c r="E17" s="49" t="s">
        <v>32</v>
      </c>
      <c r="F17" s="49">
        <v>35.4</v>
      </c>
      <c r="G17" s="49" t="s">
        <v>33</v>
      </c>
      <c r="H17" s="61">
        <v>21.2</v>
      </c>
      <c r="I17" s="57">
        <f>40000</f>
        <v>40000</v>
      </c>
      <c r="J17" s="49">
        <v>5</v>
      </c>
      <c r="K17" s="50">
        <f t="shared" si="3"/>
        <v>5009.7879858657252</v>
      </c>
      <c r="L17" s="50">
        <f t="shared" si="4"/>
        <v>3000.2120141342762</v>
      </c>
      <c r="M17" s="50">
        <f t="shared" si="5"/>
        <v>8000</v>
      </c>
      <c r="N17" s="50">
        <f t="shared" si="6"/>
        <v>10</v>
      </c>
      <c r="O17" s="50">
        <f t="shared" si="7"/>
        <v>32000</v>
      </c>
      <c r="P17" s="61"/>
      <c r="Q17" s="60">
        <v>10000</v>
      </c>
      <c r="R17" s="24">
        <v>1000</v>
      </c>
      <c r="S17" s="38">
        <f t="shared" si="8"/>
        <v>10</v>
      </c>
      <c r="T17" s="49">
        <f t="shared" si="0"/>
        <v>-0.3</v>
      </c>
      <c r="U17" s="38">
        <v>12.5</v>
      </c>
      <c r="V17" s="48">
        <f t="shared" si="9"/>
        <v>1262.6565656565656</v>
      </c>
      <c r="W17" s="48">
        <f t="shared" si="10"/>
        <v>8727.3434343434346</v>
      </c>
      <c r="X17" s="65">
        <f t="shared" si="1"/>
        <v>0.12484768582329557</v>
      </c>
      <c r="Y17" s="68">
        <f t="shared" si="11"/>
        <v>30.390212014134274</v>
      </c>
      <c r="Z17" s="69">
        <f t="shared" si="2"/>
        <v>18.199787985865722</v>
      </c>
    </row>
    <row r="18" spans="1:26" x14ac:dyDescent="0.3">
      <c r="A18" s="60" t="s">
        <v>483</v>
      </c>
      <c r="B18" s="60" t="s">
        <v>538</v>
      </c>
      <c r="C18" s="49">
        <v>25086</v>
      </c>
      <c r="D18" s="52">
        <v>45751.375</v>
      </c>
      <c r="E18" s="49" t="s">
        <v>32</v>
      </c>
      <c r="F18" s="49">
        <v>19.3</v>
      </c>
      <c r="G18" s="49" t="s">
        <v>33</v>
      </c>
      <c r="H18" s="61">
        <v>17.100000000000001</v>
      </c>
      <c r="I18" s="57">
        <f>40000</f>
        <v>40000</v>
      </c>
      <c r="J18" s="49">
        <v>5</v>
      </c>
      <c r="K18" s="50">
        <f t="shared" si="3"/>
        <v>4247.0604395604387</v>
      </c>
      <c r="L18" s="50">
        <f t="shared" si="4"/>
        <v>3762.9395604395595</v>
      </c>
      <c r="M18" s="50">
        <f t="shared" si="5"/>
        <v>8000</v>
      </c>
      <c r="N18" s="50">
        <f t="shared" si="6"/>
        <v>10</v>
      </c>
      <c r="O18" s="50">
        <f t="shared" si="7"/>
        <v>32000</v>
      </c>
      <c r="P18" s="61"/>
      <c r="Q18" s="60">
        <v>10000</v>
      </c>
      <c r="R18" s="24">
        <v>1000</v>
      </c>
      <c r="S18" s="38">
        <f t="shared" si="8"/>
        <v>10</v>
      </c>
      <c r="T18" s="49">
        <f t="shared" si="0"/>
        <v>-0.3</v>
      </c>
      <c r="U18" s="38">
        <v>12.5</v>
      </c>
      <c r="V18" s="48">
        <f t="shared" si="9"/>
        <v>1262.6565656565656</v>
      </c>
      <c r="W18" s="48">
        <f t="shared" si="10"/>
        <v>8727.3434343434346</v>
      </c>
      <c r="X18" s="65">
        <f t="shared" si="1"/>
        <v>0.12484768582329557</v>
      </c>
      <c r="Y18" s="68">
        <f t="shared" si="11"/>
        <v>15.052939560439562</v>
      </c>
      <c r="Z18" s="69">
        <f t="shared" si="2"/>
        <v>13.337060439560442</v>
      </c>
    </row>
    <row r="19" spans="1:26" x14ac:dyDescent="0.3">
      <c r="A19" s="60" t="s">
        <v>414</v>
      </c>
      <c r="B19" s="60" t="s">
        <v>539</v>
      </c>
      <c r="C19" s="49">
        <v>25150</v>
      </c>
      <c r="D19" s="52">
        <v>45757.375</v>
      </c>
      <c r="E19" s="49" t="s">
        <v>32</v>
      </c>
      <c r="F19" s="49">
        <v>22.5</v>
      </c>
      <c r="G19" s="49" t="s">
        <v>33</v>
      </c>
      <c r="H19" s="61">
        <v>12.4</v>
      </c>
      <c r="I19" s="57">
        <f>40000</f>
        <v>40000</v>
      </c>
      <c r="J19" s="49">
        <v>5</v>
      </c>
      <c r="K19" s="50">
        <f t="shared" si="3"/>
        <v>5164.0401146131808</v>
      </c>
      <c r="L19" s="50">
        <f t="shared" si="4"/>
        <v>2845.9598853868197</v>
      </c>
      <c r="M19" s="50">
        <f t="shared" si="5"/>
        <v>8000</v>
      </c>
      <c r="N19" s="50">
        <f t="shared" si="6"/>
        <v>10</v>
      </c>
      <c r="O19" s="50">
        <f t="shared" si="7"/>
        <v>32000</v>
      </c>
      <c r="P19" s="61"/>
      <c r="Q19" s="60">
        <v>10000</v>
      </c>
      <c r="R19" s="24">
        <v>1000</v>
      </c>
      <c r="S19" s="38">
        <f t="shared" si="8"/>
        <v>10</v>
      </c>
      <c r="T19" s="49">
        <f t="shared" si="0"/>
        <v>-0.3</v>
      </c>
      <c r="U19" s="38">
        <v>12.5</v>
      </c>
      <c r="V19" s="48">
        <f t="shared" si="9"/>
        <v>1262.6565656565656</v>
      </c>
      <c r="W19" s="48">
        <f t="shared" si="10"/>
        <v>8727.3434343434346</v>
      </c>
      <c r="X19" s="65">
        <f t="shared" si="1"/>
        <v>0.12484768582329557</v>
      </c>
      <c r="Y19" s="68">
        <f t="shared" si="11"/>
        <v>17.335959885386821</v>
      </c>
      <c r="Z19" s="69">
        <f t="shared" si="2"/>
        <v>9.5540401146131799</v>
      </c>
    </row>
    <row r="20" spans="1:26" x14ac:dyDescent="0.3">
      <c r="A20" s="60" t="s">
        <v>415</v>
      </c>
      <c r="B20" s="60" t="s">
        <v>406</v>
      </c>
      <c r="C20" s="49">
        <v>25150</v>
      </c>
      <c r="D20" s="52">
        <v>45758.375</v>
      </c>
      <c r="E20" s="49" t="s">
        <v>32</v>
      </c>
      <c r="F20" s="49">
        <v>32</v>
      </c>
      <c r="G20" s="49" t="s">
        <v>33</v>
      </c>
      <c r="H20" s="61">
        <v>19.8</v>
      </c>
      <c r="I20" s="57">
        <f>40000</f>
        <v>40000</v>
      </c>
      <c r="J20" s="49">
        <v>5</v>
      </c>
      <c r="K20" s="50">
        <f t="shared" si="3"/>
        <v>4948.262548262549</v>
      </c>
      <c r="L20" s="50">
        <f t="shared" si="4"/>
        <v>3061.7374517374519</v>
      </c>
      <c r="M20" s="50">
        <f t="shared" si="5"/>
        <v>8000</v>
      </c>
      <c r="N20" s="50">
        <f t="shared" si="6"/>
        <v>10</v>
      </c>
      <c r="O20" s="50">
        <f t="shared" si="7"/>
        <v>32000</v>
      </c>
      <c r="P20" s="61"/>
      <c r="Q20" s="60">
        <v>10000</v>
      </c>
      <c r="R20" s="24">
        <v>1000</v>
      </c>
      <c r="S20" s="38">
        <f t="shared" si="8"/>
        <v>10</v>
      </c>
      <c r="T20" s="49">
        <f t="shared" si="0"/>
        <v>-0.3</v>
      </c>
      <c r="U20" s="38">
        <v>12.5</v>
      </c>
      <c r="V20" s="48">
        <f t="shared" si="9"/>
        <v>1262.6565656565656</v>
      </c>
      <c r="W20" s="48">
        <f t="shared" si="10"/>
        <v>8727.3434343434346</v>
      </c>
      <c r="X20" s="65">
        <f t="shared" si="1"/>
        <v>0.12484768582329557</v>
      </c>
      <c r="Y20" s="68">
        <f t="shared" si="11"/>
        <v>27.051737451737452</v>
      </c>
      <c r="Z20" s="69">
        <f t="shared" si="2"/>
        <v>16.738262548262547</v>
      </c>
    </row>
    <row r="21" spans="1:26" x14ac:dyDescent="0.3">
      <c r="A21" s="60" t="s">
        <v>418</v>
      </c>
      <c r="B21" s="60" t="s">
        <v>540</v>
      </c>
      <c r="C21" s="49">
        <v>25150</v>
      </c>
      <c r="D21" s="52">
        <v>45759.416666666664</v>
      </c>
      <c r="E21" s="49" t="s">
        <v>32</v>
      </c>
      <c r="F21" s="49">
        <v>23</v>
      </c>
      <c r="G21" s="49" t="s">
        <v>33</v>
      </c>
      <c r="H21" s="61">
        <v>15</v>
      </c>
      <c r="I21" s="57">
        <f>40000</f>
        <v>40000</v>
      </c>
      <c r="J21" s="49">
        <v>5</v>
      </c>
      <c r="K21" s="50">
        <f t="shared" si="3"/>
        <v>4848.1578947368425</v>
      </c>
      <c r="L21" s="50">
        <f t="shared" si="4"/>
        <v>3161.8421052631579</v>
      </c>
      <c r="M21" s="50">
        <f t="shared" si="5"/>
        <v>8000</v>
      </c>
      <c r="N21" s="50">
        <f t="shared" si="6"/>
        <v>10</v>
      </c>
      <c r="O21" s="50">
        <f t="shared" si="7"/>
        <v>32000</v>
      </c>
      <c r="P21" s="61"/>
      <c r="Q21" s="60">
        <v>10000</v>
      </c>
      <c r="R21" s="24">
        <v>1000</v>
      </c>
      <c r="S21" s="38">
        <f t="shared" si="8"/>
        <v>10</v>
      </c>
      <c r="T21" s="49">
        <f t="shared" si="0"/>
        <v>-0.3</v>
      </c>
      <c r="U21" s="38">
        <v>12.5</v>
      </c>
      <c r="V21" s="48">
        <f t="shared" si="9"/>
        <v>1262.6565656565656</v>
      </c>
      <c r="W21" s="48">
        <f t="shared" si="10"/>
        <v>8727.3434343434346</v>
      </c>
      <c r="X21" s="65">
        <f t="shared" si="1"/>
        <v>0.12484768582329557</v>
      </c>
      <c r="Y21" s="68">
        <f t="shared" si="11"/>
        <v>18.151842105263157</v>
      </c>
      <c r="Z21" s="69">
        <f t="shared" si="2"/>
        <v>11.838157894736842</v>
      </c>
    </row>
    <row r="22" spans="1:26" x14ac:dyDescent="0.3">
      <c r="A22" s="60" t="s">
        <v>408</v>
      </c>
      <c r="B22" s="60" t="s">
        <v>541</v>
      </c>
      <c r="C22" s="49">
        <v>25150</v>
      </c>
      <c r="D22" s="52">
        <v>45761.625</v>
      </c>
      <c r="E22" s="49" t="s">
        <v>32</v>
      </c>
      <c r="F22" s="49">
        <v>11</v>
      </c>
      <c r="G22" s="49" t="s">
        <v>33</v>
      </c>
      <c r="H22" s="61">
        <v>6.8</v>
      </c>
      <c r="I22" s="57">
        <f>40000</f>
        <v>40000</v>
      </c>
      <c r="J22" s="49">
        <v>5</v>
      </c>
      <c r="K22" s="50">
        <f t="shared" si="3"/>
        <v>4950</v>
      </c>
      <c r="L22" s="50">
        <f t="shared" si="4"/>
        <v>3060</v>
      </c>
      <c r="M22" s="50">
        <f t="shared" si="5"/>
        <v>8000</v>
      </c>
      <c r="N22" s="50">
        <f t="shared" si="6"/>
        <v>10</v>
      </c>
      <c r="O22" s="50">
        <f t="shared" si="7"/>
        <v>32000</v>
      </c>
      <c r="P22" s="61"/>
      <c r="Q22" s="60">
        <v>10000</v>
      </c>
      <c r="R22" s="24">
        <v>1000</v>
      </c>
      <c r="S22" s="38">
        <f t="shared" si="8"/>
        <v>10</v>
      </c>
      <c r="T22" s="49">
        <f t="shared" si="0"/>
        <v>-0.3</v>
      </c>
      <c r="U22" s="38">
        <v>12.5</v>
      </c>
      <c r="V22" s="48">
        <f t="shared" si="9"/>
        <v>1262.6565656565656</v>
      </c>
      <c r="W22" s="48">
        <f t="shared" si="10"/>
        <v>8727.3434343434346</v>
      </c>
      <c r="X22" s="65">
        <f t="shared" si="1"/>
        <v>0.12484768582329557</v>
      </c>
      <c r="Y22" s="68">
        <f t="shared" si="11"/>
        <v>6.05</v>
      </c>
      <c r="Z22" s="69">
        <f t="shared" si="2"/>
        <v>3.7399999999999998</v>
      </c>
    </row>
    <row r="23" spans="1:26" hidden="1" x14ac:dyDescent="0.3">
      <c r="A23" s="60" t="s">
        <v>409</v>
      </c>
      <c r="B23" s="60" t="s">
        <v>542</v>
      </c>
      <c r="C23" s="49">
        <v>25150</v>
      </c>
      <c r="D23" s="52">
        <v>45762.625</v>
      </c>
      <c r="E23" s="49" t="s">
        <v>32</v>
      </c>
      <c r="F23" s="49">
        <v>4.5</v>
      </c>
      <c r="G23" s="49" t="s">
        <v>33</v>
      </c>
      <c r="H23" s="61">
        <v>5.8</v>
      </c>
      <c r="I23" s="57">
        <f>40000</f>
        <v>40000</v>
      </c>
      <c r="J23" s="49">
        <v>5</v>
      </c>
      <c r="K23" s="50">
        <f t="shared" si="3"/>
        <v>3499.5145631067958</v>
      </c>
      <c r="L23" s="50">
        <f t="shared" si="4"/>
        <v>4510.4854368932038</v>
      </c>
      <c r="M23" s="50">
        <f t="shared" si="5"/>
        <v>8000</v>
      </c>
      <c r="N23" s="50">
        <f t="shared" si="6"/>
        <v>10</v>
      </c>
      <c r="O23" s="50">
        <f t="shared" si="7"/>
        <v>32000</v>
      </c>
      <c r="P23" s="61"/>
      <c r="Q23" s="60">
        <v>10000</v>
      </c>
      <c r="R23" s="24">
        <v>1000</v>
      </c>
      <c r="S23" s="38">
        <f t="shared" si="8"/>
        <v>10</v>
      </c>
      <c r="T23" s="49">
        <f t="shared" si="0"/>
        <v>-0.3</v>
      </c>
      <c r="U23" s="38">
        <v>12.5</v>
      </c>
      <c r="V23" s="48">
        <f t="shared" si="9"/>
        <v>1262.6565656565656</v>
      </c>
      <c r="W23" s="48">
        <f t="shared" si="10"/>
        <v>8727.3434343434346</v>
      </c>
      <c r="X23" s="65">
        <f t="shared" si="1"/>
        <v>0.12484768582329557</v>
      </c>
      <c r="Y23" s="68">
        <f t="shared" si="11"/>
        <v>1.0004854368932041</v>
      </c>
      <c r="Z23" s="69">
        <f t="shared" si="2"/>
        <v>1.2895145631067964</v>
      </c>
    </row>
    <row r="24" spans="1:26" hidden="1" x14ac:dyDescent="0.3">
      <c r="A24" s="60" t="s">
        <v>485</v>
      </c>
      <c r="B24" s="60" t="s">
        <v>415</v>
      </c>
      <c r="C24" s="49">
        <v>25150</v>
      </c>
      <c r="D24" s="52">
        <v>45763.625</v>
      </c>
      <c r="E24" s="49" t="s">
        <v>32</v>
      </c>
      <c r="F24" s="49">
        <v>4.0999999999999996</v>
      </c>
      <c r="G24" s="49" t="s">
        <v>33</v>
      </c>
      <c r="H24" s="61">
        <v>4</v>
      </c>
      <c r="I24" s="57">
        <f>40000</f>
        <v>40000</v>
      </c>
      <c r="J24" s="49">
        <v>5</v>
      </c>
      <c r="K24" s="50">
        <f t="shared" si="3"/>
        <v>4054.4444444444448</v>
      </c>
      <c r="L24" s="50">
        <f t="shared" si="4"/>
        <v>3955.5555555555557</v>
      </c>
      <c r="M24" s="50">
        <f t="shared" si="5"/>
        <v>8000</v>
      </c>
      <c r="N24" s="50">
        <f t="shared" si="6"/>
        <v>10</v>
      </c>
      <c r="O24" s="50">
        <f t="shared" si="7"/>
        <v>32000</v>
      </c>
      <c r="P24" s="61"/>
      <c r="Q24" s="60">
        <v>10000</v>
      </c>
      <c r="R24" s="24">
        <v>1000</v>
      </c>
      <c r="S24" s="38">
        <f t="shared" si="8"/>
        <v>10</v>
      </c>
      <c r="T24" s="49">
        <f t="shared" si="0"/>
        <v>-0.3</v>
      </c>
      <c r="U24" s="38">
        <v>12.5</v>
      </c>
      <c r="V24" s="48">
        <f t="shared" si="9"/>
        <v>1262.6565656565656</v>
      </c>
      <c r="W24" s="48">
        <f t="shared" si="10"/>
        <v>8727.3434343434346</v>
      </c>
      <c r="X24" s="65">
        <f t="shared" si="1"/>
        <v>0.12484768582329557</v>
      </c>
      <c r="Y24" s="68">
        <f t="shared" si="11"/>
        <v>4.5555555555554683E-2</v>
      </c>
      <c r="Z24" s="69">
        <f t="shared" si="2"/>
        <v>4.4444444444444287E-2</v>
      </c>
    </row>
    <row r="25" spans="1:26" x14ac:dyDescent="0.3">
      <c r="A25" s="60"/>
      <c r="B25" s="70" t="s">
        <v>543</v>
      </c>
      <c r="C25" s="49">
        <v>25150</v>
      </c>
      <c r="D25" s="52">
        <v>45763.625</v>
      </c>
      <c r="E25" s="49" t="s">
        <v>32</v>
      </c>
      <c r="F25" s="49">
        <f>SUM(F23:F24)</f>
        <v>8.6</v>
      </c>
      <c r="G25" s="49" t="s">
        <v>33</v>
      </c>
      <c r="H25" s="49">
        <f>SUM(H23:H24)</f>
        <v>9.8000000000000007</v>
      </c>
      <c r="I25" s="57">
        <f>40000</f>
        <v>40000</v>
      </c>
      <c r="J25" s="49">
        <v>5</v>
      </c>
      <c r="K25" s="50">
        <f t="shared" si="3"/>
        <v>3743.8043478260875</v>
      </c>
      <c r="L25" s="50">
        <f t="shared" si="4"/>
        <v>4266.1956521739139</v>
      </c>
      <c r="M25" s="50">
        <f t="shared" si="5"/>
        <v>8000</v>
      </c>
      <c r="N25" s="50">
        <f t="shared" si="6"/>
        <v>10</v>
      </c>
      <c r="O25" s="50">
        <f t="shared" si="7"/>
        <v>32000</v>
      </c>
      <c r="P25" s="61"/>
      <c r="Q25" s="60">
        <v>10000</v>
      </c>
      <c r="R25" s="24">
        <v>1000</v>
      </c>
      <c r="S25" s="38">
        <f t="shared" si="8"/>
        <v>10</v>
      </c>
      <c r="T25" s="49">
        <f t="shared" si="0"/>
        <v>-0.3</v>
      </c>
      <c r="U25" s="38">
        <v>12.5</v>
      </c>
      <c r="V25" s="48">
        <f t="shared" si="9"/>
        <v>1262.6565656565656</v>
      </c>
      <c r="W25" s="48">
        <f t="shared" si="10"/>
        <v>8727.3434343434346</v>
      </c>
      <c r="X25" s="65">
        <f t="shared" si="1"/>
        <v>0.12484768582329557</v>
      </c>
      <c r="Y25" s="68">
        <f t="shared" si="11"/>
        <v>4.8561956521739127</v>
      </c>
      <c r="Z25" s="69">
        <f t="shared" si="2"/>
        <v>5.533804347826087</v>
      </c>
    </row>
    <row r="26" spans="1:26" x14ac:dyDescent="0.3">
      <c r="A26" s="60" t="s">
        <v>427</v>
      </c>
      <c r="B26" s="60" t="s">
        <v>544</v>
      </c>
      <c r="C26" s="49">
        <v>25151</v>
      </c>
      <c r="D26" s="52">
        <v>45757.375</v>
      </c>
      <c r="E26" s="49" t="s">
        <v>32</v>
      </c>
      <c r="F26" s="49">
        <v>22</v>
      </c>
      <c r="G26" s="49" t="s">
        <v>33</v>
      </c>
      <c r="H26" s="61">
        <v>11.5</v>
      </c>
      <c r="I26" s="57">
        <f>40000</f>
        <v>40000</v>
      </c>
      <c r="J26" s="49">
        <v>5</v>
      </c>
      <c r="K26" s="50">
        <f t="shared" si="3"/>
        <v>5260.2985074626858</v>
      </c>
      <c r="L26" s="50">
        <f t="shared" si="4"/>
        <v>2749.7014925373132</v>
      </c>
      <c r="M26" s="50">
        <f t="shared" si="5"/>
        <v>8000</v>
      </c>
      <c r="N26" s="50">
        <f t="shared" si="6"/>
        <v>10</v>
      </c>
      <c r="O26" s="50">
        <f t="shared" si="7"/>
        <v>32000</v>
      </c>
      <c r="P26" s="61"/>
      <c r="Q26" s="60">
        <v>10000</v>
      </c>
      <c r="R26" s="24">
        <v>1000</v>
      </c>
      <c r="S26" s="38">
        <f t="shared" si="8"/>
        <v>10</v>
      </c>
      <c r="T26" s="49">
        <f t="shared" si="0"/>
        <v>-0.3</v>
      </c>
      <c r="U26" s="38">
        <v>12.5</v>
      </c>
      <c r="V26" s="48">
        <f t="shared" si="9"/>
        <v>1262.6565656565656</v>
      </c>
      <c r="W26" s="48">
        <f t="shared" si="10"/>
        <v>8727.3434343434346</v>
      </c>
      <c r="X26" s="65">
        <f t="shared" si="1"/>
        <v>0.12484768582329557</v>
      </c>
      <c r="Y26" s="68">
        <f t="shared" si="11"/>
        <v>16.739701492537314</v>
      </c>
      <c r="Z26" s="69">
        <f t="shared" si="2"/>
        <v>8.7502985074626878</v>
      </c>
    </row>
    <row r="27" spans="1:26" x14ac:dyDescent="0.3">
      <c r="A27" s="60" t="s">
        <v>428</v>
      </c>
      <c r="B27" s="60" t="s">
        <v>545</v>
      </c>
      <c r="C27" s="49">
        <v>25151</v>
      </c>
      <c r="D27" s="52">
        <v>45758.375</v>
      </c>
      <c r="E27" s="49" t="s">
        <v>32</v>
      </c>
      <c r="F27" s="49">
        <v>34</v>
      </c>
      <c r="G27" s="49" t="s">
        <v>33</v>
      </c>
      <c r="H27" s="61">
        <v>19.899999999999999</v>
      </c>
      <c r="I27" s="57">
        <f>40000</f>
        <v>40000</v>
      </c>
      <c r="J27" s="49">
        <v>5</v>
      </c>
      <c r="K27" s="50">
        <f t="shared" si="3"/>
        <v>5052.6901669758818</v>
      </c>
      <c r="L27" s="50">
        <f t="shared" si="4"/>
        <v>2957.3098330241187</v>
      </c>
      <c r="M27" s="50">
        <f t="shared" si="5"/>
        <v>8000</v>
      </c>
      <c r="N27" s="50">
        <f t="shared" si="6"/>
        <v>10</v>
      </c>
      <c r="O27" s="50">
        <f t="shared" si="7"/>
        <v>32000</v>
      </c>
      <c r="P27" s="61"/>
      <c r="Q27" s="60">
        <v>10000</v>
      </c>
      <c r="R27" s="24">
        <v>1000</v>
      </c>
      <c r="S27" s="38">
        <f t="shared" si="8"/>
        <v>10</v>
      </c>
      <c r="T27" s="49">
        <f t="shared" si="0"/>
        <v>-0.3</v>
      </c>
      <c r="U27" s="38">
        <v>12.5</v>
      </c>
      <c r="V27" s="48">
        <f t="shared" si="9"/>
        <v>1262.6565656565656</v>
      </c>
      <c r="W27" s="48">
        <f t="shared" si="10"/>
        <v>8727.3434343434346</v>
      </c>
      <c r="X27" s="65">
        <f t="shared" si="1"/>
        <v>0.12484768582329557</v>
      </c>
      <c r="Y27" s="68">
        <f t="shared" si="11"/>
        <v>28.947309833024118</v>
      </c>
      <c r="Z27" s="69">
        <f t="shared" si="2"/>
        <v>16.942690166975879</v>
      </c>
    </row>
    <row r="28" spans="1:26" x14ac:dyDescent="0.3">
      <c r="A28" s="60" t="s">
        <v>431</v>
      </c>
      <c r="B28" s="60" t="s">
        <v>546</v>
      </c>
      <c r="C28" s="49">
        <v>25151</v>
      </c>
      <c r="D28" s="52">
        <v>45759.416666666664</v>
      </c>
      <c r="E28" s="49" t="s">
        <v>32</v>
      </c>
      <c r="F28" s="49">
        <v>25</v>
      </c>
      <c r="G28" s="49" t="s">
        <v>33</v>
      </c>
      <c r="H28" s="61">
        <v>16.5</v>
      </c>
      <c r="I28" s="57">
        <f>40000</f>
        <v>40000</v>
      </c>
      <c r="J28" s="49">
        <v>5</v>
      </c>
      <c r="K28" s="50">
        <f t="shared" si="3"/>
        <v>4825.3012048192768</v>
      </c>
      <c r="L28" s="50">
        <f t="shared" si="4"/>
        <v>3184.6987951807228</v>
      </c>
      <c r="M28" s="50">
        <f t="shared" si="5"/>
        <v>8000</v>
      </c>
      <c r="N28" s="50">
        <f t="shared" si="6"/>
        <v>10</v>
      </c>
      <c r="O28" s="50">
        <f t="shared" si="7"/>
        <v>32000</v>
      </c>
      <c r="P28" s="61"/>
      <c r="Q28" s="60">
        <v>10000</v>
      </c>
      <c r="R28" s="24">
        <v>1000</v>
      </c>
      <c r="S28" s="38">
        <f t="shared" si="8"/>
        <v>10</v>
      </c>
      <c r="T28" s="49">
        <f t="shared" si="0"/>
        <v>-0.3</v>
      </c>
      <c r="U28" s="38">
        <v>12.5</v>
      </c>
      <c r="V28" s="48">
        <f t="shared" si="9"/>
        <v>1262.6565656565656</v>
      </c>
      <c r="W28" s="48">
        <f t="shared" si="10"/>
        <v>8727.3434343434346</v>
      </c>
      <c r="X28" s="65">
        <f t="shared" si="1"/>
        <v>0.12484768582329557</v>
      </c>
      <c r="Y28" s="68">
        <f t="shared" si="11"/>
        <v>20.174698795180724</v>
      </c>
      <c r="Z28" s="69">
        <f t="shared" si="2"/>
        <v>13.315301204819278</v>
      </c>
    </row>
    <row r="29" spans="1:26" x14ac:dyDescent="0.3">
      <c r="A29" s="60" t="s">
        <v>423</v>
      </c>
      <c r="B29" s="60" t="s">
        <v>547</v>
      </c>
      <c r="C29" s="49">
        <v>25151</v>
      </c>
      <c r="D29" s="52">
        <v>45761.625</v>
      </c>
      <c r="E29" s="49" t="s">
        <v>32</v>
      </c>
      <c r="F29" s="49">
        <v>9</v>
      </c>
      <c r="G29" s="49" t="s">
        <v>33</v>
      </c>
      <c r="H29" s="61">
        <v>6.8</v>
      </c>
      <c r="I29" s="57">
        <f>40000</f>
        <v>40000</v>
      </c>
      <c r="J29" s="49">
        <v>5</v>
      </c>
      <c r="K29" s="50">
        <f t="shared" si="3"/>
        <v>4562.658227848101</v>
      </c>
      <c r="L29" s="50">
        <f t="shared" si="4"/>
        <v>3447.3417721518986</v>
      </c>
      <c r="M29" s="50">
        <f t="shared" si="5"/>
        <v>8000</v>
      </c>
      <c r="N29" s="50">
        <f t="shared" si="6"/>
        <v>10</v>
      </c>
      <c r="O29" s="50">
        <f t="shared" si="7"/>
        <v>32000</v>
      </c>
      <c r="P29" s="61"/>
      <c r="Q29" s="60">
        <v>10000</v>
      </c>
      <c r="R29" s="24">
        <v>1000</v>
      </c>
      <c r="S29" s="38">
        <f t="shared" si="8"/>
        <v>10</v>
      </c>
      <c r="T29" s="49">
        <f t="shared" si="0"/>
        <v>-0.3</v>
      </c>
      <c r="U29" s="38">
        <v>12.5</v>
      </c>
      <c r="V29" s="48">
        <f t="shared" si="9"/>
        <v>1262.6565656565656</v>
      </c>
      <c r="W29" s="48">
        <f t="shared" si="10"/>
        <v>8727.3434343434346</v>
      </c>
      <c r="X29" s="65">
        <f t="shared" si="1"/>
        <v>0.12484768582329557</v>
      </c>
      <c r="Y29" s="68">
        <f t="shared" si="11"/>
        <v>4.4373417721518988</v>
      </c>
      <c r="Z29" s="69">
        <f t="shared" si="2"/>
        <v>3.3526582278481012</v>
      </c>
    </row>
    <row r="30" spans="1:26" hidden="1" x14ac:dyDescent="0.3">
      <c r="A30" s="60" t="s">
        <v>424</v>
      </c>
      <c r="B30" s="60" t="s">
        <v>548</v>
      </c>
      <c r="C30" s="49">
        <v>25151</v>
      </c>
      <c r="D30" s="52">
        <v>45762.625</v>
      </c>
      <c r="E30" s="49" t="s">
        <v>32</v>
      </c>
      <c r="F30" s="49">
        <v>6.8</v>
      </c>
      <c r="G30" s="49" t="s">
        <v>33</v>
      </c>
      <c r="H30" s="61">
        <v>6.1</v>
      </c>
      <c r="I30" s="57">
        <f>40000</f>
        <v>40000</v>
      </c>
      <c r="J30" s="49">
        <v>5</v>
      </c>
      <c r="K30" s="50">
        <f t="shared" si="3"/>
        <v>4222.3255813953492</v>
      </c>
      <c r="L30" s="50">
        <f t="shared" si="4"/>
        <v>3787.6744186046512</v>
      </c>
      <c r="M30" s="50">
        <f t="shared" si="5"/>
        <v>8000</v>
      </c>
      <c r="N30" s="50">
        <f t="shared" si="6"/>
        <v>10</v>
      </c>
      <c r="O30" s="50">
        <f t="shared" si="7"/>
        <v>32000</v>
      </c>
      <c r="P30" s="61"/>
      <c r="Q30" s="60">
        <v>10000</v>
      </c>
      <c r="R30" s="24">
        <v>1000</v>
      </c>
      <c r="S30" s="38">
        <f t="shared" si="8"/>
        <v>10</v>
      </c>
      <c r="T30" s="49">
        <f t="shared" si="0"/>
        <v>-0.3</v>
      </c>
      <c r="U30" s="38">
        <v>12.5</v>
      </c>
      <c r="V30" s="48">
        <f t="shared" si="9"/>
        <v>1262.6565656565656</v>
      </c>
      <c r="W30" s="48">
        <f t="shared" si="10"/>
        <v>8727.3434343434346</v>
      </c>
      <c r="X30" s="65">
        <f t="shared" si="1"/>
        <v>0.12484768582329557</v>
      </c>
      <c r="Y30" s="68">
        <f t="shared" si="11"/>
        <v>2.5776744186046505</v>
      </c>
      <c r="Z30" s="69">
        <f t="shared" si="2"/>
        <v>2.3123255813953483</v>
      </c>
    </row>
    <row r="31" spans="1:26" hidden="1" x14ac:dyDescent="0.3">
      <c r="A31" s="60" t="s">
        <v>486</v>
      </c>
      <c r="B31" s="60" t="s">
        <v>428</v>
      </c>
      <c r="C31" s="49">
        <v>25151</v>
      </c>
      <c r="D31" s="52">
        <v>45763.625</v>
      </c>
      <c r="E31" s="49" t="s">
        <v>32</v>
      </c>
      <c r="F31" s="49">
        <v>4.2</v>
      </c>
      <c r="G31" s="49" t="s">
        <v>33</v>
      </c>
      <c r="H31" s="61">
        <v>4.2</v>
      </c>
      <c r="I31" s="57">
        <f>40000</f>
        <v>40000</v>
      </c>
      <c r="J31" s="49">
        <v>5</v>
      </c>
      <c r="K31" s="50">
        <f t="shared" si="3"/>
        <v>4005</v>
      </c>
      <c r="L31" s="50">
        <f t="shared" si="4"/>
        <v>4005</v>
      </c>
      <c r="M31" s="50">
        <f t="shared" si="5"/>
        <v>8000</v>
      </c>
      <c r="N31" s="50">
        <f t="shared" si="6"/>
        <v>10</v>
      </c>
      <c r="O31" s="50">
        <f t="shared" si="7"/>
        <v>32000</v>
      </c>
      <c r="P31" s="61"/>
      <c r="Q31" s="60">
        <v>10000</v>
      </c>
      <c r="R31" s="24">
        <v>1000</v>
      </c>
      <c r="S31" s="38">
        <f t="shared" si="8"/>
        <v>10</v>
      </c>
      <c r="T31" s="49">
        <f t="shared" si="0"/>
        <v>-0.3</v>
      </c>
      <c r="U31" s="38">
        <v>12.5</v>
      </c>
      <c r="V31" s="48">
        <f t="shared" si="9"/>
        <v>1262.6565656565656</v>
      </c>
      <c r="W31" s="48">
        <f t="shared" si="10"/>
        <v>8727.3434343434346</v>
      </c>
      <c r="X31" s="65">
        <f t="shared" si="1"/>
        <v>0.12484768582329557</v>
      </c>
      <c r="Y31" s="68">
        <f t="shared" si="11"/>
        <v>0.19500000000000028</v>
      </c>
      <c r="Z31" s="69">
        <f t="shared" si="2"/>
        <v>0.19500000000000028</v>
      </c>
    </row>
    <row r="32" spans="1:26" x14ac:dyDescent="0.3">
      <c r="A32" s="60" t="s">
        <v>486</v>
      </c>
      <c r="B32" s="70" t="s">
        <v>549</v>
      </c>
      <c r="C32" s="49">
        <v>25151</v>
      </c>
      <c r="D32" s="52">
        <v>45763.625</v>
      </c>
      <c r="E32" s="49" t="s">
        <v>32</v>
      </c>
      <c r="F32" s="49">
        <f>F30+F31</f>
        <v>11</v>
      </c>
      <c r="G32" s="49" t="s">
        <v>33</v>
      </c>
      <c r="H32" s="49">
        <f>H30+H31</f>
        <v>10.3</v>
      </c>
      <c r="I32" s="57">
        <f>40000</f>
        <v>40000</v>
      </c>
      <c r="J32" s="49">
        <v>5</v>
      </c>
      <c r="K32" s="50">
        <f t="shared" ref="K32" si="12">($I32/J32*$F32/($F32+$H32))+($Q32/$R32*$F32/($F32+$H32))</f>
        <v>4136.6197183098593</v>
      </c>
      <c r="L32" s="50">
        <f t="shared" si="4"/>
        <v>3873.3802816901407</v>
      </c>
      <c r="M32" s="50">
        <f t="shared" ref="M32" si="13">I32/J32</f>
        <v>8000</v>
      </c>
      <c r="N32" s="50">
        <f t="shared" ref="N32" si="14">S32</f>
        <v>10</v>
      </c>
      <c r="O32" s="50">
        <f t="shared" ref="O32" si="15">I32-M32</f>
        <v>32000</v>
      </c>
      <c r="P32" s="61"/>
      <c r="Q32" s="60">
        <v>10000</v>
      </c>
      <c r="R32" s="24">
        <v>1000</v>
      </c>
      <c r="S32" s="38">
        <f t="shared" ref="S32" si="16">(Q32/R32)</f>
        <v>10</v>
      </c>
      <c r="T32" s="49">
        <f t="shared" ref="T32" si="17">P32*J32-0.3</f>
        <v>-0.3</v>
      </c>
      <c r="U32" s="38">
        <v>12.5</v>
      </c>
      <c r="V32" s="48">
        <f t="shared" si="9"/>
        <v>1262.6565656565656</v>
      </c>
      <c r="W32" s="48">
        <f t="shared" ref="W32" si="18">$Q32-S32-V32</f>
        <v>8727.3434343434346</v>
      </c>
      <c r="X32" s="65">
        <f t="shared" ref="X32" si="19">($T32/100*S32+V32*0.99)/SUM(S32:W32)</f>
        <v>0.12484768582329557</v>
      </c>
      <c r="Y32" s="68">
        <f t="shared" ref="Y32" si="20">F32-K32/1000</f>
        <v>6.8633802816901408</v>
      </c>
      <c r="Z32" s="69">
        <f t="shared" ref="Z32" si="21">H32-L32/1000</f>
        <v>6.4266197183098601</v>
      </c>
    </row>
    <row r="33" spans="1:26" hidden="1" x14ac:dyDescent="0.3">
      <c r="A33" s="60" t="s">
        <v>550</v>
      </c>
      <c r="B33" s="60" t="s">
        <v>551</v>
      </c>
      <c r="C33" s="49">
        <v>25170</v>
      </c>
      <c r="D33" s="52">
        <v>45770.395833333336</v>
      </c>
      <c r="E33" s="49" t="s">
        <v>32</v>
      </c>
      <c r="F33" s="49">
        <v>1.2</v>
      </c>
      <c r="G33" s="49" t="s">
        <v>33</v>
      </c>
      <c r="H33" s="61">
        <v>0.3</v>
      </c>
      <c r="I33" s="57">
        <f>40000</f>
        <v>40000</v>
      </c>
      <c r="J33" s="49">
        <v>10</v>
      </c>
      <c r="K33" s="50">
        <f t="shared" si="3"/>
        <v>3208</v>
      </c>
      <c r="L33" s="50">
        <f t="shared" si="4"/>
        <v>802</v>
      </c>
      <c r="M33" s="50">
        <f t="shared" si="5"/>
        <v>4000</v>
      </c>
      <c r="N33" s="50">
        <f t="shared" si="6"/>
        <v>10</v>
      </c>
      <c r="O33" s="50">
        <f t="shared" si="7"/>
        <v>36000</v>
      </c>
      <c r="P33" s="61"/>
      <c r="Q33" s="60">
        <v>10000</v>
      </c>
      <c r="R33" s="24">
        <v>1000</v>
      </c>
      <c r="S33" s="38">
        <f t="shared" si="8"/>
        <v>10</v>
      </c>
      <c r="T33" s="49">
        <f t="shared" si="0"/>
        <v>-0.3</v>
      </c>
      <c r="U33" s="38">
        <v>12.5</v>
      </c>
      <c r="V33" s="48">
        <f t="shared" si="9"/>
        <v>1262.6565656565656</v>
      </c>
      <c r="W33" s="48">
        <f t="shared" si="10"/>
        <v>8727.3434343434346</v>
      </c>
      <c r="X33" s="65">
        <f t="shared" si="1"/>
        <v>0.12484768582329557</v>
      </c>
      <c r="Y33" s="68">
        <f t="shared" si="11"/>
        <v>-2.008</v>
      </c>
      <c r="Z33" s="69">
        <f t="shared" si="2"/>
        <v>-0.502</v>
      </c>
    </row>
    <row r="34" spans="1:26" hidden="1" x14ac:dyDescent="0.3">
      <c r="A34" s="60" t="s">
        <v>552</v>
      </c>
      <c r="B34" s="60" t="s">
        <v>553</v>
      </c>
      <c r="C34" s="49">
        <v>25170</v>
      </c>
      <c r="D34" s="52">
        <v>45771.395833333336</v>
      </c>
      <c r="E34" s="49" t="s">
        <v>32</v>
      </c>
      <c r="F34" s="49">
        <v>3.4</v>
      </c>
      <c r="G34" s="49" t="s">
        <v>33</v>
      </c>
      <c r="H34" s="61">
        <v>1.5</v>
      </c>
      <c r="I34" s="57">
        <f>40000</f>
        <v>40000</v>
      </c>
      <c r="J34" s="49">
        <v>10</v>
      </c>
      <c r="K34" s="50">
        <f t="shared" si="3"/>
        <v>2782.4489795918362</v>
      </c>
      <c r="L34" s="50">
        <f t="shared" si="4"/>
        <v>1227.5510204081631</v>
      </c>
      <c r="M34" s="50">
        <f t="shared" si="5"/>
        <v>4000</v>
      </c>
      <c r="N34" s="50">
        <f t="shared" si="6"/>
        <v>10</v>
      </c>
      <c r="O34" s="50">
        <f t="shared" si="7"/>
        <v>36000</v>
      </c>
      <c r="P34" s="61"/>
      <c r="Q34" s="60">
        <v>10000</v>
      </c>
      <c r="R34" s="24">
        <v>1000</v>
      </c>
      <c r="S34" s="38">
        <f t="shared" si="8"/>
        <v>10</v>
      </c>
      <c r="T34" s="49">
        <f t="shared" si="0"/>
        <v>-0.3</v>
      </c>
      <c r="U34" s="38">
        <v>12.5</v>
      </c>
      <c r="V34" s="48">
        <f t="shared" si="9"/>
        <v>1262.6565656565656</v>
      </c>
      <c r="W34" s="48">
        <f t="shared" si="10"/>
        <v>8727.3434343434346</v>
      </c>
      <c r="X34" s="65">
        <f t="shared" si="1"/>
        <v>0.12484768582329557</v>
      </c>
      <c r="Y34" s="68">
        <f t="shared" si="11"/>
        <v>0.61755102040816379</v>
      </c>
      <c r="Z34" s="69">
        <f t="shared" si="2"/>
        <v>0.27244897959183678</v>
      </c>
    </row>
    <row r="35" spans="1:26" hidden="1" x14ac:dyDescent="0.3">
      <c r="A35" s="60" t="s">
        <v>488</v>
      </c>
      <c r="B35" s="60" t="s">
        <v>554</v>
      </c>
      <c r="C35" s="49">
        <v>25170</v>
      </c>
      <c r="D35" s="52">
        <v>45772.375</v>
      </c>
      <c r="E35" s="49" t="s">
        <v>32</v>
      </c>
      <c r="F35" s="49">
        <v>7.3</v>
      </c>
      <c r="G35" s="49" t="s">
        <v>33</v>
      </c>
      <c r="H35" s="61">
        <v>3.9</v>
      </c>
      <c r="I35" s="57">
        <f>40000</f>
        <v>40000</v>
      </c>
      <c r="J35" s="49">
        <v>5</v>
      </c>
      <c r="K35" s="50">
        <f>($I35/J35*$F35/($F35+$H35))+($Q35/$R35*$F35/($F35+$H35))</f>
        <v>5220.8035714285716</v>
      </c>
      <c r="L35" s="50">
        <f>($I35/$J35*$H35/($F35+$H35))+($Q35/$R35*$H35/($F35+$H35))</f>
        <v>2789.1964285714284</v>
      </c>
      <c r="M35" s="50">
        <f>I35/J35</f>
        <v>8000</v>
      </c>
      <c r="N35" s="50">
        <f>S35</f>
        <v>10</v>
      </c>
      <c r="O35" s="50">
        <f>I35-M35</f>
        <v>32000</v>
      </c>
      <c r="P35" s="61"/>
      <c r="Q35" s="60">
        <v>10000</v>
      </c>
      <c r="R35" s="24">
        <v>1000</v>
      </c>
      <c r="S35" s="38">
        <f>(Q35/R35)</f>
        <v>10</v>
      </c>
      <c r="T35" s="49">
        <f>P35*J35-0.3</f>
        <v>-0.3</v>
      </c>
      <c r="U35" s="38">
        <v>12.5</v>
      </c>
      <c r="V35" s="48">
        <f>(($U35*$Q35/100)-($T35/100*$S35))/0.99</f>
        <v>1262.6565656565656</v>
      </c>
      <c r="W35" s="48">
        <f>$Q35-S35-V35</f>
        <v>8727.3434343434346</v>
      </c>
      <c r="X35" s="65">
        <f>($T35/100*S35+V35*0.99)/SUM(S35:W35)</f>
        <v>0.12484768582329557</v>
      </c>
      <c r="Y35" s="68">
        <f>F35-K35/1000</f>
        <v>2.0791964285714286</v>
      </c>
      <c r="Z35" s="69">
        <f>H35-L35/1000</f>
        <v>1.1108035714285713</v>
      </c>
    </row>
    <row r="36" spans="1:26" x14ac:dyDescent="0.3">
      <c r="A36" s="60" t="s">
        <v>488</v>
      </c>
      <c r="B36" s="70" t="s">
        <v>555</v>
      </c>
      <c r="C36" s="49">
        <v>25170</v>
      </c>
      <c r="D36" s="52">
        <v>45772.375</v>
      </c>
      <c r="E36" s="49" t="s">
        <v>32</v>
      </c>
      <c r="F36" s="49">
        <f>F33+F34+F35</f>
        <v>11.899999999999999</v>
      </c>
      <c r="G36" s="49" t="s">
        <v>33</v>
      </c>
      <c r="H36" s="49">
        <f>H33+H34+H35</f>
        <v>5.7</v>
      </c>
      <c r="I36" s="57">
        <f>40000</f>
        <v>40000</v>
      </c>
      <c r="J36" s="49">
        <v>5</v>
      </c>
      <c r="K36" s="50">
        <f t="shared" si="3"/>
        <v>5415.852272727273</v>
      </c>
      <c r="L36" s="50">
        <f t="shared" si="4"/>
        <v>2594.1477272727279</v>
      </c>
      <c r="M36" s="50">
        <f t="shared" si="5"/>
        <v>8000</v>
      </c>
      <c r="N36" s="50">
        <f t="shared" si="6"/>
        <v>10</v>
      </c>
      <c r="O36" s="50">
        <f t="shared" si="7"/>
        <v>32000</v>
      </c>
      <c r="P36" s="61"/>
      <c r="Q36" s="60">
        <v>10000</v>
      </c>
      <c r="R36" s="24">
        <v>1000</v>
      </c>
      <c r="S36" s="38">
        <f t="shared" si="8"/>
        <v>10</v>
      </c>
      <c r="T36" s="49">
        <f t="shared" si="0"/>
        <v>-0.3</v>
      </c>
      <c r="U36" s="38">
        <v>12.5</v>
      </c>
      <c r="V36" s="48">
        <f t="shared" si="9"/>
        <v>1262.6565656565656</v>
      </c>
      <c r="W36" s="48">
        <f t="shared" si="10"/>
        <v>8727.3434343434346</v>
      </c>
      <c r="X36" s="65">
        <f t="shared" si="1"/>
        <v>0.12484768582329557</v>
      </c>
      <c r="Y36" s="68">
        <f t="shared" si="11"/>
        <v>6.4841477272727257</v>
      </c>
      <c r="Z36" s="69">
        <f>H36-L36/1000</f>
        <v>3.1058522727272724</v>
      </c>
    </row>
    <row r="37" spans="1:26" x14ac:dyDescent="0.3">
      <c r="A37" s="60" t="s">
        <v>489</v>
      </c>
      <c r="B37" s="60" t="s">
        <v>556</v>
      </c>
      <c r="C37" s="49">
        <v>25170</v>
      </c>
      <c r="D37" s="52">
        <v>45773.40625</v>
      </c>
      <c r="E37" s="49" t="s">
        <v>32</v>
      </c>
      <c r="F37" s="49">
        <v>12.6</v>
      </c>
      <c r="G37" s="49" t="s">
        <v>33</v>
      </c>
      <c r="H37" s="61">
        <v>7.9</v>
      </c>
      <c r="I37" s="57">
        <f>40000</f>
        <v>40000</v>
      </c>
      <c r="J37" s="49">
        <v>5</v>
      </c>
      <c r="K37" s="50">
        <f t="shared" si="3"/>
        <v>4923.2195121951218</v>
      </c>
      <c r="L37" s="50">
        <f t="shared" si="4"/>
        <v>3086.7804878048782</v>
      </c>
      <c r="M37" s="50">
        <f t="shared" si="5"/>
        <v>8000</v>
      </c>
      <c r="N37" s="50">
        <f t="shared" si="6"/>
        <v>10</v>
      </c>
      <c r="O37" s="50">
        <f t="shared" si="7"/>
        <v>32000</v>
      </c>
      <c r="P37" s="61"/>
      <c r="Q37" s="60">
        <v>10000</v>
      </c>
      <c r="R37" s="24">
        <v>1000</v>
      </c>
      <c r="S37" s="38">
        <f t="shared" si="8"/>
        <v>10</v>
      </c>
      <c r="T37" s="49">
        <f t="shared" si="0"/>
        <v>-0.3</v>
      </c>
      <c r="U37" s="38">
        <v>12.5</v>
      </c>
      <c r="V37" s="48">
        <f t="shared" si="9"/>
        <v>1262.6565656565656</v>
      </c>
      <c r="W37" s="48">
        <f t="shared" si="10"/>
        <v>8727.3434343434346</v>
      </c>
      <c r="X37" s="65">
        <f t="shared" ref="X37:X66" si="22">($T37/100*S37+V37*0.99)/SUM(S37:W37)</f>
        <v>0.12484768582329557</v>
      </c>
      <c r="Y37" s="68">
        <f t="shared" si="11"/>
        <v>7.6767804878048782</v>
      </c>
      <c r="Z37" s="69">
        <f t="shared" ref="Z37:Z46" si="23">H37-L37/1000</f>
        <v>4.813219512195122</v>
      </c>
    </row>
    <row r="38" spans="1:26" x14ac:dyDescent="0.3">
      <c r="A38" s="60" t="s">
        <v>490</v>
      </c>
      <c r="B38" s="60" t="s">
        <v>557</v>
      </c>
      <c r="C38" s="49">
        <v>25170</v>
      </c>
      <c r="D38" s="52">
        <v>45774.5625</v>
      </c>
      <c r="E38" s="49" t="s">
        <v>32</v>
      </c>
      <c r="F38" s="49">
        <v>15</v>
      </c>
      <c r="G38" s="49" t="s">
        <v>33</v>
      </c>
      <c r="H38" s="61">
        <v>9.6999999999999993</v>
      </c>
      <c r="I38" s="57">
        <f>40000</f>
        <v>40000</v>
      </c>
      <c r="J38" s="49">
        <v>5</v>
      </c>
      <c r="K38" s="50">
        <f t="shared" si="3"/>
        <v>4864.3724696356276</v>
      </c>
      <c r="L38" s="50">
        <f t="shared" si="4"/>
        <v>3145.6275303643729</v>
      </c>
      <c r="M38" s="50">
        <f t="shared" si="5"/>
        <v>8000</v>
      </c>
      <c r="N38" s="50">
        <f t="shared" si="6"/>
        <v>10</v>
      </c>
      <c r="O38" s="50">
        <f t="shared" si="7"/>
        <v>32000</v>
      </c>
      <c r="P38" s="61"/>
      <c r="Q38" s="60">
        <v>10000</v>
      </c>
      <c r="R38" s="24">
        <v>1000</v>
      </c>
      <c r="S38" s="38">
        <f t="shared" si="8"/>
        <v>10</v>
      </c>
      <c r="T38" s="49">
        <f t="shared" si="0"/>
        <v>-0.3</v>
      </c>
      <c r="U38" s="38">
        <v>12.5</v>
      </c>
      <c r="V38" s="48">
        <f t="shared" si="9"/>
        <v>1262.6565656565656</v>
      </c>
      <c r="W38" s="48">
        <f t="shared" si="10"/>
        <v>8727.3434343434346</v>
      </c>
      <c r="X38" s="65">
        <f t="shared" si="22"/>
        <v>0.12484768582329557</v>
      </c>
      <c r="Y38" s="68">
        <f t="shared" si="11"/>
        <v>10.135627530364372</v>
      </c>
      <c r="Z38" s="69">
        <f t="shared" si="23"/>
        <v>6.5543724696356263</v>
      </c>
    </row>
    <row r="39" spans="1:26" x14ac:dyDescent="0.3">
      <c r="A39" s="60" t="s">
        <v>491</v>
      </c>
      <c r="B39" s="60" t="s">
        <v>558</v>
      </c>
      <c r="C39" s="49">
        <v>25170</v>
      </c>
      <c r="D39" s="52">
        <v>45775.375</v>
      </c>
      <c r="E39" s="49" t="s">
        <v>32</v>
      </c>
      <c r="F39" s="49">
        <v>11</v>
      </c>
      <c r="G39" s="49" t="s">
        <v>33</v>
      </c>
      <c r="H39" s="61">
        <v>6</v>
      </c>
      <c r="I39" s="57">
        <f>40000</f>
        <v>40000</v>
      </c>
      <c r="J39" s="49">
        <v>5</v>
      </c>
      <c r="K39" s="50">
        <f t="shared" si="3"/>
        <v>5182.9411764705874</v>
      </c>
      <c r="L39" s="50">
        <f t="shared" si="4"/>
        <v>2827.0588235294117</v>
      </c>
      <c r="M39" s="50">
        <f t="shared" si="5"/>
        <v>8000</v>
      </c>
      <c r="N39" s="50">
        <f t="shared" si="6"/>
        <v>10</v>
      </c>
      <c r="O39" s="50">
        <f t="shared" si="7"/>
        <v>32000</v>
      </c>
      <c r="P39" s="61"/>
      <c r="Q39" s="60">
        <v>10000</v>
      </c>
      <c r="R39" s="24">
        <v>1000</v>
      </c>
      <c r="S39" s="38">
        <f t="shared" si="8"/>
        <v>10</v>
      </c>
      <c r="T39" s="49">
        <f t="shared" si="0"/>
        <v>-0.3</v>
      </c>
      <c r="U39" s="38">
        <v>12.5</v>
      </c>
      <c r="V39" s="48">
        <f t="shared" si="9"/>
        <v>1262.6565656565656</v>
      </c>
      <c r="W39" s="48">
        <f t="shared" si="10"/>
        <v>8727.3434343434346</v>
      </c>
      <c r="X39" s="65">
        <f t="shared" si="22"/>
        <v>0.12484768582329557</v>
      </c>
      <c r="Y39" s="68">
        <f t="shared" si="11"/>
        <v>5.8170588235294129</v>
      </c>
      <c r="Z39" s="69">
        <f t="shared" si="23"/>
        <v>3.1729411764705882</v>
      </c>
    </row>
    <row r="40" spans="1:26" x14ac:dyDescent="0.3">
      <c r="A40" s="60" t="s">
        <v>492</v>
      </c>
      <c r="B40" s="60" t="s">
        <v>559</v>
      </c>
      <c r="C40" s="49">
        <v>25170</v>
      </c>
      <c r="D40" s="52">
        <v>45776.4375</v>
      </c>
      <c r="E40" s="49" t="s">
        <v>32</v>
      </c>
      <c r="F40" s="49">
        <v>10</v>
      </c>
      <c r="G40" s="49" t="s">
        <v>33</v>
      </c>
      <c r="H40" s="61">
        <v>5.7</v>
      </c>
      <c r="I40" s="57">
        <f>40000</f>
        <v>40000</v>
      </c>
      <c r="J40" s="49">
        <v>5</v>
      </c>
      <c r="K40" s="50">
        <f t="shared" si="3"/>
        <v>5101.9108280254777</v>
      </c>
      <c r="L40" s="50">
        <f t="shared" si="4"/>
        <v>2908.0891719745223</v>
      </c>
      <c r="M40" s="50">
        <f t="shared" si="5"/>
        <v>8000</v>
      </c>
      <c r="N40" s="50">
        <f t="shared" si="6"/>
        <v>10</v>
      </c>
      <c r="O40" s="50">
        <f t="shared" si="7"/>
        <v>32000</v>
      </c>
      <c r="P40" s="61"/>
      <c r="Q40" s="60">
        <v>10000</v>
      </c>
      <c r="R40" s="24">
        <v>1000</v>
      </c>
      <c r="S40" s="38">
        <f t="shared" si="8"/>
        <v>10</v>
      </c>
      <c r="T40" s="49">
        <f t="shared" si="0"/>
        <v>-0.3</v>
      </c>
      <c r="U40" s="38">
        <v>12.5</v>
      </c>
      <c r="V40" s="48">
        <f t="shared" si="9"/>
        <v>1262.6565656565656</v>
      </c>
      <c r="W40" s="48">
        <f t="shared" si="10"/>
        <v>8727.3434343434346</v>
      </c>
      <c r="X40" s="65">
        <f t="shared" si="22"/>
        <v>0.12484768582329557</v>
      </c>
      <c r="Y40" s="68">
        <f t="shared" si="11"/>
        <v>4.8980891719745223</v>
      </c>
      <c r="Z40" s="69">
        <f t="shared" si="23"/>
        <v>2.7919108280254781</v>
      </c>
    </row>
    <row r="41" spans="1:26" x14ac:dyDescent="0.3">
      <c r="A41" s="60" t="s">
        <v>493</v>
      </c>
      <c r="B41" s="60" t="s">
        <v>560</v>
      </c>
      <c r="C41" s="49">
        <v>25170</v>
      </c>
      <c r="D41" s="52">
        <v>45777.375</v>
      </c>
      <c r="E41" s="49" t="s">
        <v>32</v>
      </c>
      <c r="F41" s="49">
        <v>8.5</v>
      </c>
      <c r="G41" s="49" t="s">
        <v>33</v>
      </c>
      <c r="H41" s="61">
        <v>4.5</v>
      </c>
      <c r="I41" s="57">
        <f>40000</f>
        <v>40000</v>
      </c>
      <c r="J41" s="49">
        <v>5</v>
      </c>
      <c r="K41" s="50">
        <f t="shared" si="3"/>
        <v>5237.3076923076924</v>
      </c>
      <c r="L41" s="50">
        <f t="shared" si="4"/>
        <v>2772.6923076923076</v>
      </c>
      <c r="M41" s="50">
        <f t="shared" si="5"/>
        <v>8000</v>
      </c>
      <c r="N41" s="50">
        <f t="shared" si="6"/>
        <v>10</v>
      </c>
      <c r="O41" s="50">
        <f t="shared" si="7"/>
        <v>32000</v>
      </c>
      <c r="P41" s="61"/>
      <c r="Q41" s="60">
        <v>10000</v>
      </c>
      <c r="R41" s="24">
        <v>1000</v>
      </c>
      <c r="S41" s="38">
        <f t="shared" si="8"/>
        <v>10</v>
      </c>
      <c r="T41" s="49">
        <f t="shared" si="0"/>
        <v>-0.3</v>
      </c>
      <c r="U41" s="38">
        <v>12.5</v>
      </c>
      <c r="V41" s="48">
        <f t="shared" si="9"/>
        <v>1262.6565656565656</v>
      </c>
      <c r="W41" s="48">
        <f t="shared" si="10"/>
        <v>8727.3434343434346</v>
      </c>
      <c r="X41" s="65">
        <f t="shared" si="22"/>
        <v>0.12484768582329557</v>
      </c>
      <c r="Y41" s="68">
        <f t="shared" si="11"/>
        <v>3.2626923076923076</v>
      </c>
      <c r="Z41" s="69">
        <f t="shared" si="23"/>
        <v>1.7273076923076922</v>
      </c>
    </row>
    <row r="42" spans="1:26" x14ac:dyDescent="0.3">
      <c r="A42" s="60" t="s">
        <v>494</v>
      </c>
      <c r="B42" s="60" t="s">
        <v>561</v>
      </c>
      <c r="C42" s="49">
        <v>25170</v>
      </c>
      <c r="D42" s="52">
        <v>45778.729166666664</v>
      </c>
      <c r="E42" s="49" t="s">
        <v>32</v>
      </c>
      <c r="F42" s="49">
        <v>9.5</v>
      </c>
      <c r="G42" s="49" t="s">
        <v>33</v>
      </c>
      <c r="H42" s="61">
        <v>5</v>
      </c>
      <c r="I42" s="57">
        <f>40000</f>
        <v>40000</v>
      </c>
      <c r="J42" s="49">
        <v>5</v>
      </c>
      <c r="K42" s="50">
        <f t="shared" si="3"/>
        <v>5247.9310344827591</v>
      </c>
      <c r="L42" s="50">
        <f t="shared" si="4"/>
        <v>2762.0689655172414</v>
      </c>
      <c r="M42" s="50">
        <f t="shared" si="5"/>
        <v>8000</v>
      </c>
      <c r="N42" s="50">
        <f t="shared" si="6"/>
        <v>10</v>
      </c>
      <c r="O42" s="50">
        <f t="shared" si="7"/>
        <v>32000</v>
      </c>
      <c r="P42" s="61"/>
      <c r="Q42" s="60">
        <v>10000</v>
      </c>
      <c r="R42" s="24">
        <v>1000</v>
      </c>
      <c r="S42" s="38">
        <f t="shared" si="8"/>
        <v>10</v>
      </c>
      <c r="T42" s="49">
        <f t="shared" si="0"/>
        <v>-0.3</v>
      </c>
      <c r="U42" s="38">
        <v>12.5</v>
      </c>
      <c r="V42" s="48">
        <f t="shared" si="9"/>
        <v>1262.6565656565656</v>
      </c>
      <c r="W42" s="48">
        <f t="shared" si="10"/>
        <v>8727.3434343434346</v>
      </c>
      <c r="X42" s="65">
        <f t="shared" si="22"/>
        <v>0.12484768582329557</v>
      </c>
      <c r="Y42" s="68">
        <f t="shared" si="11"/>
        <v>4.2520689655172408</v>
      </c>
      <c r="Z42" s="69">
        <f t="shared" si="23"/>
        <v>2.2379310344827585</v>
      </c>
    </row>
    <row r="43" spans="1:26" hidden="1" x14ac:dyDescent="0.3">
      <c r="A43" s="60" t="s">
        <v>562</v>
      </c>
      <c r="B43" s="60" t="s">
        <v>563</v>
      </c>
      <c r="C43" s="49">
        <v>25170</v>
      </c>
      <c r="D43" s="52">
        <v>45779.4375</v>
      </c>
      <c r="E43" s="49" t="s">
        <v>32</v>
      </c>
      <c r="F43" s="49">
        <v>5.5</v>
      </c>
      <c r="G43" s="49" t="s">
        <v>33</v>
      </c>
      <c r="H43" s="61">
        <v>2.5</v>
      </c>
      <c r="I43" s="57">
        <f>40000</f>
        <v>40000</v>
      </c>
      <c r="J43" s="49">
        <v>5</v>
      </c>
      <c r="K43" s="50">
        <f t="shared" si="3"/>
        <v>5506.875</v>
      </c>
      <c r="L43" s="50">
        <f t="shared" si="4"/>
        <v>2503.125</v>
      </c>
      <c r="M43" s="50">
        <f t="shared" si="5"/>
        <v>8000</v>
      </c>
      <c r="N43" s="50">
        <f t="shared" si="6"/>
        <v>10</v>
      </c>
      <c r="O43" s="50">
        <f t="shared" si="7"/>
        <v>32000</v>
      </c>
      <c r="P43" s="61"/>
      <c r="Q43" s="60">
        <v>10000</v>
      </c>
      <c r="R43" s="24">
        <v>1000</v>
      </c>
      <c r="S43" s="38">
        <f t="shared" si="8"/>
        <v>10</v>
      </c>
      <c r="T43" s="49">
        <f t="shared" si="0"/>
        <v>-0.3</v>
      </c>
      <c r="U43" s="38">
        <v>12.5</v>
      </c>
      <c r="V43" s="48">
        <f t="shared" si="9"/>
        <v>1262.6565656565656</v>
      </c>
      <c r="W43" s="48">
        <f t="shared" si="10"/>
        <v>8727.3434343434346</v>
      </c>
      <c r="X43" s="65">
        <f t="shared" si="22"/>
        <v>0.12484768582329557</v>
      </c>
      <c r="Y43" s="68">
        <f t="shared" si="11"/>
        <v>-6.8749999999999645E-3</v>
      </c>
      <c r="Z43" s="69">
        <f t="shared" si="23"/>
        <v>-3.1249999999998224E-3</v>
      </c>
    </row>
    <row r="44" spans="1:26" hidden="1" x14ac:dyDescent="0.3">
      <c r="A44" s="60" t="s">
        <v>495</v>
      </c>
      <c r="B44" s="60" t="s">
        <v>564</v>
      </c>
      <c r="C44" s="49">
        <v>25170</v>
      </c>
      <c r="D44" s="52">
        <v>45780.5</v>
      </c>
      <c r="E44" s="49" t="s">
        <v>32</v>
      </c>
      <c r="F44" s="49">
        <v>5.4</v>
      </c>
      <c r="G44" s="49" t="s">
        <v>33</v>
      </c>
      <c r="H44" s="61">
        <v>2.9</v>
      </c>
      <c r="I44" s="57">
        <f>40000</f>
        <v>40000</v>
      </c>
      <c r="J44" s="49">
        <v>5</v>
      </c>
      <c r="K44" s="50">
        <f t="shared" si="3"/>
        <v>5211.325301204819</v>
      </c>
      <c r="L44" s="50">
        <f t="shared" si="4"/>
        <v>2798.6746987951806</v>
      </c>
      <c r="M44" s="50">
        <f t="shared" si="5"/>
        <v>8000</v>
      </c>
      <c r="N44" s="50">
        <f t="shared" si="6"/>
        <v>10</v>
      </c>
      <c r="O44" s="50">
        <f t="shared" si="7"/>
        <v>32000</v>
      </c>
      <c r="P44" s="61"/>
      <c r="Q44" s="60">
        <v>10000</v>
      </c>
      <c r="R44" s="24">
        <v>1000</v>
      </c>
      <c r="S44" s="38">
        <f t="shared" si="8"/>
        <v>10</v>
      </c>
      <c r="T44" s="49">
        <f t="shared" si="0"/>
        <v>-0.3</v>
      </c>
      <c r="U44" s="38">
        <v>12.5</v>
      </c>
      <c r="V44" s="48">
        <f t="shared" si="9"/>
        <v>1262.6565656565656</v>
      </c>
      <c r="W44" s="48">
        <f t="shared" si="10"/>
        <v>8727.3434343434346</v>
      </c>
      <c r="X44" s="65">
        <f t="shared" si="22"/>
        <v>0.12484768582329557</v>
      </c>
      <c r="Y44" s="68">
        <f t="shared" si="11"/>
        <v>0.18867469879518151</v>
      </c>
      <c r="Z44" s="69">
        <f t="shared" si="23"/>
        <v>0.10132530120481942</v>
      </c>
    </row>
    <row r="45" spans="1:26" hidden="1" x14ac:dyDescent="0.3">
      <c r="A45" s="60" t="s">
        <v>565</v>
      </c>
      <c r="B45" s="60" t="s">
        <v>566</v>
      </c>
      <c r="C45" s="49">
        <v>25170</v>
      </c>
      <c r="D45" s="52">
        <v>45781.5</v>
      </c>
      <c r="E45" s="49" t="s">
        <v>32</v>
      </c>
      <c r="F45" s="49">
        <v>3.3</v>
      </c>
      <c r="G45" s="49" t="s">
        <v>33</v>
      </c>
      <c r="H45" s="61">
        <v>2.5</v>
      </c>
      <c r="I45" s="57">
        <f>40000</f>
        <v>40000</v>
      </c>
      <c r="J45" s="49">
        <v>5</v>
      </c>
      <c r="K45" s="50">
        <f t="shared" si="3"/>
        <v>4557.4137931034484</v>
      </c>
      <c r="L45" s="50">
        <f t="shared" si="4"/>
        <v>3452.5862068965516</v>
      </c>
      <c r="M45" s="50">
        <f t="shared" si="5"/>
        <v>8000</v>
      </c>
      <c r="N45" s="50">
        <f t="shared" si="6"/>
        <v>10</v>
      </c>
      <c r="O45" s="50">
        <f t="shared" si="7"/>
        <v>32000</v>
      </c>
      <c r="P45" s="61"/>
      <c r="Q45" s="60">
        <v>10000</v>
      </c>
      <c r="R45" s="24">
        <v>1000</v>
      </c>
      <c r="S45" s="38">
        <f t="shared" si="8"/>
        <v>10</v>
      </c>
      <c r="T45" s="49">
        <f t="shared" si="0"/>
        <v>-0.3</v>
      </c>
      <c r="U45" s="38">
        <v>12.5</v>
      </c>
      <c r="V45" s="48">
        <f t="shared" si="9"/>
        <v>1262.6565656565656</v>
      </c>
      <c r="W45" s="48">
        <f t="shared" si="10"/>
        <v>8727.3434343434346</v>
      </c>
      <c r="X45" s="65">
        <f t="shared" si="22"/>
        <v>0.12484768582329557</v>
      </c>
      <c r="Y45" s="68">
        <f t="shared" si="11"/>
        <v>-1.2574137931034484</v>
      </c>
      <c r="Z45" s="69">
        <f t="shared" si="23"/>
        <v>-0.9525862068965516</v>
      </c>
    </row>
    <row r="46" spans="1:26" hidden="1" x14ac:dyDescent="0.3">
      <c r="A46" s="60" t="s">
        <v>496</v>
      </c>
      <c r="B46" s="60" t="s">
        <v>567</v>
      </c>
      <c r="C46" s="49">
        <v>25170</v>
      </c>
      <c r="D46" s="52">
        <v>45782.40625</v>
      </c>
      <c r="E46" s="49" t="s">
        <v>32</v>
      </c>
      <c r="F46" s="49">
        <v>4.4000000000000004</v>
      </c>
      <c r="G46" s="49" t="s">
        <v>33</v>
      </c>
      <c r="H46" s="61">
        <v>2.2000000000000002</v>
      </c>
      <c r="I46" s="57">
        <f>40000</f>
        <v>40000</v>
      </c>
      <c r="J46" s="49">
        <v>5</v>
      </c>
      <c r="K46" s="50">
        <f t="shared" si="3"/>
        <v>5340</v>
      </c>
      <c r="L46" s="50">
        <f t="shared" si="4"/>
        <v>2670</v>
      </c>
      <c r="M46" s="50">
        <f t="shared" si="5"/>
        <v>8000</v>
      </c>
      <c r="N46" s="50">
        <f t="shared" si="6"/>
        <v>10</v>
      </c>
      <c r="O46" s="50">
        <f t="shared" si="7"/>
        <v>32000</v>
      </c>
      <c r="P46" s="61"/>
      <c r="Q46" s="60">
        <v>10000</v>
      </c>
      <c r="R46" s="24">
        <v>1000</v>
      </c>
      <c r="S46" s="38">
        <f t="shared" si="8"/>
        <v>10</v>
      </c>
      <c r="T46" s="49">
        <f t="shared" si="0"/>
        <v>-0.3</v>
      </c>
      <c r="U46" s="38">
        <v>12.5</v>
      </c>
      <c r="V46" s="48">
        <f t="shared" si="9"/>
        <v>1262.6565656565656</v>
      </c>
      <c r="W46" s="48">
        <f t="shared" si="10"/>
        <v>8727.3434343434346</v>
      </c>
      <c r="X46" s="65">
        <f t="shared" si="22"/>
        <v>0.12484768582329557</v>
      </c>
      <c r="Y46" s="68">
        <f t="shared" si="11"/>
        <v>-0.9399999999999995</v>
      </c>
      <c r="Z46" s="69">
        <f t="shared" si="23"/>
        <v>-0.46999999999999975</v>
      </c>
    </row>
    <row r="47" spans="1:26" x14ac:dyDescent="0.3">
      <c r="A47" s="60" t="s">
        <v>495</v>
      </c>
      <c r="B47" s="70" t="s">
        <v>568</v>
      </c>
      <c r="C47" s="49">
        <v>25170</v>
      </c>
      <c r="D47" s="52">
        <v>45780.5</v>
      </c>
      <c r="E47" s="49" t="s">
        <v>32</v>
      </c>
      <c r="F47" s="49">
        <f>F43+F44</f>
        <v>10.9</v>
      </c>
      <c r="G47" s="49" t="s">
        <v>33</v>
      </c>
      <c r="H47" s="49">
        <f>H43+H44</f>
        <v>5.4</v>
      </c>
      <c r="I47" s="57">
        <f>40000</f>
        <v>40000</v>
      </c>
      <c r="J47" s="49">
        <v>5</v>
      </c>
      <c r="K47" s="50">
        <f t="shared" ref="K47" si="24">($I47/J47*$F47/($F47+$H47))+($Q47/$R47*$F47/($F47+$H47))</f>
        <v>5356.3803680981591</v>
      </c>
      <c r="L47" s="50">
        <f t="shared" si="4"/>
        <v>2653.6196319018404</v>
      </c>
      <c r="M47" s="50">
        <f t="shared" ref="M47" si="25">I47/J47</f>
        <v>8000</v>
      </c>
      <c r="N47" s="50">
        <f t="shared" ref="N47" si="26">S47</f>
        <v>10</v>
      </c>
      <c r="O47" s="50">
        <f t="shared" ref="O47" si="27">I47-M47</f>
        <v>32000</v>
      </c>
      <c r="P47" s="61"/>
      <c r="Q47" s="60">
        <v>10000</v>
      </c>
      <c r="R47" s="24">
        <v>1000</v>
      </c>
      <c r="S47" s="38">
        <f t="shared" ref="S47" si="28">(Q47/R47)</f>
        <v>10</v>
      </c>
      <c r="T47" s="49">
        <f t="shared" ref="T47" si="29">P47*J47-0.3</f>
        <v>-0.3</v>
      </c>
      <c r="U47" s="38">
        <v>12.5</v>
      </c>
      <c r="V47" s="48">
        <f t="shared" si="9"/>
        <v>1262.6565656565656</v>
      </c>
      <c r="W47" s="48">
        <f t="shared" ref="W47" si="30">$Q47-S47-V47</f>
        <v>8727.3434343434346</v>
      </c>
      <c r="X47" s="65">
        <f t="shared" ref="X47" si="31">($T47/100*S47+V47*0.99)/SUM(S47:W47)</f>
        <v>0.12484768582329557</v>
      </c>
      <c r="Y47" s="68">
        <f t="shared" ref="Y47" si="32">F47-K47/1000</f>
        <v>5.5436196319018416</v>
      </c>
      <c r="Z47" s="69">
        <f t="shared" ref="Z47" si="33">H47-L47/1000</f>
        <v>2.7463803680981598</v>
      </c>
    </row>
    <row r="48" spans="1:26" x14ac:dyDescent="0.3">
      <c r="A48" s="60" t="s">
        <v>496</v>
      </c>
      <c r="B48" s="70" t="s">
        <v>569</v>
      </c>
      <c r="C48" s="49">
        <v>25170</v>
      </c>
      <c r="D48" s="52">
        <v>45782.40625</v>
      </c>
      <c r="E48" s="49" t="s">
        <v>32</v>
      </c>
      <c r="F48" s="49">
        <f>F46+F45</f>
        <v>7.7</v>
      </c>
      <c r="G48" s="49" t="s">
        <v>33</v>
      </c>
      <c r="H48" s="49">
        <f>H46+H45</f>
        <v>4.7</v>
      </c>
      <c r="I48" s="57">
        <f>40000</f>
        <v>40000</v>
      </c>
      <c r="J48" s="49">
        <v>5</v>
      </c>
      <c r="K48" s="50">
        <f t="shared" si="3"/>
        <v>4973.9516129032263</v>
      </c>
      <c r="L48" s="50">
        <f t="shared" si="4"/>
        <v>3036.0483870967741</v>
      </c>
      <c r="M48" s="50">
        <f t="shared" si="5"/>
        <v>8000</v>
      </c>
      <c r="N48" s="50">
        <f t="shared" si="6"/>
        <v>10</v>
      </c>
      <c r="O48" s="50">
        <f t="shared" si="7"/>
        <v>32000</v>
      </c>
      <c r="P48" s="61"/>
      <c r="Q48" s="60">
        <v>10000</v>
      </c>
      <c r="R48" s="24">
        <v>1000</v>
      </c>
      <c r="S48" s="38">
        <f t="shared" si="8"/>
        <v>10</v>
      </c>
      <c r="T48" s="49">
        <f t="shared" ref="T48" si="34">P48*J48-0.3</f>
        <v>-0.3</v>
      </c>
      <c r="U48" s="38">
        <v>12.5</v>
      </c>
      <c r="V48" s="48">
        <f t="shared" si="9"/>
        <v>1262.6565656565656</v>
      </c>
      <c r="W48" s="48">
        <f t="shared" si="10"/>
        <v>8727.3434343434346</v>
      </c>
      <c r="X48" s="65">
        <f t="shared" si="22"/>
        <v>0.12484768582329557</v>
      </c>
      <c r="Y48" s="68">
        <f t="shared" si="11"/>
        <v>2.7260483870967738</v>
      </c>
      <c r="Z48" s="69">
        <f t="shared" ref="Z48" si="35">H48-L48/1000</f>
        <v>1.6639516129032259</v>
      </c>
    </row>
    <row r="49" spans="1:26" hidden="1" x14ac:dyDescent="0.3">
      <c r="A49" s="60" t="s">
        <v>570</v>
      </c>
      <c r="B49" s="60" t="s">
        <v>571</v>
      </c>
      <c r="C49" s="49">
        <v>25170</v>
      </c>
      <c r="D49" s="52">
        <v>45783.416666666664</v>
      </c>
      <c r="E49" s="49" t="s">
        <v>32</v>
      </c>
      <c r="F49" s="49">
        <v>2.5</v>
      </c>
      <c r="G49" s="49" t="s">
        <v>33</v>
      </c>
      <c r="H49" s="61">
        <v>1.4</v>
      </c>
      <c r="I49" s="57">
        <f>40000</f>
        <v>40000</v>
      </c>
      <c r="J49" s="49">
        <v>5</v>
      </c>
      <c r="K49" s="50">
        <f t="shared" si="3"/>
        <v>5134.6153846153848</v>
      </c>
      <c r="L49" s="50">
        <f t="shared" si="4"/>
        <v>2875.3846153846157</v>
      </c>
      <c r="M49" s="50">
        <f t="shared" si="5"/>
        <v>8000</v>
      </c>
      <c r="N49" s="50">
        <f t="shared" si="6"/>
        <v>10</v>
      </c>
      <c r="O49" s="50">
        <f t="shared" si="7"/>
        <v>32000</v>
      </c>
      <c r="P49" s="61"/>
      <c r="Q49" s="60">
        <v>10000</v>
      </c>
      <c r="R49" s="24">
        <v>1000</v>
      </c>
      <c r="S49" s="38">
        <f t="shared" si="8"/>
        <v>10</v>
      </c>
      <c r="T49" s="49">
        <f t="shared" ref="T49:T66" si="36">P49*J49-0.3</f>
        <v>-0.3</v>
      </c>
      <c r="U49" s="38">
        <v>12.5</v>
      </c>
      <c r="V49" s="48">
        <f t="shared" si="9"/>
        <v>1262.6565656565656</v>
      </c>
      <c r="W49" s="48">
        <f t="shared" si="10"/>
        <v>8727.3434343434346</v>
      </c>
      <c r="X49" s="65">
        <f t="shared" si="22"/>
        <v>0.12484768582329557</v>
      </c>
      <c r="Y49" s="68">
        <f t="shared" si="11"/>
        <v>-2.634615384615385</v>
      </c>
      <c r="Z49" s="69">
        <f t="shared" ref="Z49:Z66" si="37">H49-L49/1000</f>
        <v>-1.4753846153846157</v>
      </c>
    </row>
    <row r="50" spans="1:26" hidden="1" x14ac:dyDescent="0.3">
      <c r="A50" s="60" t="s">
        <v>497</v>
      </c>
      <c r="B50" s="60" t="s">
        <v>572</v>
      </c>
      <c r="C50" s="49">
        <v>25170</v>
      </c>
      <c r="D50" s="52">
        <v>45784.4375</v>
      </c>
      <c r="E50" s="49" t="s">
        <v>32</v>
      </c>
      <c r="F50" s="49">
        <v>3.7</v>
      </c>
      <c r="G50" s="49" t="s">
        <v>33</v>
      </c>
      <c r="H50" s="61">
        <v>1.5</v>
      </c>
      <c r="I50" s="57">
        <f>40000</f>
        <v>40000</v>
      </c>
      <c r="J50" s="49">
        <v>5</v>
      </c>
      <c r="K50" s="50">
        <f t="shared" si="3"/>
        <v>5699.4230769230771</v>
      </c>
      <c r="L50" s="50">
        <f t="shared" si="4"/>
        <v>2310.5769230769229</v>
      </c>
      <c r="M50" s="50">
        <f t="shared" si="5"/>
        <v>8000</v>
      </c>
      <c r="N50" s="50">
        <f t="shared" si="6"/>
        <v>10</v>
      </c>
      <c r="O50" s="50">
        <f t="shared" si="7"/>
        <v>32000</v>
      </c>
      <c r="P50" s="61"/>
      <c r="Q50" s="60">
        <v>10000</v>
      </c>
      <c r="R50" s="24">
        <v>1000</v>
      </c>
      <c r="S50" s="38">
        <f t="shared" si="8"/>
        <v>10</v>
      </c>
      <c r="T50" s="49">
        <f t="shared" si="36"/>
        <v>-0.3</v>
      </c>
      <c r="U50" s="38">
        <v>12.5</v>
      </c>
      <c r="V50" s="48">
        <f t="shared" si="9"/>
        <v>1262.6565656565656</v>
      </c>
      <c r="W50" s="48">
        <f t="shared" si="10"/>
        <v>8727.3434343434346</v>
      </c>
      <c r="X50" s="65">
        <f t="shared" si="22"/>
        <v>0.12484768582329557</v>
      </c>
      <c r="Y50" s="68">
        <f t="shared" si="11"/>
        <v>-1.999423076923077</v>
      </c>
      <c r="Z50" s="69">
        <f t="shared" si="37"/>
        <v>-0.81057692307692308</v>
      </c>
    </row>
    <row r="51" spans="1:26" x14ac:dyDescent="0.3">
      <c r="A51" s="60" t="s">
        <v>497</v>
      </c>
      <c r="B51" s="70" t="s">
        <v>573</v>
      </c>
      <c r="C51" s="49">
        <v>25170</v>
      </c>
      <c r="D51" s="52">
        <v>45784.4375</v>
      </c>
      <c r="E51" s="49" t="s">
        <v>32</v>
      </c>
      <c r="F51" s="49">
        <f>SUM(F49:F50)</f>
        <v>6.2</v>
      </c>
      <c r="G51" s="49" t="s">
        <v>33</v>
      </c>
      <c r="H51" s="49">
        <f>SUM(H49:H50)</f>
        <v>2.9</v>
      </c>
      <c r="I51" s="57">
        <f>40000</f>
        <v>40000</v>
      </c>
      <c r="J51" s="49">
        <v>5</v>
      </c>
      <c r="K51" s="50">
        <f t="shared" si="3"/>
        <v>5457.3626373626375</v>
      </c>
      <c r="L51" s="50">
        <f t="shared" si="4"/>
        <v>2552.6373626373629</v>
      </c>
      <c r="M51" s="50">
        <f t="shared" si="5"/>
        <v>8000</v>
      </c>
      <c r="N51" s="50">
        <f t="shared" si="6"/>
        <v>10</v>
      </c>
      <c r="O51" s="50">
        <f t="shared" si="7"/>
        <v>32000</v>
      </c>
      <c r="P51" s="61"/>
      <c r="Q51" s="60">
        <v>10000</v>
      </c>
      <c r="R51" s="24">
        <v>1000</v>
      </c>
      <c r="S51" s="38">
        <f t="shared" si="8"/>
        <v>10</v>
      </c>
      <c r="T51" s="49">
        <f t="shared" si="36"/>
        <v>-0.3</v>
      </c>
      <c r="U51" s="38">
        <v>12.5</v>
      </c>
      <c r="V51" s="48">
        <f t="shared" si="9"/>
        <v>1262.6565656565656</v>
      </c>
      <c r="W51" s="48">
        <f t="shared" si="10"/>
        <v>8727.3434343434346</v>
      </c>
      <c r="X51" s="65">
        <f t="shared" si="22"/>
        <v>0.12484768582329557</v>
      </c>
      <c r="Y51" s="68">
        <f t="shared" si="11"/>
        <v>0.74263736263736302</v>
      </c>
      <c r="Z51" s="69">
        <f t="shared" si="37"/>
        <v>0.34736263736263684</v>
      </c>
    </row>
    <row r="52" spans="1:26" hidden="1" x14ac:dyDescent="0.3">
      <c r="A52" s="60" t="s">
        <v>574</v>
      </c>
      <c r="B52" s="60" t="s">
        <v>575</v>
      </c>
      <c r="C52" s="49">
        <v>25171</v>
      </c>
      <c r="D52" s="52">
        <v>45770.395833333336</v>
      </c>
      <c r="E52" s="49" t="s">
        <v>32</v>
      </c>
      <c r="F52" s="49">
        <v>0.1</v>
      </c>
      <c r="G52" s="49" t="s">
        <v>33</v>
      </c>
      <c r="H52" s="61">
        <v>0</v>
      </c>
      <c r="I52" s="57">
        <f>40000</f>
        <v>40000</v>
      </c>
      <c r="J52" s="49">
        <v>5</v>
      </c>
      <c r="K52" s="50">
        <f t="shared" si="3"/>
        <v>8010</v>
      </c>
      <c r="L52" s="50">
        <f t="shared" si="4"/>
        <v>0</v>
      </c>
      <c r="M52" s="50">
        <f t="shared" si="5"/>
        <v>8000</v>
      </c>
      <c r="N52" s="50">
        <f t="shared" si="6"/>
        <v>10</v>
      </c>
      <c r="O52" s="50">
        <f t="shared" si="7"/>
        <v>32000</v>
      </c>
      <c r="P52" s="61"/>
      <c r="Q52" s="60">
        <v>10000</v>
      </c>
      <c r="R52" s="24">
        <v>1000</v>
      </c>
      <c r="S52" s="38">
        <f t="shared" si="8"/>
        <v>10</v>
      </c>
      <c r="T52" s="49">
        <f t="shared" si="36"/>
        <v>-0.3</v>
      </c>
      <c r="U52" s="38">
        <v>12.5</v>
      </c>
      <c r="V52" s="48">
        <f t="shared" si="9"/>
        <v>1262.6565656565656</v>
      </c>
      <c r="W52" s="48">
        <f t="shared" si="10"/>
        <v>8727.3434343434346</v>
      </c>
      <c r="X52" s="65">
        <f t="shared" si="22"/>
        <v>0.12484768582329557</v>
      </c>
      <c r="Y52" s="68">
        <f t="shared" si="11"/>
        <v>-7.91</v>
      </c>
      <c r="Z52" s="69">
        <f t="shared" si="37"/>
        <v>0</v>
      </c>
    </row>
    <row r="53" spans="1:26" hidden="1" x14ac:dyDescent="0.3">
      <c r="A53" s="60" t="s">
        <v>576</v>
      </c>
      <c r="B53" s="60" t="s">
        <v>577</v>
      </c>
      <c r="C53" s="49">
        <v>25171</v>
      </c>
      <c r="D53" s="52">
        <v>45771.395833333336</v>
      </c>
      <c r="E53" s="49" t="s">
        <v>32</v>
      </c>
      <c r="F53" s="49">
        <v>0.1</v>
      </c>
      <c r="G53" s="49" t="s">
        <v>33</v>
      </c>
      <c r="H53" s="61">
        <v>0.57999999999999996</v>
      </c>
      <c r="I53" s="57">
        <f>40000</f>
        <v>40000</v>
      </c>
      <c r="J53" s="49">
        <v>5</v>
      </c>
      <c r="K53" s="50">
        <f t="shared" si="3"/>
        <v>1177.9411764705883</v>
      </c>
      <c r="L53" s="50">
        <f t="shared" si="4"/>
        <v>6832.0588235294126</v>
      </c>
      <c r="M53" s="50">
        <f t="shared" si="5"/>
        <v>8000</v>
      </c>
      <c r="N53" s="50">
        <f t="shared" si="6"/>
        <v>10</v>
      </c>
      <c r="O53" s="50">
        <f t="shared" si="7"/>
        <v>32000</v>
      </c>
      <c r="P53" s="61"/>
      <c r="Q53" s="60">
        <v>10000</v>
      </c>
      <c r="R53" s="24">
        <v>1000</v>
      </c>
      <c r="S53" s="38">
        <f t="shared" si="8"/>
        <v>10</v>
      </c>
      <c r="T53" s="49">
        <f t="shared" si="36"/>
        <v>-0.3</v>
      </c>
      <c r="U53" s="38">
        <v>12.5</v>
      </c>
      <c r="V53" s="48">
        <f t="shared" si="9"/>
        <v>1262.6565656565656</v>
      </c>
      <c r="W53" s="48">
        <f t="shared" si="10"/>
        <v>8727.3434343434346</v>
      </c>
      <c r="X53" s="65">
        <f t="shared" si="22"/>
        <v>0.12484768582329557</v>
      </c>
      <c r="Y53" s="68">
        <f t="shared" si="11"/>
        <v>-1.0779411764705882</v>
      </c>
      <c r="Z53" s="69">
        <f t="shared" si="37"/>
        <v>-6.2520588235294126</v>
      </c>
    </row>
    <row r="54" spans="1:26" hidden="1" x14ac:dyDescent="0.3">
      <c r="A54" s="60" t="s">
        <v>578</v>
      </c>
      <c r="B54" s="60" t="s">
        <v>579</v>
      </c>
      <c r="C54" s="49">
        <v>25171</v>
      </c>
      <c r="D54" s="52">
        <v>45772.375</v>
      </c>
      <c r="E54" s="49" t="s">
        <v>32</v>
      </c>
      <c r="F54" s="49">
        <v>0.51</v>
      </c>
      <c r="G54" s="49" t="s">
        <v>33</v>
      </c>
      <c r="H54" s="61">
        <v>0.8</v>
      </c>
      <c r="I54" s="57">
        <f>40000</f>
        <v>40000</v>
      </c>
      <c r="J54" s="49">
        <v>5</v>
      </c>
      <c r="K54" s="50">
        <f t="shared" si="3"/>
        <v>3118.3969465648852</v>
      </c>
      <c r="L54" s="50">
        <f t="shared" si="4"/>
        <v>4891.6030534351139</v>
      </c>
      <c r="M54" s="50">
        <f t="shared" si="5"/>
        <v>8000</v>
      </c>
      <c r="N54" s="50">
        <f t="shared" si="6"/>
        <v>10</v>
      </c>
      <c r="O54" s="50">
        <f t="shared" si="7"/>
        <v>32000</v>
      </c>
      <c r="P54" s="61"/>
      <c r="Q54" s="60">
        <v>10000</v>
      </c>
      <c r="R54" s="24">
        <v>1000</v>
      </c>
      <c r="S54" s="38">
        <f t="shared" si="8"/>
        <v>10</v>
      </c>
      <c r="T54" s="49">
        <f t="shared" si="36"/>
        <v>-0.3</v>
      </c>
      <c r="U54" s="38">
        <v>12.5</v>
      </c>
      <c r="V54" s="48">
        <f t="shared" si="9"/>
        <v>1262.6565656565656</v>
      </c>
      <c r="W54" s="48">
        <f t="shared" si="10"/>
        <v>8727.3434343434346</v>
      </c>
      <c r="X54" s="65">
        <f t="shared" si="22"/>
        <v>0.12484768582329557</v>
      </c>
      <c r="Y54" s="68">
        <f t="shared" si="11"/>
        <v>-2.6083969465648851</v>
      </c>
      <c r="Z54" s="69">
        <f t="shared" si="37"/>
        <v>-4.0916030534351142</v>
      </c>
    </row>
    <row r="55" spans="1:26" hidden="1" x14ac:dyDescent="0.3">
      <c r="A55" s="60" t="s">
        <v>499</v>
      </c>
      <c r="B55" s="60" t="s">
        <v>580</v>
      </c>
      <c r="C55" s="49">
        <v>25171</v>
      </c>
      <c r="D55" s="52">
        <v>45773.40625</v>
      </c>
      <c r="E55" s="49" t="s">
        <v>32</v>
      </c>
      <c r="F55" s="49">
        <v>2.4</v>
      </c>
      <c r="G55" s="49" t="s">
        <v>33</v>
      </c>
      <c r="H55" s="61">
        <v>2.4</v>
      </c>
      <c r="I55" s="57">
        <f>40000</f>
        <v>40000</v>
      </c>
      <c r="J55" s="49">
        <v>5</v>
      </c>
      <c r="K55" s="50">
        <f t="shared" si="3"/>
        <v>4005</v>
      </c>
      <c r="L55" s="50">
        <f t="shared" si="4"/>
        <v>4005</v>
      </c>
      <c r="M55" s="50">
        <f t="shared" si="5"/>
        <v>8000</v>
      </c>
      <c r="N55" s="50">
        <f t="shared" si="6"/>
        <v>10</v>
      </c>
      <c r="O55" s="50">
        <f t="shared" si="7"/>
        <v>32000</v>
      </c>
      <c r="P55" s="61"/>
      <c r="Q55" s="60">
        <v>10000</v>
      </c>
      <c r="R55" s="24">
        <v>1000</v>
      </c>
      <c r="S55" s="38">
        <f t="shared" si="8"/>
        <v>10</v>
      </c>
      <c r="T55" s="49">
        <f t="shared" si="36"/>
        <v>-0.3</v>
      </c>
      <c r="U55" s="38">
        <v>12.5</v>
      </c>
      <c r="V55" s="48">
        <f t="shared" si="9"/>
        <v>1262.6565656565656</v>
      </c>
      <c r="W55" s="48">
        <f t="shared" si="10"/>
        <v>8727.3434343434346</v>
      </c>
      <c r="X55" s="65">
        <f t="shared" si="22"/>
        <v>0.12484768582329557</v>
      </c>
      <c r="Y55" s="68">
        <f t="shared" si="11"/>
        <v>-1.605</v>
      </c>
      <c r="Z55" s="69">
        <f t="shared" si="37"/>
        <v>-1.605</v>
      </c>
    </row>
    <row r="56" spans="1:26" x14ac:dyDescent="0.3">
      <c r="A56" s="60"/>
      <c r="B56" s="70" t="s">
        <v>581</v>
      </c>
      <c r="C56" s="49">
        <v>25171</v>
      </c>
      <c r="D56" s="52">
        <v>45773.40625</v>
      </c>
      <c r="E56" s="49" t="s">
        <v>32</v>
      </c>
      <c r="F56" s="49">
        <f>SUM(F52:F55)</f>
        <v>3.11</v>
      </c>
      <c r="G56" s="49" t="s">
        <v>33</v>
      </c>
      <c r="H56" s="49">
        <f>SUM(H52:H55)</f>
        <v>3.78</v>
      </c>
      <c r="I56" s="57">
        <f>40000</f>
        <v>40000</v>
      </c>
      <c r="J56" s="71">
        <v>10</v>
      </c>
      <c r="K56" s="50">
        <f t="shared" si="3"/>
        <v>1810.0290275761974</v>
      </c>
      <c r="L56" s="50">
        <f t="shared" si="4"/>
        <v>2199.9709724238028</v>
      </c>
      <c r="M56" s="50">
        <f t="shared" si="5"/>
        <v>4000</v>
      </c>
      <c r="N56" s="50">
        <f t="shared" si="6"/>
        <v>10</v>
      </c>
      <c r="O56" s="50">
        <f t="shared" si="7"/>
        <v>36000</v>
      </c>
      <c r="P56" s="61"/>
      <c r="Q56" s="60">
        <v>10000</v>
      </c>
      <c r="R56" s="24">
        <v>1000</v>
      </c>
      <c r="S56" s="38">
        <f t="shared" si="8"/>
        <v>10</v>
      </c>
      <c r="T56" s="49">
        <f t="shared" si="36"/>
        <v>-0.3</v>
      </c>
      <c r="U56" s="38">
        <v>12.5</v>
      </c>
      <c r="V56" s="48">
        <f t="shared" si="9"/>
        <v>1262.6565656565656</v>
      </c>
      <c r="W56" s="48">
        <f t="shared" si="10"/>
        <v>8727.3434343434346</v>
      </c>
      <c r="X56" s="65">
        <f t="shared" si="22"/>
        <v>0.12484768582329557</v>
      </c>
      <c r="Y56" s="68">
        <f t="shared" si="11"/>
        <v>1.2999709724238024</v>
      </c>
      <c r="Z56" s="69">
        <f t="shared" si="37"/>
        <v>1.580029027576197</v>
      </c>
    </row>
    <row r="57" spans="1:26" x14ac:dyDescent="0.3">
      <c r="A57" s="60" t="s">
        <v>500</v>
      </c>
      <c r="B57" s="60" t="s">
        <v>582</v>
      </c>
      <c r="C57" s="49">
        <v>25171</v>
      </c>
      <c r="D57" s="52">
        <v>45774.5625</v>
      </c>
      <c r="E57" s="49" t="s">
        <v>32</v>
      </c>
      <c r="F57" s="49">
        <v>27</v>
      </c>
      <c r="G57" s="49" t="s">
        <v>33</v>
      </c>
      <c r="H57" s="61">
        <v>11</v>
      </c>
      <c r="I57" s="57">
        <f>40000</f>
        <v>40000</v>
      </c>
      <c r="J57" s="49">
        <v>5</v>
      </c>
      <c r="K57" s="50">
        <f t="shared" si="3"/>
        <v>5691.3157894736842</v>
      </c>
      <c r="L57" s="50">
        <f t="shared" si="4"/>
        <v>2318.6842105263158</v>
      </c>
      <c r="M57" s="50">
        <f t="shared" si="5"/>
        <v>8000</v>
      </c>
      <c r="N57" s="50">
        <f t="shared" si="6"/>
        <v>10</v>
      </c>
      <c r="O57" s="50">
        <f t="shared" si="7"/>
        <v>32000</v>
      </c>
      <c r="P57" s="61"/>
      <c r="Q57" s="60">
        <v>10000</v>
      </c>
      <c r="R57" s="24">
        <v>1000</v>
      </c>
      <c r="S57" s="38">
        <f t="shared" si="8"/>
        <v>10</v>
      </c>
      <c r="T57" s="49">
        <f t="shared" si="36"/>
        <v>-0.3</v>
      </c>
      <c r="U57" s="38">
        <v>12.5</v>
      </c>
      <c r="V57" s="48">
        <f t="shared" si="9"/>
        <v>1262.6565656565656</v>
      </c>
      <c r="W57" s="48">
        <f t="shared" si="10"/>
        <v>8727.3434343434346</v>
      </c>
      <c r="X57" s="65">
        <f t="shared" si="22"/>
        <v>0.12484768582329557</v>
      </c>
      <c r="Y57" s="68">
        <f t="shared" si="11"/>
        <v>21.308684210526316</v>
      </c>
      <c r="Z57" s="69">
        <f t="shared" si="37"/>
        <v>8.6813157894736843</v>
      </c>
    </row>
    <row r="58" spans="1:26" x14ac:dyDescent="0.3">
      <c r="A58" s="60" t="s">
        <v>501</v>
      </c>
      <c r="B58" s="60" t="s">
        <v>583</v>
      </c>
      <c r="C58" s="49">
        <v>25171</v>
      </c>
      <c r="D58" s="52">
        <v>45775.375</v>
      </c>
      <c r="E58" s="49" t="s">
        <v>32</v>
      </c>
      <c r="F58" s="49">
        <v>26.8</v>
      </c>
      <c r="G58" s="49" t="s">
        <v>33</v>
      </c>
      <c r="H58" s="61">
        <v>11.9</v>
      </c>
      <c r="I58" s="57">
        <f>40000</f>
        <v>40000</v>
      </c>
      <c r="J58" s="49">
        <v>5</v>
      </c>
      <c r="K58" s="50">
        <f t="shared" si="3"/>
        <v>5546.9767441860467</v>
      </c>
      <c r="L58" s="50">
        <f t="shared" si="4"/>
        <v>2463.0232558139537</v>
      </c>
      <c r="M58" s="50">
        <f t="shared" si="5"/>
        <v>8000</v>
      </c>
      <c r="N58" s="50">
        <f t="shared" si="6"/>
        <v>10</v>
      </c>
      <c r="O58" s="50">
        <f t="shared" si="7"/>
        <v>32000</v>
      </c>
      <c r="P58" s="61"/>
      <c r="Q58" s="60">
        <v>10000</v>
      </c>
      <c r="R58" s="24">
        <v>1000</v>
      </c>
      <c r="S58" s="38">
        <f t="shared" si="8"/>
        <v>10</v>
      </c>
      <c r="T58" s="49">
        <f t="shared" si="36"/>
        <v>-0.3</v>
      </c>
      <c r="U58" s="38">
        <v>12.5</v>
      </c>
      <c r="V58" s="48">
        <f t="shared" si="9"/>
        <v>1262.6565656565656</v>
      </c>
      <c r="W58" s="48">
        <f t="shared" si="10"/>
        <v>8727.3434343434346</v>
      </c>
      <c r="X58" s="65">
        <f t="shared" si="22"/>
        <v>0.12484768582329557</v>
      </c>
      <c r="Y58" s="68">
        <f t="shared" si="11"/>
        <v>21.253023255813954</v>
      </c>
      <c r="Z58" s="69">
        <f t="shared" si="37"/>
        <v>9.4369767441860475</v>
      </c>
    </row>
    <row r="59" spans="1:26" x14ac:dyDescent="0.3">
      <c r="A59" s="60" t="s">
        <v>502</v>
      </c>
      <c r="B59" s="60" t="s">
        <v>584</v>
      </c>
      <c r="C59" s="49">
        <v>25171</v>
      </c>
      <c r="D59" s="52">
        <v>45776.4375</v>
      </c>
      <c r="E59" s="49" t="s">
        <v>32</v>
      </c>
      <c r="F59" s="49">
        <v>12.7</v>
      </c>
      <c r="G59" s="49" t="s">
        <v>33</v>
      </c>
      <c r="H59" s="61">
        <v>8.6</v>
      </c>
      <c r="I59" s="57">
        <f>40000</f>
        <v>40000</v>
      </c>
      <c r="J59" s="49">
        <v>5</v>
      </c>
      <c r="K59" s="50">
        <f t="shared" si="3"/>
        <v>4775.9154929577471</v>
      </c>
      <c r="L59" s="50">
        <f t="shared" si="4"/>
        <v>3234.0845070422542</v>
      </c>
      <c r="M59" s="50">
        <f t="shared" si="5"/>
        <v>8000</v>
      </c>
      <c r="N59" s="50">
        <f t="shared" si="6"/>
        <v>10</v>
      </c>
      <c r="O59" s="50">
        <f t="shared" si="7"/>
        <v>32000</v>
      </c>
      <c r="P59" s="61"/>
      <c r="Q59" s="60">
        <v>10000</v>
      </c>
      <c r="R59" s="24">
        <v>1000</v>
      </c>
      <c r="S59" s="38">
        <f t="shared" si="8"/>
        <v>10</v>
      </c>
      <c r="T59" s="49">
        <f t="shared" si="36"/>
        <v>-0.3</v>
      </c>
      <c r="U59" s="38">
        <v>12.5</v>
      </c>
      <c r="V59" s="48">
        <f t="shared" si="9"/>
        <v>1262.6565656565656</v>
      </c>
      <c r="W59" s="48">
        <f t="shared" si="10"/>
        <v>8727.3434343434346</v>
      </c>
      <c r="X59" s="65">
        <f t="shared" si="22"/>
        <v>0.12484768582329557</v>
      </c>
      <c r="Y59" s="68">
        <f t="shared" si="11"/>
        <v>7.9240845070422523</v>
      </c>
      <c r="Z59" s="69">
        <f t="shared" si="37"/>
        <v>5.3659154929577451</v>
      </c>
    </row>
    <row r="60" spans="1:26" x14ac:dyDescent="0.3">
      <c r="A60" s="60" t="s">
        <v>503</v>
      </c>
      <c r="B60" s="60" t="s">
        <v>585</v>
      </c>
      <c r="C60" s="49">
        <v>25171</v>
      </c>
      <c r="D60" s="52">
        <v>45777.375</v>
      </c>
      <c r="E60" s="49" t="s">
        <v>32</v>
      </c>
      <c r="F60" s="49">
        <v>7.9</v>
      </c>
      <c r="G60" s="49" t="s">
        <v>33</v>
      </c>
      <c r="H60" s="61">
        <v>5.0999999999999996</v>
      </c>
      <c r="I60" s="57">
        <f>40000</f>
        <v>40000</v>
      </c>
      <c r="J60" s="49">
        <v>5</v>
      </c>
      <c r="K60" s="50">
        <f t="shared" si="3"/>
        <v>4867.6153846153848</v>
      </c>
      <c r="L60" s="50">
        <f t="shared" si="4"/>
        <v>3142.3846153846157</v>
      </c>
      <c r="M60" s="50">
        <f t="shared" si="5"/>
        <v>8000</v>
      </c>
      <c r="N60" s="50">
        <f t="shared" si="6"/>
        <v>10</v>
      </c>
      <c r="O60" s="50">
        <f t="shared" si="7"/>
        <v>32000</v>
      </c>
      <c r="P60" s="61"/>
      <c r="Q60" s="60">
        <v>10000</v>
      </c>
      <c r="R60" s="24">
        <v>1000</v>
      </c>
      <c r="S60" s="38">
        <f t="shared" si="8"/>
        <v>10</v>
      </c>
      <c r="T60" s="49">
        <f t="shared" si="36"/>
        <v>-0.3</v>
      </c>
      <c r="U60" s="38">
        <v>12.5</v>
      </c>
      <c r="V60" s="48">
        <f t="shared" si="9"/>
        <v>1262.6565656565656</v>
      </c>
      <c r="W60" s="48">
        <f t="shared" si="10"/>
        <v>8727.3434343434346</v>
      </c>
      <c r="X60" s="65">
        <f t="shared" si="22"/>
        <v>0.12484768582329557</v>
      </c>
      <c r="Y60" s="68">
        <f t="shared" si="11"/>
        <v>3.0323846153846157</v>
      </c>
      <c r="Z60" s="69">
        <f t="shared" si="37"/>
        <v>1.9576153846153841</v>
      </c>
    </row>
    <row r="61" spans="1:26" x14ac:dyDescent="0.3">
      <c r="A61" s="60" t="s">
        <v>504</v>
      </c>
      <c r="B61" s="60" t="s">
        <v>586</v>
      </c>
      <c r="C61" s="49">
        <v>25171</v>
      </c>
      <c r="D61" s="52">
        <v>45778.729166666664</v>
      </c>
      <c r="E61" s="49" t="s">
        <v>32</v>
      </c>
      <c r="F61" s="49">
        <v>8.5</v>
      </c>
      <c r="G61" s="49" t="s">
        <v>33</v>
      </c>
      <c r="H61" s="61">
        <v>5.5</v>
      </c>
      <c r="I61" s="57">
        <f>40000</f>
        <v>40000</v>
      </c>
      <c r="J61" s="49">
        <v>5</v>
      </c>
      <c r="K61" s="50">
        <f t="shared" si="3"/>
        <v>4863.2142857142853</v>
      </c>
      <c r="L61" s="50">
        <f t="shared" si="4"/>
        <v>3146.7857142857142</v>
      </c>
      <c r="M61" s="50">
        <f t="shared" si="5"/>
        <v>8000</v>
      </c>
      <c r="N61" s="50">
        <f t="shared" si="6"/>
        <v>10</v>
      </c>
      <c r="O61" s="50">
        <f t="shared" si="7"/>
        <v>32000</v>
      </c>
      <c r="P61" s="61"/>
      <c r="Q61" s="60">
        <v>10000</v>
      </c>
      <c r="R61" s="24">
        <v>1000</v>
      </c>
      <c r="S61" s="38">
        <f t="shared" si="8"/>
        <v>10</v>
      </c>
      <c r="T61" s="49">
        <f t="shared" si="36"/>
        <v>-0.3</v>
      </c>
      <c r="U61" s="38">
        <v>12.5</v>
      </c>
      <c r="V61" s="48">
        <f t="shared" si="9"/>
        <v>1262.6565656565656</v>
      </c>
      <c r="W61" s="48">
        <f t="shared" si="10"/>
        <v>8727.3434343434346</v>
      </c>
      <c r="X61" s="65">
        <f t="shared" si="22"/>
        <v>0.12484768582329557</v>
      </c>
      <c r="Y61" s="68">
        <f t="shared" si="11"/>
        <v>3.6367857142857147</v>
      </c>
      <c r="Z61" s="69">
        <f t="shared" si="37"/>
        <v>2.3532142857142859</v>
      </c>
    </row>
    <row r="62" spans="1:26" hidden="1" x14ac:dyDescent="0.3">
      <c r="A62" s="60" t="s">
        <v>587</v>
      </c>
      <c r="B62" s="60" t="s">
        <v>588</v>
      </c>
      <c r="C62" s="49">
        <v>25171</v>
      </c>
      <c r="D62" s="52">
        <v>45779.4375</v>
      </c>
      <c r="E62" s="49" t="s">
        <v>32</v>
      </c>
      <c r="F62" s="49">
        <v>4</v>
      </c>
      <c r="G62" s="49" t="s">
        <v>33</v>
      </c>
      <c r="H62" s="61">
        <v>2.75</v>
      </c>
      <c r="I62" s="57">
        <f>40000</f>
        <v>40000</v>
      </c>
      <c r="J62" s="49">
        <v>5</v>
      </c>
      <c r="K62" s="50">
        <f t="shared" si="3"/>
        <v>4746.666666666667</v>
      </c>
      <c r="L62" s="50">
        <f t="shared" si="4"/>
        <v>3263.333333333333</v>
      </c>
      <c r="M62" s="50">
        <f t="shared" si="5"/>
        <v>8000</v>
      </c>
      <c r="N62" s="50">
        <f t="shared" si="6"/>
        <v>10</v>
      </c>
      <c r="O62" s="50">
        <f t="shared" si="7"/>
        <v>32000</v>
      </c>
      <c r="P62" s="61"/>
      <c r="Q62" s="60">
        <v>10000</v>
      </c>
      <c r="R62" s="24">
        <v>1000</v>
      </c>
      <c r="S62" s="38">
        <f t="shared" si="8"/>
        <v>10</v>
      </c>
      <c r="T62" s="49">
        <f t="shared" si="36"/>
        <v>-0.3</v>
      </c>
      <c r="U62" s="38">
        <v>12.5</v>
      </c>
      <c r="V62" s="48">
        <f t="shared" si="9"/>
        <v>1262.6565656565656</v>
      </c>
      <c r="W62" s="48">
        <f t="shared" si="10"/>
        <v>8727.3434343434346</v>
      </c>
      <c r="X62" s="65">
        <f t="shared" si="22"/>
        <v>0.12484768582329557</v>
      </c>
      <c r="Y62" s="68">
        <f t="shared" si="11"/>
        <v>-0.74666666666666703</v>
      </c>
      <c r="Z62" s="69">
        <f t="shared" si="37"/>
        <v>-0.5133333333333332</v>
      </c>
    </row>
    <row r="63" spans="1:26" hidden="1" x14ac:dyDescent="0.3">
      <c r="A63" s="60" t="s">
        <v>505</v>
      </c>
      <c r="B63" s="60" t="s">
        <v>589</v>
      </c>
      <c r="C63" s="49">
        <v>25171</v>
      </c>
      <c r="D63" s="52">
        <v>45780.5</v>
      </c>
      <c r="E63" s="49" t="s">
        <v>32</v>
      </c>
      <c r="F63" s="49">
        <v>3.9</v>
      </c>
      <c r="G63" s="49" t="s">
        <v>33</v>
      </c>
      <c r="H63" s="61">
        <v>1.8</v>
      </c>
      <c r="I63" s="57">
        <f>40000</f>
        <v>40000</v>
      </c>
      <c r="J63" s="49">
        <v>5</v>
      </c>
      <c r="K63" s="50">
        <f t="shared" si="3"/>
        <v>5480.5263157894733</v>
      </c>
      <c r="L63" s="50">
        <f t="shared" si="4"/>
        <v>2529.4736842105262</v>
      </c>
      <c r="M63" s="50">
        <f t="shared" si="5"/>
        <v>8000</v>
      </c>
      <c r="N63" s="50">
        <f t="shared" si="6"/>
        <v>10</v>
      </c>
      <c r="O63" s="50">
        <f t="shared" si="7"/>
        <v>32000</v>
      </c>
      <c r="P63" s="61"/>
      <c r="Q63" s="60">
        <v>10000</v>
      </c>
      <c r="R63" s="24">
        <v>1000</v>
      </c>
      <c r="S63" s="38">
        <f t="shared" si="8"/>
        <v>10</v>
      </c>
      <c r="T63" s="49">
        <f t="shared" si="36"/>
        <v>-0.3</v>
      </c>
      <c r="U63" s="38">
        <v>12.5</v>
      </c>
      <c r="V63" s="48">
        <f t="shared" si="9"/>
        <v>1262.6565656565656</v>
      </c>
      <c r="W63" s="48">
        <f t="shared" si="10"/>
        <v>8727.3434343434346</v>
      </c>
      <c r="X63" s="65">
        <f t="shared" si="22"/>
        <v>0.12484768582329557</v>
      </c>
      <c r="Y63" s="68">
        <f t="shared" si="11"/>
        <v>-1.5805263157894731</v>
      </c>
      <c r="Z63" s="69">
        <f t="shared" si="37"/>
        <v>-0.72947368421052627</v>
      </c>
    </row>
    <row r="64" spans="1:26" x14ac:dyDescent="0.3">
      <c r="A64" s="60" t="s">
        <v>505</v>
      </c>
      <c r="B64" s="70" t="s">
        <v>590</v>
      </c>
      <c r="C64" s="49">
        <v>25171</v>
      </c>
      <c r="D64" s="52">
        <v>45780.5</v>
      </c>
      <c r="E64" s="49" t="s">
        <v>32</v>
      </c>
      <c r="F64" s="49">
        <f>SUM(F62:F63)</f>
        <v>7.9</v>
      </c>
      <c r="G64" s="49" t="s">
        <v>33</v>
      </c>
      <c r="H64" s="49">
        <f>SUM(H62:H63)</f>
        <v>4.55</v>
      </c>
      <c r="I64" s="57">
        <f>40000</f>
        <v>40000</v>
      </c>
      <c r="J64" s="49">
        <v>5</v>
      </c>
      <c r="K64" s="50">
        <f t="shared" si="3"/>
        <v>5082.6506024096389</v>
      </c>
      <c r="L64" s="50">
        <f t="shared" si="4"/>
        <v>2927.3493975903616</v>
      </c>
      <c r="M64" s="50">
        <f t="shared" si="5"/>
        <v>8000</v>
      </c>
      <c r="N64" s="50">
        <f t="shared" si="6"/>
        <v>10</v>
      </c>
      <c r="O64" s="50">
        <f t="shared" si="7"/>
        <v>32000</v>
      </c>
      <c r="P64" s="61"/>
      <c r="Q64" s="60">
        <v>10000</v>
      </c>
      <c r="R64" s="24">
        <v>1000</v>
      </c>
      <c r="S64" s="38">
        <f t="shared" si="8"/>
        <v>10</v>
      </c>
      <c r="T64" s="49">
        <f t="shared" si="36"/>
        <v>-0.3</v>
      </c>
      <c r="U64" s="38">
        <v>12.5</v>
      </c>
      <c r="V64" s="48">
        <f t="shared" si="9"/>
        <v>1262.6565656565656</v>
      </c>
      <c r="W64" s="48">
        <f t="shared" si="10"/>
        <v>8727.3434343434346</v>
      </c>
      <c r="X64" s="65">
        <f t="shared" si="22"/>
        <v>0.12484768582329557</v>
      </c>
      <c r="Y64" s="68">
        <f t="shared" si="11"/>
        <v>2.8173493975903616</v>
      </c>
      <c r="Z64" s="69">
        <f t="shared" si="37"/>
        <v>1.6226506024096383</v>
      </c>
    </row>
    <row r="65" spans="1:26" hidden="1" x14ac:dyDescent="0.3">
      <c r="A65" s="60" t="s">
        <v>591</v>
      </c>
      <c r="B65" s="60" t="s">
        <v>592</v>
      </c>
      <c r="C65" s="49">
        <v>25171</v>
      </c>
      <c r="D65" s="52">
        <v>45781.5</v>
      </c>
      <c r="E65" s="49" t="s">
        <v>32</v>
      </c>
      <c r="F65" s="49">
        <v>1.8</v>
      </c>
      <c r="G65" s="49" t="s">
        <v>33</v>
      </c>
      <c r="H65" s="61">
        <v>2.4</v>
      </c>
      <c r="I65" s="57">
        <f>40000</f>
        <v>40000</v>
      </c>
      <c r="J65" s="49">
        <v>5</v>
      </c>
      <c r="K65" s="50">
        <f t="shared" si="3"/>
        <v>3432.8571428571427</v>
      </c>
      <c r="L65" s="50">
        <f t="shared" si="4"/>
        <v>4577.1428571428569</v>
      </c>
      <c r="M65" s="50">
        <f t="shared" si="5"/>
        <v>8000</v>
      </c>
      <c r="N65" s="50">
        <f t="shared" si="6"/>
        <v>10</v>
      </c>
      <c r="O65" s="50">
        <f t="shared" si="7"/>
        <v>32000</v>
      </c>
      <c r="P65" s="61"/>
      <c r="Q65" s="60">
        <v>10000</v>
      </c>
      <c r="R65" s="24">
        <v>1000</v>
      </c>
      <c r="S65" s="38">
        <f t="shared" si="8"/>
        <v>10</v>
      </c>
      <c r="T65" s="49">
        <f t="shared" si="36"/>
        <v>-0.3</v>
      </c>
      <c r="U65" s="38">
        <v>12.5</v>
      </c>
      <c r="V65" s="48">
        <f t="shared" si="9"/>
        <v>1262.6565656565656</v>
      </c>
      <c r="W65" s="48">
        <f t="shared" si="10"/>
        <v>8727.3434343434346</v>
      </c>
      <c r="X65" s="65">
        <f t="shared" si="22"/>
        <v>0.12484768582329557</v>
      </c>
      <c r="Y65" s="68">
        <f t="shared" si="11"/>
        <v>-1.6328571428571428</v>
      </c>
      <c r="Z65" s="69">
        <f t="shared" si="37"/>
        <v>-2.1771428571428566</v>
      </c>
    </row>
    <row r="66" spans="1:26" hidden="1" x14ac:dyDescent="0.3">
      <c r="A66" s="60" t="s">
        <v>593</v>
      </c>
      <c r="B66" s="60" t="s">
        <v>594</v>
      </c>
      <c r="C66" s="49">
        <v>25171</v>
      </c>
      <c r="D66" s="52">
        <v>45782.40625</v>
      </c>
      <c r="E66" s="49" t="s">
        <v>32</v>
      </c>
      <c r="F66" s="49">
        <v>2.7</v>
      </c>
      <c r="G66" s="49" t="s">
        <v>33</v>
      </c>
      <c r="H66" s="61">
        <v>1.8</v>
      </c>
      <c r="I66" s="57">
        <f>40000</f>
        <v>40000</v>
      </c>
      <c r="J66" s="49">
        <v>5</v>
      </c>
      <c r="K66" s="50">
        <f t="shared" si="3"/>
        <v>4806</v>
      </c>
      <c r="L66" s="50">
        <f t="shared" si="4"/>
        <v>3204</v>
      </c>
      <c r="M66" s="50">
        <f t="shared" si="5"/>
        <v>8000</v>
      </c>
      <c r="N66" s="50">
        <f t="shared" si="6"/>
        <v>10</v>
      </c>
      <c r="O66" s="50">
        <f t="shared" si="7"/>
        <v>32000</v>
      </c>
      <c r="P66" s="61"/>
      <c r="Q66" s="60">
        <v>10000</v>
      </c>
      <c r="R66" s="24">
        <v>1000</v>
      </c>
      <c r="S66" s="38">
        <f t="shared" si="8"/>
        <v>10</v>
      </c>
      <c r="T66" s="49">
        <f t="shared" si="36"/>
        <v>-0.3</v>
      </c>
      <c r="U66" s="38">
        <v>12.5</v>
      </c>
      <c r="V66" s="48">
        <f t="shared" si="9"/>
        <v>1262.6565656565656</v>
      </c>
      <c r="W66" s="48">
        <f t="shared" si="10"/>
        <v>8727.3434343434346</v>
      </c>
      <c r="X66" s="65">
        <f t="shared" si="22"/>
        <v>0.12484768582329557</v>
      </c>
      <c r="Y66" s="68">
        <f t="shared" si="11"/>
        <v>-2.1059999999999999</v>
      </c>
      <c r="Z66" s="69">
        <f t="shared" si="37"/>
        <v>-1.4040000000000001</v>
      </c>
    </row>
    <row r="67" spans="1:26" hidden="1" x14ac:dyDescent="0.3">
      <c r="A67" s="60" t="s">
        <v>595</v>
      </c>
      <c r="B67" s="60" t="s">
        <v>596</v>
      </c>
      <c r="C67" s="49">
        <v>25171</v>
      </c>
      <c r="D67" s="52">
        <v>45783.416666666664</v>
      </c>
      <c r="E67" s="49" t="s">
        <v>32</v>
      </c>
      <c r="F67" s="49">
        <v>3.3</v>
      </c>
      <c r="G67" s="49" t="s">
        <v>33</v>
      </c>
      <c r="H67" s="61">
        <v>1.7</v>
      </c>
      <c r="I67" s="57">
        <f>40000</f>
        <v>40000</v>
      </c>
      <c r="J67" s="49">
        <v>5</v>
      </c>
      <c r="K67" s="50">
        <f t="shared" si="3"/>
        <v>5286.6</v>
      </c>
      <c r="L67" s="50">
        <f t="shared" si="4"/>
        <v>2723.4</v>
      </c>
      <c r="M67" s="50">
        <f t="shared" si="5"/>
        <v>8000</v>
      </c>
      <c r="N67" s="50">
        <f t="shared" si="6"/>
        <v>10</v>
      </c>
      <c r="O67" s="50">
        <f t="shared" si="7"/>
        <v>32000</v>
      </c>
      <c r="P67" s="61"/>
      <c r="Q67" s="60">
        <v>10000</v>
      </c>
      <c r="R67" s="24">
        <v>1000</v>
      </c>
      <c r="S67" s="38">
        <f t="shared" ref="S67:S69" si="38">(Q67/R67)</f>
        <v>10</v>
      </c>
      <c r="T67" s="49">
        <f t="shared" ref="T67:T69" si="39">P67*J67-0.3</f>
        <v>-0.3</v>
      </c>
      <c r="U67" s="38">
        <v>13.5</v>
      </c>
      <c r="V67" s="48">
        <f t="shared" si="9"/>
        <v>1363.6666666666667</v>
      </c>
      <c r="W67" s="48">
        <f t="shared" ref="W67:W69" si="40">$Q67-S67-V67</f>
        <v>8626.3333333333339</v>
      </c>
      <c r="X67" s="65">
        <f t="shared" ref="X67:X69" si="41">($T67/100*S67+V67*0.99)/SUM(S67:W67)</f>
        <v>0.13482203491391362</v>
      </c>
      <c r="Y67" s="68">
        <f t="shared" si="11"/>
        <v>-1.9866000000000001</v>
      </c>
      <c r="Z67" s="69">
        <f>H67-L67/1000</f>
        <v>-1.0234000000000003</v>
      </c>
    </row>
    <row r="68" spans="1:26" hidden="1" x14ac:dyDescent="0.3">
      <c r="A68" s="60" t="s">
        <v>506</v>
      </c>
      <c r="B68" s="60" t="s">
        <v>597</v>
      </c>
      <c r="C68" s="49">
        <v>25171</v>
      </c>
      <c r="D68" s="52">
        <v>45784.4375</v>
      </c>
      <c r="E68" s="49" t="s">
        <v>32</v>
      </c>
      <c r="F68" s="49">
        <v>2.4</v>
      </c>
      <c r="G68" s="49" t="s">
        <v>33</v>
      </c>
      <c r="H68" s="61">
        <v>1.4</v>
      </c>
      <c r="I68" s="57">
        <f>40000</f>
        <v>40000</v>
      </c>
      <c r="J68" s="49">
        <v>5</v>
      </c>
      <c r="K68" s="50">
        <f t="shared" si="3"/>
        <v>5058.9473684210525</v>
      </c>
      <c r="L68" s="50">
        <f t="shared" si="4"/>
        <v>2951.0526315789475</v>
      </c>
      <c r="M68" s="50">
        <f t="shared" si="5"/>
        <v>8000</v>
      </c>
      <c r="N68" s="50">
        <f t="shared" si="6"/>
        <v>10</v>
      </c>
      <c r="O68" s="50">
        <f t="shared" si="7"/>
        <v>32000</v>
      </c>
      <c r="P68" s="61"/>
      <c r="Q68" s="60">
        <v>10000</v>
      </c>
      <c r="R68" s="24">
        <v>1000</v>
      </c>
      <c r="S68" s="38">
        <f t="shared" si="38"/>
        <v>10</v>
      </c>
      <c r="T68" s="49">
        <f t="shared" si="39"/>
        <v>-0.3</v>
      </c>
      <c r="U68" s="38">
        <v>14.5</v>
      </c>
      <c r="V68" s="48">
        <f t="shared" si="9"/>
        <v>1464.6767676767677</v>
      </c>
      <c r="W68" s="48">
        <f t="shared" si="40"/>
        <v>8525.3232323232332</v>
      </c>
      <c r="X68" s="65">
        <f t="shared" si="41"/>
        <v>0.14479439196341196</v>
      </c>
      <c r="Y68" s="68">
        <f t="shared" si="11"/>
        <v>-2.6589473684210527</v>
      </c>
      <c r="Z68" s="69">
        <f>H68-L68/1000</f>
        <v>-1.5510526315789477</v>
      </c>
    </row>
    <row r="69" spans="1:26" ht="14.25" customHeight="1" x14ac:dyDescent="0.3">
      <c r="A69" s="60" t="s">
        <v>506</v>
      </c>
      <c r="B69" s="70" t="s">
        <v>598</v>
      </c>
      <c r="C69" s="49">
        <v>25171</v>
      </c>
      <c r="D69" s="52">
        <v>45784.4375</v>
      </c>
      <c r="E69" s="49" t="s">
        <v>32</v>
      </c>
      <c r="F69" s="49">
        <f>SUM(F65:F68)</f>
        <v>10.199999999999999</v>
      </c>
      <c r="G69" s="49" t="s">
        <v>33</v>
      </c>
      <c r="H69" s="49">
        <f>SUM(H65:H68)</f>
        <v>7.3000000000000007</v>
      </c>
      <c r="I69" s="57">
        <f>40000</f>
        <v>40000</v>
      </c>
      <c r="J69" s="49">
        <v>5</v>
      </c>
      <c r="K69" s="50">
        <f t="shared" ref="K69" si="42">($I69/J69*$F69/($F69+$H69))</f>
        <v>4662.8571428571431</v>
      </c>
      <c r="L69" s="50">
        <f t="shared" ref="L69" si="43">($I69/$J69*$H69/($F69+$H69))</f>
        <v>3337.1428571428573</v>
      </c>
      <c r="M69" s="50">
        <f t="shared" ref="M69:N69" si="44">K69+L69</f>
        <v>8000</v>
      </c>
      <c r="N69" s="50">
        <f t="shared" si="44"/>
        <v>11337.142857142857</v>
      </c>
      <c r="O69" s="50">
        <f t="shared" ref="O69" si="45">I69-(K69+L69)</f>
        <v>32000</v>
      </c>
      <c r="P69" s="61"/>
      <c r="Q69" s="60">
        <v>10000</v>
      </c>
      <c r="R69" s="24">
        <v>1000</v>
      </c>
      <c r="S69" s="38">
        <f t="shared" si="38"/>
        <v>10</v>
      </c>
      <c r="T69" s="49">
        <f t="shared" si="39"/>
        <v>-0.3</v>
      </c>
      <c r="U69" s="38">
        <v>15.5</v>
      </c>
      <c r="V69" s="48">
        <f t="shared" ref="V69" si="46">(($U69*$Q69/100)-($T69/100*$S69))/0.99</f>
        <v>1565.6868686868686</v>
      </c>
      <c r="W69" s="48">
        <f t="shared" si="40"/>
        <v>8424.3131313131307</v>
      </c>
      <c r="X69" s="65">
        <f t="shared" si="41"/>
        <v>0.15476475756849589</v>
      </c>
      <c r="Y69" s="68">
        <f>F69-K69/1000</f>
        <v>5.5371428571428565</v>
      </c>
      <c r="Z69" s="69">
        <f>H69-L69/1000</f>
        <v>3.9628571428571435</v>
      </c>
    </row>
    <row r="71" spans="1:26" ht="30.75" customHeight="1" x14ac:dyDescent="0.3">
      <c r="B71" s="72" t="s">
        <v>599</v>
      </c>
    </row>
  </sheetData>
  <mergeCells count="4">
    <mergeCell ref="A1:H1"/>
    <mergeCell ref="I1:P1"/>
    <mergeCell ref="Y1:Z1"/>
    <mergeCell ref="Q1:X1"/>
  </mergeCells>
  <pageMargins left="0.7" right="0.7" top="0.75" bottom="0.75" header="0.3" footer="0.3"/>
  <ignoredErrors>
    <ignoredError sqref="F64 H6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A054F-A912-4344-8DA2-1BE83C04CAB2}">
  <dimension ref="A1:F5"/>
  <sheetViews>
    <sheetView workbookViewId="0">
      <selection activeCell="D8" sqref="D8"/>
    </sheetView>
  </sheetViews>
  <sheetFormatPr baseColWidth="10" defaultColWidth="11.44140625" defaultRowHeight="14.4" x14ac:dyDescent="0.3"/>
  <cols>
    <col min="1" max="1" width="26.44140625" customWidth="1"/>
    <col min="2" max="2" width="15.6640625" customWidth="1"/>
    <col min="16375" max="16375" width="11.44140625" bestFit="1" customWidth="1"/>
  </cols>
  <sheetData>
    <row r="1" spans="1:6" s="11" customFormat="1" ht="26.4" x14ac:dyDescent="0.3">
      <c r="A1" s="12" t="s">
        <v>20</v>
      </c>
      <c r="B1" s="13" t="s">
        <v>21</v>
      </c>
      <c r="C1" s="13" t="s">
        <v>22</v>
      </c>
      <c r="D1" s="13" t="s">
        <v>23</v>
      </c>
      <c r="E1" s="14" t="s">
        <v>24</v>
      </c>
      <c r="F1" s="14" t="s">
        <v>25</v>
      </c>
    </row>
    <row r="2" spans="1:6" s="1" customFormat="1" x14ac:dyDescent="0.3">
      <c r="A2" s="16">
        <v>45720.666666666664</v>
      </c>
      <c r="B2" s="3" t="s">
        <v>16</v>
      </c>
      <c r="C2" s="15" t="s">
        <v>26</v>
      </c>
      <c r="D2" s="15">
        <v>40</v>
      </c>
      <c r="E2" s="15">
        <v>12</v>
      </c>
      <c r="F2" s="15">
        <v>8</v>
      </c>
    </row>
    <row r="3" spans="1:6" s="1" customFormat="1" x14ac:dyDescent="0.3">
      <c r="A3" s="16">
        <v>45720.666666666664</v>
      </c>
      <c r="B3" s="3" t="s">
        <v>16</v>
      </c>
      <c r="C3" s="15" t="s">
        <v>27</v>
      </c>
      <c r="D3" s="15">
        <v>40</v>
      </c>
      <c r="E3" s="15" t="s">
        <v>28</v>
      </c>
      <c r="F3" s="15"/>
    </row>
    <row r="4" spans="1:6" s="1" customFormat="1" x14ac:dyDescent="0.3">
      <c r="A4" s="16">
        <v>45721.666666666664</v>
      </c>
      <c r="B4" s="3" t="s">
        <v>18</v>
      </c>
      <c r="C4" s="15" t="s">
        <v>26</v>
      </c>
      <c r="D4" s="15">
        <v>40</v>
      </c>
      <c r="E4" s="15">
        <v>12</v>
      </c>
      <c r="F4" s="15">
        <v>8</v>
      </c>
    </row>
    <row r="5" spans="1:6" s="1" customFormat="1" x14ac:dyDescent="0.3">
      <c r="A5" s="16">
        <v>45721.416666666664</v>
      </c>
      <c r="B5" s="3" t="s">
        <v>18</v>
      </c>
      <c r="C5" s="15" t="s">
        <v>27</v>
      </c>
      <c r="D5" s="15">
        <v>40</v>
      </c>
      <c r="E5" s="15" t="s">
        <v>28</v>
      </c>
      <c r="F5" s="1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A90B6-A624-4A34-AC3C-21E25C322DFE}">
  <dimension ref="A1:BA190"/>
  <sheetViews>
    <sheetView topLeftCell="C1" zoomScale="115" zoomScaleNormal="115" workbookViewId="0">
      <selection activeCell="C1" sqref="A1:XFD1048576"/>
    </sheetView>
  </sheetViews>
  <sheetFormatPr baseColWidth="10" defaultColWidth="11.44140625" defaultRowHeight="14.4" x14ac:dyDescent="0.3"/>
  <cols>
    <col min="1" max="1" width="32" style="24" bestFit="1" customWidth="1"/>
    <col min="2" max="2" width="12" style="24" bestFit="1" customWidth="1"/>
    <col min="3" max="3" width="16.6640625" style="24" bestFit="1" customWidth="1"/>
    <col min="4" max="4" width="13.33203125" style="38" bestFit="1" customWidth="1"/>
    <col min="5" max="5" width="15" style="38" bestFit="1" customWidth="1"/>
    <col min="6" max="6" width="22" style="24" bestFit="1" customWidth="1"/>
    <col min="7" max="7" width="11.5546875" style="24" bestFit="1" customWidth="1"/>
    <col min="8" max="8" width="16.44140625" style="24" bestFit="1" customWidth="1"/>
    <col min="9" max="9" width="11.5546875" style="24" bestFit="1" customWidth="1"/>
    <col min="10" max="10" width="16.44140625" style="24" bestFit="1" customWidth="1"/>
    <col min="11" max="11" width="11.5546875" style="24" bestFit="1" customWidth="1"/>
    <col min="12" max="12" width="16.44140625" style="24" bestFit="1" customWidth="1"/>
    <col min="13" max="13" width="11.5546875" style="24" bestFit="1" customWidth="1"/>
    <col min="14" max="14" width="16.44140625" style="24" bestFit="1" customWidth="1"/>
    <col min="15" max="15" width="11.5546875" style="24" bestFit="1" customWidth="1"/>
    <col min="16" max="16" width="16.44140625" style="24" bestFit="1" customWidth="1"/>
    <col min="17" max="17" width="11.5546875" style="24" bestFit="1" customWidth="1"/>
    <col min="18" max="18" width="16.44140625" style="24" bestFit="1" customWidth="1"/>
    <col min="19" max="19" width="12.5546875" style="24" bestFit="1" customWidth="1"/>
    <col min="20" max="20" width="16.44140625" style="24" bestFit="1" customWidth="1"/>
    <col min="21" max="21" width="12.5546875" style="24" bestFit="1" customWidth="1"/>
    <col min="22" max="22" width="16.44140625" style="24" bestFit="1" customWidth="1"/>
    <col min="23" max="23" width="11.5546875" style="24" bestFit="1" customWidth="1"/>
    <col min="24" max="24" width="17.44140625" style="24" bestFit="1" customWidth="1"/>
    <col min="25" max="25" width="12.5546875" style="24" bestFit="1" customWidth="1"/>
    <col min="26" max="26" width="17.44140625" style="24" bestFit="1" customWidth="1"/>
    <col min="27" max="27" width="12.5546875" style="24" bestFit="1" customWidth="1"/>
    <col min="28" max="28" width="17.44140625" style="24" bestFit="1" customWidth="1"/>
    <col min="29" max="29" width="12.5546875" style="24" bestFit="1" customWidth="1"/>
    <col min="30" max="30" width="17.44140625" style="24" bestFit="1" customWidth="1"/>
    <col min="31" max="31" width="12.5546875" style="24" bestFit="1" customWidth="1"/>
    <col min="32" max="32" width="17.44140625" style="24" bestFit="1" customWidth="1"/>
    <col min="33" max="33" width="12.5546875" style="24" bestFit="1" customWidth="1"/>
    <col min="34" max="34" width="17.44140625" style="24" bestFit="1" customWidth="1"/>
    <col min="35" max="35" width="12.5546875" style="24" bestFit="1" customWidth="1"/>
    <col min="36" max="36" width="17.44140625" style="24" bestFit="1" customWidth="1"/>
    <col min="37" max="37" width="12.5546875" style="24" bestFit="1" customWidth="1"/>
    <col min="38" max="38" width="17.44140625" style="24" bestFit="1" customWidth="1"/>
    <col min="39" max="39" width="12.5546875" style="24" bestFit="1" customWidth="1"/>
    <col min="40" max="40" width="17.44140625" style="24" bestFit="1" customWidth="1"/>
    <col min="41" max="41" width="12.5546875" style="24" bestFit="1" customWidth="1"/>
    <col min="42" max="42" width="17.44140625" style="24" bestFit="1" customWidth="1"/>
    <col min="43" max="43" width="12.5546875" style="24" bestFit="1" customWidth="1"/>
    <col min="44" max="44" width="17.44140625" style="24" bestFit="1" customWidth="1"/>
    <col min="45" max="45" width="12.5546875" style="24" bestFit="1" customWidth="1"/>
    <col min="46" max="46" width="17.44140625" style="24" bestFit="1" customWidth="1"/>
    <col min="47" max="47" width="12.5546875" style="24" bestFit="1" customWidth="1"/>
    <col min="48" max="48" width="13.5546875" style="24" bestFit="1" customWidth="1"/>
    <col min="49" max="49" width="8" style="24" bestFit="1" customWidth="1"/>
    <col min="50" max="50" width="13.5546875" style="24" bestFit="1" customWidth="1"/>
    <col min="51" max="51" width="8" style="24" bestFit="1" customWidth="1"/>
    <col min="52" max="52" width="14.109375" style="24" bestFit="1" customWidth="1"/>
    <col min="53" max="53" width="6.44140625" style="24" customWidth="1"/>
    <col min="54" max="16384" width="11.44140625" style="24"/>
  </cols>
  <sheetData>
    <row r="1" spans="1:51" s="23" customFormat="1" x14ac:dyDescent="0.3">
      <c r="A1" s="23" t="s">
        <v>29</v>
      </c>
      <c r="B1" s="23" t="s">
        <v>30</v>
      </c>
      <c r="C1" s="23" t="s">
        <v>31</v>
      </c>
      <c r="D1" s="23" t="s">
        <v>32</v>
      </c>
      <c r="E1" s="23" t="s">
        <v>33</v>
      </c>
      <c r="F1" s="23" t="s">
        <v>34</v>
      </c>
      <c r="G1" s="23" t="s">
        <v>35</v>
      </c>
      <c r="H1" s="23" t="s">
        <v>36</v>
      </c>
      <c r="I1" s="23" t="s">
        <v>37</v>
      </c>
      <c r="J1" s="23" t="s">
        <v>38</v>
      </c>
      <c r="K1" s="23" t="s">
        <v>39</v>
      </c>
      <c r="L1" s="23" t="s">
        <v>40</v>
      </c>
      <c r="M1" s="23" t="s">
        <v>41</v>
      </c>
      <c r="N1" s="23" t="s">
        <v>42</v>
      </c>
      <c r="O1" s="23" t="s">
        <v>43</v>
      </c>
      <c r="P1" s="23" t="s">
        <v>44</v>
      </c>
      <c r="Q1" s="23" t="s">
        <v>45</v>
      </c>
      <c r="R1" s="23" t="s">
        <v>46</v>
      </c>
      <c r="S1" s="23" t="s">
        <v>47</v>
      </c>
      <c r="T1" s="23" t="s">
        <v>48</v>
      </c>
      <c r="U1" s="23" t="s">
        <v>49</v>
      </c>
      <c r="V1" s="23" t="s">
        <v>50</v>
      </c>
      <c r="W1" s="23" t="s">
        <v>51</v>
      </c>
      <c r="X1" s="23" t="s">
        <v>52</v>
      </c>
      <c r="Y1" s="23" t="s">
        <v>53</v>
      </c>
      <c r="Z1" s="23" t="s">
        <v>54</v>
      </c>
      <c r="AA1" s="23" t="s">
        <v>55</v>
      </c>
      <c r="AB1" s="23" t="s">
        <v>56</v>
      </c>
      <c r="AC1" s="23" t="s">
        <v>57</v>
      </c>
      <c r="AD1" s="23" t="s">
        <v>58</v>
      </c>
      <c r="AE1" s="23" t="s">
        <v>59</v>
      </c>
      <c r="AF1" s="23" t="s">
        <v>60</v>
      </c>
      <c r="AG1" s="23" t="s">
        <v>61</v>
      </c>
      <c r="AH1" s="23" t="s">
        <v>62</v>
      </c>
      <c r="AI1" s="23" t="s">
        <v>63</v>
      </c>
      <c r="AJ1" s="23" t="s">
        <v>64</v>
      </c>
      <c r="AK1" s="23" t="s">
        <v>65</v>
      </c>
      <c r="AL1" s="23" t="s">
        <v>66</v>
      </c>
      <c r="AM1" s="23" t="s">
        <v>67</v>
      </c>
      <c r="AN1" s="23" t="s">
        <v>68</v>
      </c>
      <c r="AO1" s="23" t="s">
        <v>69</v>
      </c>
      <c r="AP1" s="23" t="s">
        <v>70</v>
      </c>
      <c r="AQ1" s="23" t="s">
        <v>71</v>
      </c>
      <c r="AR1" s="23" t="s">
        <v>72</v>
      </c>
      <c r="AS1" s="23" t="s">
        <v>73</v>
      </c>
      <c r="AT1" s="23" t="s">
        <v>74</v>
      </c>
      <c r="AU1" s="23" t="s">
        <v>75</v>
      </c>
      <c r="AV1" s="23" t="s">
        <v>76</v>
      </c>
      <c r="AW1" s="23" t="s">
        <v>77</v>
      </c>
      <c r="AX1" s="23" t="s">
        <v>78</v>
      </c>
      <c r="AY1" s="23" t="s">
        <v>79</v>
      </c>
    </row>
    <row r="2" spans="1:51" x14ac:dyDescent="0.3">
      <c r="A2" s="24" t="s">
        <v>80</v>
      </c>
      <c r="B2" s="24" t="s">
        <v>81</v>
      </c>
      <c r="C2" s="45">
        <v>45720.666666666664</v>
      </c>
      <c r="F2" s="24" t="s">
        <v>82</v>
      </c>
      <c r="G2" s="24">
        <v>10.529</v>
      </c>
      <c r="H2" s="24" t="s">
        <v>83</v>
      </c>
      <c r="I2" s="24">
        <v>1079.7</v>
      </c>
      <c r="J2" s="24" t="s">
        <v>84</v>
      </c>
      <c r="K2" s="24">
        <v>19.899999999999999</v>
      </c>
      <c r="L2" s="24" t="s">
        <v>85</v>
      </c>
      <c r="N2" s="24" t="s">
        <v>86</v>
      </c>
      <c r="P2" s="24" t="s">
        <v>87</v>
      </c>
      <c r="R2" s="24" t="s">
        <v>88</v>
      </c>
      <c r="S2" s="24">
        <f>3.4*25</f>
        <v>85</v>
      </c>
      <c r="T2" s="24" t="s">
        <v>89</v>
      </c>
      <c r="U2" s="24">
        <f>3.76*25</f>
        <v>94</v>
      </c>
      <c r="V2" s="24" t="s">
        <v>90</v>
      </c>
      <c r="W2" s="24">
        <v>0.36</v>
      </c>
      <c r="X2" s="24" t="s">
        <v>91</v>
      </c>
      <c r="Y2" s="24">
        <v>161</v>
      </c>
      <c r="Z2" s="24" t="s">
        <v>92</v>
      </c>
      <c r="AA2" s="24">
        <v>48</v>
      </c>
      <c r="AB2" s="24" t="s">
        <v>93</v>
      </c>
      <c r="AC2" s="24">
        <v>122</v>
      </c>
      <c r="AD2" s="24" t="s">
        <v>94</v>
      </c>
      <c r="AE2" s="24">
        <v>0.23</v>
      </c>
      <c r="AF2" s="24" t="s">
        <v>95</v>
      </c>
      <c r="AG2" s="24" t="s">
        <v>96</v>
      </c>
      <c r="AH2" s="24" t="s">
        <v>97</v>
      </c>
      <c r="AI2" s="24">
        <f>10.5619-G2</f>
        <v>3.2899999999999707E-2</v>
      </c>
      <c r="AJ2" s="24" t="s">
        <v>98</v>
      </c>
      <c r="AK2" s="24">
        <f>10.6185-G2</f>
        <v>8.9499999999999247E-2</v>
      </c>
      <c r="AL2" s="24" t="s">
        <v>99</v>
      </c>
      <c r="AM2" s="24">
        <v>0</v>
      </c>
      <c r="AN2" s="24" t="s">
        <v>100</v>
      </c>
      <c r="AO2" s="24">
        <v>4.24</v>
      </c>
      <c r="AP2" s="24" t="s">
        <v>101</v>
      </c>
      <c r="AQ2" s="24">
        <v>2.8</v>
      </c>
      <c r="AR2" s="24" t="s">
        <v>102</v>
      </c>
      <c r="AS2" s="24">
        <v>406</v>
      </c>
      <c r="AT2" s="24" t="s">
        <v>103</v>
      </c>
      <c r="AU2" s="24">
        <v>2.7</v>
      </c>
      <c r="AV2" s="24" t="s">
        <v>104</v>
      </c>
      <c r="AW2" s="24">
        <v>13</v>
      </c>
      <c r="AX2" s="24" t="s">
        <v>105</v>
      </c>
      <c r="AY2" s="24">
        <v>264</v>
      </c>
    </row>
    <row r="3" spans="1:51" x14ac:dyDescent="0.3">
      <c r="A3" s="24" t="s">
        <v>106</v>
      </c>
      <c r="B3" s="24" t="s">
        <v>81</v>
      </c>
      <c r="C3" s="45">
        <v>45721.416666666664</v>
      </c>
      <c r="F3" s="24" t="s">
        <v>82</v>
      </c>
      <c r="G3" s="24">
        <v>10.532400000000001</v>
      </c>
      <c r="H3" s="24" t="s">
        <v>83</v>
      </c>
      <c r="I3" s="24">
        <v>1077.4000000000001</v>
      </c>
      <c r="J3" s="24" t="s">
        <v>84</v>
      </c>
      <c r="K3" s="24">
        <v>19.399999999999999</v>
      </c>
      <c r="L3" s="24" t="s">
        <v>85</v>
      </c>
      <c r="M3" s="24">
        <v>22.89</v>
      </c>
      <c r="N3" s="24" t="s">
        <v>86</v>
      </c>
      <c r="O3" s="24">
        <v>21.27</v>
      </c>
      <c r="P3" s="24" t="s">
        <v>87</v>
      </c>
      <c r="Q3" s="24">
        <v>34.229999999999997</v>
      </c>
      <c r="R3" s="24" t="s">
        <v>88</v>
      </c>
      <c r="S3" s="24">
        <f>3.48*25</f>
        <v>87</v>
      </c>
      <c r="T3" s="24" t="s">
        <v>89</v>
      </c>
      <c r="U3" s="24">
        <f>3.64*25</f>
        <v>91</v>
      </c>
      <c r="V3" s="24" t="s">
        <v>90</v>
      </c>
      <c r="W3" s="24">
        <v>0.96</v>
      </c>
      <c r="X3" s="24" t="s">
        <v>91</v>
      </c>
      <c r="Y3" s="24">
        <v>293</v>
      </c>
      <c r="Z3" s="24" t="s">
        <v>92</v>
      </c>
      <c r="AA3" s="24">
        <v>76</v>
      </c>
      <c r="AB3" s="24" t="s">
        <v>93</v>
      </c>
      <c r="AC3" s="24">
        <v>230</v>
      </c>
      <c r="AD3" s="24" t="s">
        <v>95</v>
      </c>
      <c r="AE3" s="24">
        <v>18</v>
      </c>
      <c r="AF3" s="24" t="s">
        <v>100</v>
      </c>
      <c r="AG3" s="24">
        <v>4.25</v>
      </c>
      <c r="AH3" s="24" t="s">
        <v>97</v>
      </c>
      <c r="AI3" s="24">
        <f>11.5922-G3</f>
        <v>1.0597999999999992</v>
      </c>
      <c r="AJ3" s="24" t="s">
        <v>98</v>
      </c>
      <c r="AK3" s="24">
        <f>10.5625-G3</f>
        <v>3.0099999999999127E-2</v>
      </c>
      <c r="AL3" s="24" t="s">
        <v>99</v>
      </c>
      <c r="AM3" s="24">
        <v>0</v>
      </c>
    </row>
    <row r="4" spans="1:51" x14ac:dyDescent="0.3">
      <c r="A4" s="24" t="s">
        <v>107</v>
      </c>
      <c r="B4" s="24" t="s">
        <v>81</v>
      </c>
      <c r="C4" s="45">
        <v>45721.697222222225</v>
      </c>
      <c r="F4" s="24" t="s">
        <v>82</v>
      </c>
      <c r="G4" s="24">
        <v>10.5162</v>
      </c>
      <c r="H4" s="24" t="s">
        <v>83</v>
      </c>
      <c r="I4" s="24">
        <v>1073.4000000000001</v>
      </c>
      <c r="J4" s="24" t="s">
        <v>84</v>
      </c>
      <c r="K4" s="24">
        <v>18.5</v>
      </c>
      <c r="L4" s="24" t="s">
        <v>85</v>
      </c>
      <c r="M4" s="24">
        <v>45.93</v>
      </c>
      <c r="N4" s="24" t="s">
        <v>86</v>
      </c>
      <c r="O4" s="24">
        <v>29.6</v>
      </c>
      <c r="P4" s="24" t="s">
        <v>87</v>
      </c>
      <c r="Q4" s="24">
        <v>29.6</v>
      </c>
      <c r="R4" s="24" t="s">
        <v>88</v>
      </c>
      <c r="S4" s="24">
        <f>0.89*25</f>
        <v>22.25</v>
      </c>
      <c r="T4" s="24" t="s">
        <v>89</v>
      </c>
      <c r="U4" s="24">
        <f>0.93*25</f>
        <v>23.25</v>
      </c>
      <c r="V4" s="24" t="s">
        <v>90</v>
      </c>
      <c r="W4" s="24">
        <v>1.45</v>
      </c>
      <c r="X4" s="24" t="s">
        <v>91</v>
      </c>
      <c r="Y4" s="24">
        <v>235</v>
      </c>
      <c r="Z4" s="24" t="s">
        <v>92</v>
      </c>
      <c r="AA4" s="24">
        <v>40</v>
      </c>
      <c r="AB4" s="24" t="s">
        <v>93</v>
      </c>
      <c r="AC4" s="24">
        <v>202</v>
      </c>
      <c r="AD4" s="24" t="s">
        <v>95</v>
      </c>
      <c r="AE4" s="24">
        <v>73</v>
      </c>
      <c r="AF4" s="24" t="s">
        <v>100</v>
      </c>
      <c r="AG4" s="24">
        <v>4.5</v>
      </c>
      <c r="AH4" s="24" t="s">
        <v>97</v>
      </c>
      <c r="AI4" s="24">
        <f>12.8674-G4</f>
        <v>2.3512000000000004</v>
      </c>
      <c r="AJ4" s="24" t="s">
        <v>98</v>
      </c>
      <c r="AK4" s="24">
        <f>10.9672-G4</f>
        <v>0.45100000000000051</v>
      </c>
      <c r="AL4" s="24" t="s">
        <v>99</v>
      </c>
      <c r="AM4" s="24">
        <v>0</v>
      </c>
    </row>
    <row r="5" spans="1:51" x14ac:dyDescent="0.3">
      <c r="A5" s="24" t="s">
        <v>108</v>
      </c>
      <c r="B5" s="24" t="s">
        <v>81</v>
      </c>
      <c r="C5" s="45">
        <v>45722.385416666664</v>
      </c>
      <c r="F5" s="24" t="s">
        <v>82</v>
      </c>
      <c r="G5" s="24">
        <v>10.4983</v>
      </c>
      <c r="H5" s="24" t="s">
        <v>83</v>
      </c>
      <c r="I5" s="24">
        <v>1049.2</v>
      </c>
      <c r="J5" s="24" t="s">
        <v>84</v>
      </c>
      <c r="K5" s="24">
        <v>12.8</v>
      </c>
      <c r="L5" s="24" t="s">
        <v>85</v>
      </c>
      <c r="M5" s="24">
        <v>68.510000000000005</v>
      </c>
      <c r="N5" s="24" t="s">
        <v>86</v>
      </c>
      <c r="O5" s="24">
        <v>66.36</v>
      </c>
      <c r="P5" s="24" t="s">
        <v>87</v>
      </c>
      <c r="Q5" s="24">
        <v>14.01</v>
      </c>
      <c r="R5" s="24" t="s">
        <v>88</v>
      </c>
      <c r="S5" s="24">
        <v>65.16</v>
      </c>
      <c r="T5" s="24" t="s">
        <v>89</v>
      </c>
      <c r="U5" s="24">
        <v>51.13</v>
      </c>
      <c r="V5" s="24" t="s">
        <v>90</v>
      </c>
      <c r="W5" s="24">
        <v>3.65</v>
      </c>
      <c r="X5" s="24" t="s">
        <v>91</v>
      </c>
      <c r="Y5" s="24">
        <v>10</v>
      </c>
      <c r="Z5" s="24" t="s">
        <v>92</v>
      </c>
      <c r="AA5" s="24" t="s">
        <v>96</v>
      </c>
      <c r="AB5" s="24" t="s">
        <v>93</v>
      </c>
      <c r="AC5" s="24">
        <v>12</v>
      </c>
      <c r="AD5" s="24" t="s">
        <v>95</v>
      </c>
      <c r="AE5" s="24">
        <v>140</v>
      </c>
      <c r="AF5" s="24" t="s">
        <v>100</v>
      </c>
      <c r="AG5" s="24">
        <v>4.0999999999999996</v>
      </c>
      <c r="AH5" s="24" t="s">
        <v>97</v>
      </c>
      <c r="AI5" s="24">
        <f>11.9434-G5</f>
        <v>1.4451000000000001</v>
      </c>
      <c r="AJ5" s="24" t="s">
        <v>98</v>
      </c>
      <c r="AK5" s="24">
        <f>10.715-G5</f>
        <v>0.21669999999999945</v>
      </c>
      <c r="AL5" s="24" t="s">
        <v>99</v>
      </c>
      <c r="AM5" s="24">
        <v>0.65</v>
      </c>
    </row>
    <row r="6" spans="1:51" x14ac:dyDescent="0.3">
      <c r="A6" s="24" t="s">
        <v>109</v>
      </c>
      <c r="B6" s="24" t="s">
        <v>81</v>
      </c>
      <c r="C6" s="45">
        <v>45722.666666666664</v>
      </c>
      <c r="D6" s="39"/>
      <c r="E6" s="39"/>
      <c r="F6" s="24" t="s">
        <v>82</v>
      </c>
      <c r="G6" s="24">
        <v>10.5138</v>
      </c>
      <c r="H6" s="24" t="s">
        <v>83</v>
      </c>
      <c r="I6" s="24">
        <v>1042.5</v>
      </c>
      <c r="J6" s="24" t="s">
        <v>84</v>
      </c>
      <c r="K6" s="24">
        <v>11.2</v>
      </c>
      <c r="L6" s="24" t="s">
        <v>85</v>
      </c>
      <c r="M6" s="24">
        <v>52.15</v>
      </c>
      <c r="N6" s="24" t="s">
        <v>86</v>
      </c>
      <c r="O6" s="24">
        <v>50.84</v>
      </c>
      <c r="P6" s="24" t="s">
        <v>87</v>
      </c>
      <c r="Q6" s="24">
        <v>13.55</v>
      </c>
      <c r="R6" s="24" t="s">
        <v>88</v>
      </c>
      <c r="S6" s="24">
        <v>61.43</v>
      </c>
      <c r="T6" s="24" t="s">
        <v>89</v>
      </c>
      <c r="U6" s="24">
        <v>43.48</v>
      </c>
      <c r="V6" s="24" t="s">
        <v>90</v>
      </c>
      <c r="W6" s="24">
        <v>4.12</v>
      </c>
      <c r="X6" s="24" t="s">
        <v>91</v>
      </c>
      <c r="Y6" s="24">
        <v>40</v>
      </c>
      <c r="Z6" s="24" t="s">
        <v>92</v>
      </c>
      <c r="AA6" s="24">
        <v>33</v>
      </c>
      <c r="AB6" s="24" t="s">
        <v>93</v>
      </c>
      <c r="AC6" s="24">
        <v>14</v>
      </c>
      <c r="AD6" s="24" t="s">
        <v>95</v>
      </c>
      <c r="AE6" s="24">
        <v>129</v>
      </c>
      <c r="AF6" s="24" t="s">
        <v>100</v>
      </c>
      <c r="AG6" s="24">
        <v>3.83</v>
      </c>
      <c r="AH6" s="24" t="s">
        <v>97</v>
      </c>
      <c r="AI6" s="24">
        <f>11.9048-G6</f>
        <v>1.391</v>
      </c>
      <c r="AJ6" s="24" t="s">
        <v>98</v>
      </c>
      <c r="AK6" s="24">
        <f>10.7978-G6</f>
        <v>0.2840000000000007</v>
      </c>
      <c r="AL6" s="24" t="s">
        <v>99</v>
      </c>
      <c r="AM6" s="24">
        <v>3.3</v>
      </c>
    </row>
    <row r="7" spans="1:51" x14ac:dyDescent="0.3">
      <c r="A7" s="24" t="s">
        <v>110</v>
      </c>
      <c r="B7" s="24" t="s">
        <v>81</v>
      </c>
      <c r="C7" s="45">
        <v>45723.347222222219</v>
      </c>
      <c r="D7" s="39"/>
      <c r="E7" s="39"/>
      <c r="F7" s="24" t="s">
        <v>82</v>
      </c>
      <c r="G7" s="24">
        <v>10.432399999999999</v>
      </c>
      <c r="H7" s="24" t="s">
        <v>83</v>
      </c>
      <c r="I7" s="24">
        <v>1020.3</v>
      </c>
      <c r="J7" s="24" t="s">
        <v>84</v>
      </c>
      <c r="K7" s="24">
        <v>5.9</v>
      </c>
      <c r="L7" s="24" t="s">
        <v>85</v>
      </c>
      <c r="M7" s="24">
        <v>52.46</v>
      </c>
      <c r="N7" s="24" t="s">
        <v>86</v>
      </c>
      <c r="O7" s="24">
        <v>50.08</v>
      </c>
      <c r="P7" s="24" t="s">
        <v>87</v>
      </c>
      <c r="Q7" s="24">
        <v>14.2</v>
      </c>
      <c r="R7" s="24" t="s">
        <v>88</v>
      </c>
      <c r="S7" s="24">
        <v>42.4</v>
      </c>
      <c r="T7" s="24" t="s">
        <v>89</v>
      </c>
      <c r="U7" s="24">
        <v>17.93</v>
      </c>
      <c r="V7" s="24" t="s">
        <v>90</v>
      </c>
      <c r="W7" s="24">
        <v>5.32</v>
      </c>
      <c r="X7" s="24" t="s">
        <v>91</v>
      </c>
      <c r="Y7" s="24">
        <v>10</v>
      </c>
      <c r="Z7" s="24" t="s">
        <v>92</v>
      </c>
      <c r="AA7" s="24" t="s">
        <v>96</v>
      </c>
      <c r="AB7" s="24" t="s">
        <v>93</v>
      </c>
      <c r="AC7" s="24">
        <v>13</v>
      </c>
      <c r="AD7" s="24" t="s">
        <v>95</v>
      </c>
      <c r="AE7" s="24">
        <v>126</v>
      </c>
      <c r="AF7" s="24" t="s">
        <v>100</v>
      </c>
      <c r="AG7" s="24">
        <v>3.61</v>
      </c>
      <c r="AH7" s="24" t="s">
        <v>97</v>
      </c>
      <c r="AI7" s="24">
        <f>11.3845-G7</f>
        <v>0.95209999999999972</v>
      </c>
      <c r="AJ7" s="24" t="s">
        <v>98</v>
      </c>
      <c r="AK7" s="24">
        <f>10.6537-G7</f>
        <v>0.22130000000000116</v>
      </c>
      <c r="AL7" s="24" t="s">
        <v>99</v>
      </c>
      <c r="AM7" s="24">
        <v>4.9000000000000004</v>
      </c>
    </row>
    <row r="8" spans="1:51" x14ac:dyDescent="0.3">
      <c r="A8" s="24" t="s">
        <v>111</v>
      </c>
      <c r="B8" s="24" t="s">
        <v>81</v>
      </c>
      <c r="C8" s="45">
        <v>45723.604166666664</v>
      </c>
      <c r="D8" s="39"/>
      <c r="E8" s="39"/>
      <c r="F8" s="24" t="s">
        <v>82</v>
      </c>
      <c r="G8" s="24">
        <v>10.4978</v>
      </c>
      <c r="H8" s="24" t="s">
        <v>83</v>
      </c>
      <c r="I8" s="24">
        <v>1016.1</v>
      </c>
      <c r="J8" s="24" t="s">
        <v>84</v>
      </c>
      <c r="K8" s="24">
        <v>4.7</v>
      </c>
      <c r="L8" s="24" t="s">
        <v>85</v>
      </c>
      <c r="M8" s="24">
        <v>54.45</v>
      </c>
      <c r="N8" s="24" t="s">
        <v>86</v>
      </c>
      <c r="O8" s="24">
        <v>50.61</v>
      </c>
      <c r="P8" s="24" t="s">
        <v>87</v>
      </c>
      <c r="Q8" s="24">
        <v>7.33</v>
      </c>
      <c r="R8" s="24" t="s">
        <v>88</v>
      </c>
      <c r="S8" s="24">
        <v>34.619999999999997</v>
      </c>
      <c r="T8" s="24" t="s">
        <v>89</v>
      </c>
      <c r="U8" s="24">
        <v>13.32</v>
      </c>
      <c r="V8" s="24" t="s">
        <v>90</v>
      </c>
      <c r="W8" s="24">
        <v>5.37</v>
      </c>
      <c r="X8" s="24" t="s">
        <v>91</v>
      </c>
      <c r="Y8" s="24">
        <v>13</v>
      </c>
      <c r="Z8" s="24" t="s">
        <v>92</v>
      </c>
      <c r="AA8" s="24" t="s">
        <v>96</v>
      </c>
      <c r="AB8" s="24" t="s">
        <v>93</v>
      </c>
      <c r="AC8" s="24">
        <v>14</v>
      </c>
      <c r="AD8" s="24" t="s">
        <v>95</v>
      </c>
      <c r="AE8" s="24">
        <v>111</v>
      </c>
      <c r="AF8" s="24" t="s">
        <v>100</v>
      </c>
      <c r="AG8" s="24">
        <v>3.63</v>
      </c>
      <c r="AH8" s="24" t="s">
        <v>97</v>
      </c>
      <c r="AI8" s="24">
        <f>12.4342-G8</f>
        <v>1.9364000000000008</v>
      </c>
      <c r="AJ8" s="24" t="s">
        <v>98</v>
      </c>
      <c r="AK8" s="24">
        <f>10.8108-G8</f>
        <v>0.31300000000000061</v>
      </c>
      <c r="AL8" s="24" t="s">
        <v>99</v>
      </c>
      <c r="AM8" s="24">
        <v>7.5</v>
      </c>
    </row>
    <row r="9" spans="1:51" x14ac:dyDescent="0.3">
      <c r="A9" s="24" t="s">
        <v>112</v>
      </c>
      <c r="B9" s="24" t="s">
        <v>81</v>
      </c>
      <c r="C9" s="45">
        <v>45726.458333333336</v>
      </c>
      <c r="D9" s="39"/>
      <c r="E9" s="39"/>
      <c r="F9" s="24" t="s">
        <v>82</v>
      </c>
      <c r="G9" s="24">
        <v>11.3584</v>
      </c>
      <c r="H9" s="24" t="s">
        <v>83</v>
      </c>
      <c r="I9" s="24">
        <v>993.6</v>
      </c>
      <c r="J9" s="24" t="s">
        <v>84</v>
      </c>
      <c r="K9" s="24">
        <v>-1.1000000000000001</v>
      </c>
      <c r="L9" s="24" t="s">
        <v>85</v>
      </c>
      <c r="M9" s="24">
        <v>34.33</v>
      </c>
      <c r="N9" s="24" t="s">
        <v>86</v>
      </c>
      <c r="O9" s="24">
        <v>28.19</v>
      </c>
      <c r="P9" s="24" t="s">
        <v>87</v>
      </c>
      <c r="Q9" s="24">
        <v>7.83</v>
      </c>
      <c r="R9" s="24" t="s">
        <v>88</v>
      </c>
      <c r="S9" s="24">
        <v>4.8099999999999996</v>
      </c>
      <c r="T9" s="24" t="s">
        <v>89</v>
      </c>
      <c r="U9" s="24" t="s">
        <v>96</v>
      </c>
      <c r="V9" s="24" t="s">
        <v>90</v>
      </c>
      <c r="W9" s="24">
        <v>5.7</v>
      </c>
      <c r="X9" s="24" t="s">
        <v>91</v>
      </c>
      <c r="Y9" s="24">
        <v>17</v>
      </c>
      <c r="Z9" s="24" t="s">
        <v>92</v>
      </c>
      <c r="AA9" s="24" t="s">
        <v>96</v>
      </c>
      <c r="AB9" s="24" t="s">
        <v>93</v>
      </c>
      <c r="AC9" s="24">
        <v>19</v>
      </c>
      <c r="AD9" s="24" t="s">
        <v>95</v>
      </c>
      <c r="AE9" s="24">
        <v>50</v>
      </c>
      <c r="AF9" s="24" t="s">
        <v>100</v>
      </c>
      <c r="AG9" s="24">
        <v>3.66</v>
      </c>
      <c r="AH9" s="24" t="s">
        <v>97</v>
      </c>
      <c r="AI9" s="24">
        <f>11.8335-G9</f>
        <v>0.47510000000000119</v>
      </c>
      <c r="AJ9" s="24" t="s">
        <v>98</v>
      </c>
      <c r="AK9" s="24">
        <f>11.4394-G9</f>
        <v>8.0999999999999517E-2</v>
      </c>
      <c r="AL9" s="24" t="s">
        <v>99</v>
      </c>
      <c r="AM9" s="24">
        <v>7.95</v>
      </c>
    </row>
    <row r="10" spans="1:51" x14ac:dyDescent="0.3">
      <c r="A10" s="24" t="s">
        <v>113</v>
      </c>
      <c r="B10" s="24" t="s">
        <v>114</v>
      </c>
      <c r="C10" s="45">
        <v>45720.666666666664</v>
      </c>
      <c r="F10" s="24" t="s">
        <v>82</v>
      </c>
      <c r="G10" s="24">
        <v>11.5534</v>
      </c>
      <c r="H10" s="24" t="s">
        <v>83</v>
      </c>
      <c r="I10" s="24">
        <v>1079.4000000000001</v>
      </c>
      <c r="J10" s="24" t="s">
        <v>84</v>
      </c>
      <c r="K10" s="24">
        <v>19.899999999999999</v>
      </c>
      <c r="L10" s="24" t="s">
        <v>85</v>
      </c>
      <c r="N10" s="24" t="s">
        <v>86</v>
      </c>
      <c r="P10" s="24" t="s">
        <v>87</v>
      </c>
      <c r="R10" s="24" t="s">
        <v>88</v>
      </c>
      <c r="S10" s="24">
        <f>3.18*25</f>
        <v>79.5</v>
      </c>
      <c r="T10" s="24" t="s">
        <v>89</v>
      </c>
      <c r="U10" s="24">
        <f>3.93*25</f>
        <v>98.25</v>
      </c>
      <c r="V10" s="24" t="s">
        <v>90</v>
      </c>
      <c r="W10" s="24">
        <v>0.49</v>
      </c>
      <c r="X10" s="24" t="s">
        <v>91</v>
      </c>
      <c r="Y10" s="24">
        <v>160</v>
      </c>
      <c r="Z10" s="24" t="s">
        <v>92</v>
      </c>
      <c r="AA10" s="24">
        <v>49</v>
      </c>
      <c r="AB10" s="24" t="s">
        <v>93</v>
      </c>
      <c r="AC10" s="24">
        <v>120</v>
      </c>
      <c r="AD10" s="24" t="s">
        <v>94</v>
      </c>
      <c r="AE10" s="24">
        <v>0.24</v>
      </c>
      <c r="AF10" s="24" t="s">
        <v>95</v>
      </c>
      <c r="AG10" s="24" t="s">
        <v>96</v>
      </c>
      <c r="AH10" s="24" t="s">
        <v>97</v>
      </c>
      <c r="AI10" s="24">
        <f>11.937-G10</f>
        <v>0.3835999999999995</v>
      </c>
      <c r="AJ10" s="24" t="s">
        <v>98</v>
      </c>
      <c r="AK10" s="24">
        <f>11.6121-G10</f>
        <v>5.8699999999999974E-2</v>
      </c>
      <c r="AL10" s="24" t="s">
        <v>99</v>
      </c>
      <c r="AM10" s="24">
        <v>0</v>
      </c>
      <c r="AN10" s="24" t="s">
        <v>100</v>
      </c>
      <c r="AO10" s="24">
        <v>4.24</v>
      </c>
      <c r="AP10" s="24" t="s">
        <v>101</v>
      </c>
      <c r="AQ10" s="24">
        <v>2.96</v>
      </c>
      <c r="AR10" s="24" t="s">
        <v>102</v>
      </c>
      <c r="AS10" s="24">
        <v>401</v>
      </c>
      <c r="AT10" s="24" t="s">
        <v>103</v>
      </c>
      <c r="AU10" s="24">
        <v>2.7</v>
      </c>
      <c r="AV10" s="24" t="s">
        <v>104</v>
      </c>
      <c r="AW10" s="24">
        <v>13</v>
      </c>
      <c r="AX10" s="24" t="s">
        <v>105</v>
      </c>
      <c r="AY10" s="24">
        <v>267</v>
      </c>
    </row>
    <row r="11" spans="1:51" x14ac:dyDescent="0.3">
      <c r="A11" s="24" t="s">
        <v>115</v>
      </c>
      <c r="B11" s="24" t="s">
        <v>114</v>
      </c>
      <c r="C11" s="45">
        <v>45721.416666666664</v>
      </c>
      <c r="F11" s="24" t="s">
        <v>82</v>
      </c>
      <c r="G11" s="24">
        <v>10.529</v>
      </c>
      <c r="H11" s="24" t="s">
        <v>83</v>
      </c>
      <c r="I11" s="24">
        <v>1077.9000000000001</v>
      </c>
      <c r="J11" s="24" t="s">
        <v>84</v>
      </c>
      <c r="K11" s="24">
        <v>19.5</v>
      </c>
      <c r="L11" s="24" t="s">
        <v>85</v>
      </c>
      <c r="M11" s="24">
        <v>22.04</v>
      </c>
      <c r="N11" s="24" t="s">
        <v>86</v>
      </c>
      <c r="O11" s="24">
        <v>21.12</v>
      </c>
      <c r="P11" s="24" t="s">
        <v>87</v>
      </c>
      <c r="Q11" s="24">
        <v>40.770000000000003</v>
      </c>
      <c r="R11" s="24" t="s">
        <v>88</v>
      </c>
      <c r="S11" s="24">
        <f>1.84*25</f>
        <v>46</v>
      </c>
      <c r="T11" s="24" t="s">
        <v>89</v>
      </c>
      <c r="U11" s="24">
        <f>3.6*25</f>
        <v>90</v>
      </c>
      <c r="V11" s="24" t="s">
        <v>90</v>
      </c>
      <c r="W11" s="24">
        <v>0.91</v>
      </c>
      <c r="X11" s="24" t="s">
        <v>91</v>
      </c>
      <c r="Y11" s="24">
        <v>300</v>
      </c>
      <c r="Z11" s="24" t="s">
        <v>92</v>
      </c>
      <c r="AA11" s="24">
        <v>79</v>
      </c>
      <c r="AB11" s="24" t="s">
        <v>93</v>
      </c>
      <c r="AC11" s="24">
        <v>236</v>
      </c>
      <c r="AD11" s="24" t="s">
        <v>95</v>
      </c>
      <c r="AE11" s="24">
        <v>21</v>
      </c>
      <c r="AF11" s="24" t="s">
        <v>100</v>
      </c>
      <c r="AG11" s="24">
        <v>4.21</v>
      </c>
      <c r="AH11" s="24" t="s">
        <v>97</v>
      </c>
      <c r="AI11" s="24">
        <f>10.7349-G11</f>
        <v>0.20589999999999975</v>
      </c>
      <c r="AJ11" s="24" t="s">
        <v>98</v>
      </c>
      <c r="AK11" s="24">
        <f>10.2904-G11</f>
        <v>-0.23859999999999992</v>
      </c>
      <c r="AL11" s="24" t="s">
        <v>99</v>
      </c>
      <c r="AM11" s="24">
        <v>0</v>
      </c>
    </row>
    <row r="12" spans="1:51" x14ac:dyDescent="0.3">
      <c r="A12" s="24" t="s">
        <v>116</v>
      </c>
      <c r="B12" s="24" t="s">
        <v>114</v>
      </c>
      <c r="C12" s="45">
        <v>45721.699305555558</v>
      </c>
      <c r="F12" s="24" t="s">
        <v>82</v>
      </c>
      <c r="G12" s="24">
        <v>10.5296</v>
      </c>
      <c r="H12" s="24" t="s">
        <v>83</v>
      </c>
      <c r="I12" s="24">
        <v>1074</v>
      </c>
      <c r="J12" s="24" t="s">
        <v>84</v>
      </c>
      <c r="K12" s="24">
        <v>18.600000000000001</v>
      </c>
      <c r="L12" s="24" t="s">
        <v>85</v>
      </c>
      <c r="M12" s="24">
        <v>36.79</v>
      </c>
      <c r="N12" s="24" t="s">
        <v>86</v>
      </c>
      <c r="O12" s="24">
        <v>34.950000000000003</v>
      </c>
      <c r="P12" s="24" t="s">
        <v>87</v>
      </c>
      <c r="Q12" s="24">
        <v>37.369999999999997</v>
      </c>
      <c r="R12" s="24" t="s">
        <v>88</v>
      </c>
      <c r="S12" s="24">
        <f>2.52*25</f>
        <v>63</v>
      </c>
      <c r="T12" s="24" t="s">
        <v>89</v>
      </c>
      <c r="U12" s="24">
        <f>1.59*25</f>
        <v>39.75</v>
      </c>
      <c r="V12" s="24" t="s">
        <v>90</v>
      </c>
      <c r="W12" s="24">
        <v>1.41</v>
      </c>
      <c r="X12" s="24" t="s">
        <v>91</v>
      </c>
      <c r="Y12" s="24">
        <v>246</v>
      </c>
      <c r="Z12" s="24" t="s">
        <v>92</v>
      </c>
      <c r="AA12" s="24">
        <v>42</v>
      </c>
      <c r="AB12" s="24" t="s">
        <v>93</v>
      </c>
      <c r="AC12" s="24">
        <v>211</v>
      </c>
      <c r="AD12" s="24" t="s">
        <v>95</v>
      </c>
      <c r="AE12" s="24">
        <v>85</v>
      </c>
      <c r="AF12" s="24" t="s">
        <v>100</v>
      </c>
      <c r="AG12" s="24">
        <v>4.66</v>
      </c>
      <c r="AH12" s="24" t="s">
        <v>97</v>
      </c>
      <c r="AI12" s="24">
        <f>11.2994-G12</f>
        <v>0.76980000000000004</v>
      </c>
      <c r="AJ12" s="24" t="s">
        <v>98</v>
      </c>
      <c r="AK12" s="24">
        <f>10.675-G12</f>
        <v>0.14540000000000042</v>
      </c>
      <c r="AL12" s="24" t="s">
        <v>99</v>
      </c>
      <c r="AM12" s="24">
        <v>0</v>
      </c>
    </row>
    <row r="13" spans="1:51" x14ac:dyDescent="0.3">
      <c r="A13" s="24" t="s">
        <v>117</v>
      </c>
      <c r="B13" s="24" t="s">
        <v>114</v>
      </c>
      <c r="C13" s="45">
        <v>45722.385416666664</v>
      </c>
      <c r="F13" s="24" t="s">
        <v>82</v>
      </c>
      <c r="G13" s="24">
        <v>10.5282</v>
      </c>
      <c r="H13" s="24" t="s">
        <v>83</v>
      </c>
      <c r="I13" s="24">
        <v>1050.4000000000001</v>
      </c>
      <c r="J13" s="24" t="s">
        <v>84</v>
      </c>
      <c r="K13" s="24">
        <v>13.1</v>
      </c>
      <c r="L13" s="24" t="s">
        <v>85</v>
      </c>
      <c r="M13" s="24">
        <v>52.69</v>
      </c>
      <c r="N13" s="24" t="s">
        <v>86</v>
      </c>
      <c r="O13" s="24">
        <v>51.61</v>
      </c>
      <c r="P13" s="24" t="s">
        <v>87</v>
      </c>
      <c r="Q13" s="24">
        <v>14.58</v>
      </c>
      <c r="R13" s="24" t="s">
        <v>88</v>
      </c>
      <c r="S13" s="24">
        <v>62.73</v>
      </c>
      <c r="T13" s="24" t="s">
        <v>89</v>
      </c>
      <c r="U13" s="24">
        <v>53.33</v>
      </c>
      <c r="V13" s="24" t="s">
        <v>90</v>
      </c>
      <c r="W13" s="24">
        <v>3.84</v>
      </c>
      <c r="X13" s="24" t="s">
        <v>91</v>
      </c>
      <c r="Y13" s="24">
        <v>10</v>
      </c>
      <c r="Z13" s="24" t="s">
        <v>92</v>
      </c>
      <c r="AA13" s="24" t="s">
        <v>96</v>
      </c>
      <c r="AB13" s="24" t="s">
        <v>93</v>
      </c>
      <c r="AC13" s="24">
        <v>12</v>
      </c>
      <c r="AD13" s="24" t="s">
        <v>95</v>
      </c>
      <c r="AE13" s="24">
        <v>140</v>
      </c>
      <c r="AF13" s="24" t="s">
        <v>100</v>
      </c>
      <c r="AG13" s="24">
        <v>4.25</v>
      </c>
      <c r="AH13" s="24" t="s">
        <v>97</v>
      </c>
      <c r="AI13" s="24">
        <f>11.8248-G13</f>
        <v>1.2965999999999998</v>
      </c>
      <c r="AJ13" s="24" t="s">
        <v>98</v>
      </c>
      <c r="AK13" s="24">
        <f>10.7243-G13</f>
        <v>0.1960999999999995</v>
      </c>
      <c r="AL13" s="24" t="s">
        <v>99</v>
      </c>
      <c r="AM13" s="24">
        <v>0.1</v>
      </c>
    </row>
    <row r="14" spans="1:51" x14ac:dyDescent="0.3">
      <c r="A14" s="24" t="s">
        <v>118</v>
      </c>
      <c r="B14" s="24" t="s">
        <v>114</v>
      </c>
      <c r="C14" s="45">
        <v>45722.670138888891</v>
      </c>
      <c r="F14" s="24" t="s">
        <v>82</v>
      </c>
      <c r="G14" s="24">
        <v>10.5166</v>
      </c>
      <c r="H14" s="24" t="s">
        <v>83</v>
      </c>
      <c r="I14" s="24">
        <v>1042.8</v>
      </c>
      <c r="J14" s="24" t="s">
        <v>84</v>
      </c>
      <c r="K14" s="24">
        <v>11.3</v>
      </c>
      <c r="L14" s="24" t="s">
        <v>85</v>
      </c>
      <c r="M14" s="24">
        <v>50</v>
      </c>
      <c r="N14" s="24" t="s">
        <v>86</v>
      </c>
      <c r="O14" s="24">
        <v>49.46</v>
      </c>
      <c r="P14" s="24" t="s">
        <v>87</v>
      </c>
      <c r="Q14" s="24">
        <v>21.97</v>
      </c>
      <c r="R14" s="24" t="s">
        <v>88</v>
      </c>
      <c r="S14" s="24">
        <v>53.31</v>
      </c>
      <c r="T14" s="24" t="s">
        <v>89</v>
      </c>
      <c r="U14" s="24">
        <v>48.32</v>
      </c>
      <c r="V14" s="24" t="s">
        <v>90</v>
      </c>
      <c r="W14" s="24">
        <v>3.92</v>
      </c>
      <c r="X14" s="24" t="s">
        <v>91</v>
      </c>
      <c r="Y14" s="24">
        <v>56</v>
      </c>
      <c r="Z14" s="24" t="s">
        <v>92</v>
      </c>
      <c r="AA14" s="24">
        <v>44</v>
      </c>
      <c r="AB14" s="24" t="s">
        <v>93</v>
      </c>
      <c r="AC14" s="24">
        <v>20</v>
      </c>
      <c r="AD14" s="24" t="s">
        <v>95</v>
      </c>
      <c r="AE14" s="24">
        <v>119</v>
      </c>
      <c r="AF14" s="24" t="s">
        <v>100</v>
      </c>
      <c r="AG14" s="24">
        <v>3.85</v>
      </c>
      <c r="AH14" s="24" t="s">
        <v>97</v>
      </c>
      <c r="AI14" s="24">
        <f>11.6657-G14</f>
        <v>1.1490999999999989</v>
      </c>
      <c r="AJ14" s="24" t="s">
        <v>98</v>
      </c>
      <c r="AK14" s="24">
        <f>10.7733-G14</f>
        <v>0.25670000000000037</v>
      </c>
      <c r="AL14" s="24" t="s">
        <v>99</v>
      </c>
      <c r="AM14" s="24">
        <v>5.2</v>
      </c>
    </row>
    <row r="15" spans="1:51" x14ac:dyDescent="0.3">
      <c r="A15" s="24" t="s">
        <v>119</v>
      </c>
      <c r="B15" s="24" t="s">
        <v>114</v>
      </c>
      <c r="C15" s="45">
        <v>45723.350694444445</v>
      </c>
      <c r="F15" s="24" t="s">
        <v>82</v>
      </c>
      <c r="G15" s="24">
        <v>10.551600000000001</v>
      </c>
      <c r="H15" s="24" t="s">
        <v>83</v>
      </c>
      <c r="I15" s="24">
        <v>1021.4</v>
      </c>
      <c r="J15" s="24" t="s">
        <v>84</v>
      </c>
      <c r="K15" s="24">
        <v>6</v>
      </c>
      <c r="L15" s="24" t="s">
        <v>85</v>
      </c>
      <c r="M15" s="24">
        <v>50.31</v>
      </c>
      <c r="N15" s="24" t="s">
        <v>86</v>
      </c>
      <c r="O15" s="24">
        <v>49</v>
      </c>
      <c r="P15" s="24" t="s">
        <v>87</v>
      </c>
      <c r="Q15" s="24">
        <v>13.59</v>
      </c>
      <c r="R15" s="24" t="s">
        <v>88</v>
      </c>
      <c r="S15" s="24">
        <v>38.68</v>
      </c>
      <c r="T15" s="24" t="s">
        <v>89</v>
      </c>
      <c r="U15" s="24">
        <v>22.27</v>
      </c>
      <c r="V15" s="24" t="s">
        <v>90</v>
      </c>
      <c r="W15" s="24">
        <v>5.36</v>
      </c>
      <c r="X15" s="24" t="s">
        <v>91</v>
      </c>
      <c r="Y15" s="24">
        <v>10</v>
      </c>
      <c r="Z15" s="24" t="s">
        <v>92</v>
      </c>
      <c r="AA15" s="24" t="s">
        <v>96</v>
      </c>
      <c r="AB15" s="24" t="s">
        <v>93</v>
      </c>
      <c r="AC15" s="24">
        <v>13</v>
      </c>
      <c r="AD15" s="24" t="s">
        <v>95</v>
      </c>
      <c r="AE15" s="24">
        <v>122</v>
      </c>
      <c r="AF15" s="24" t="s">
        <v>100</v>
      </c>
      <c r="AG15" s="24">
        <v>3.63</v>
      </c>
      <c r="AH15" s="24" t="s">
        <v>97</v>
      </c>
      <c r="AI15" s="24">
        <f>11.664-G15</f>
        <v>1.1123999999999992</v>
      </c>
      <c r="AJ15" s="24" t="s">
        <v>98</v>
      </c>
      <c r="AK15" s="24">
        <f>10.7746-G15</f>
        <v>0.22299999999999898</v>
      </c>
      <c r="AL15" s="24" t="s">
        <v>99</v>
      </c>
      <c r="AM15" s="24">
        <v>3.1</v>
      </c>
    </row>
    <row r="16" spans="1:51" x14ac:dyDescent="0.3">
      <c r="A16" s="24" t="s">
        <v>120</v>
      </c>
      <c r="B16" s="24" t="s">
        <v>114</v>
      </c>
      <c r="C16" s="45">
        <v>45723.604166666664</v>
      </c>
      <c r="D16" s="39"/>
      <c r="E16" s="39"/>
      <c r="F16" s="24" t="s">
        <v>82</v>
      </c>
      <c r="G16" s="24">
        <v>10.4679</v>
      </c>
      <c r="H16" s="24" t="s">
        <v>83</v>
      </c>
      <c r="I16" s="24">
        <v>1016.6</v>
      </c>
      <c r="J16" s="24" t="s">
        <v>84</v>
      </c>
      <c r="K16" s="24">
        <v>4.8</v>
      </c>
      <c r="L16" s="24" t="s">
        <v>85</v>
      </c>
      <c r="M16" s="24">
        <v>57.22</v>
      </c>
      <c r="N16" s="24" t="s">
        <v>86</v>
      </c>
      <c r="O16" s="24">
        <v>52.53</v>
      </c>
      <c r="P16" s="24" t="s">
        <v>87</v>
      </c>
      <c r="Q16" s="24">
        <v>7.92</v>
      </c>
      <c r="R16" s="24" t="s">
        <v>88</v>
      </c>
      <c r="S16" s="24">
        <v>22.1</v>
      </c>
      <c r="T16" s="24" t="s">
        <v>89</v>
      </c>
      <c r="U16" s="24">
        <v>29.91</v>
      </c>
      <c r="V16" s="24" t="s">
        <v>90</v>
      </c>
      <c r="W16" s="24">
        <v>5.55</v>
      </c>
      <c r="X16" s="24" t="s">
        <v>91</v>
      </c>
      <c r="Y16" s="24">
        <v>17</v>
      </c>
      <c r="Z16" s="24" t="s">
        <v>92</v>
      </c>
      <c r="AA16" s="24" t="s">
        <v>96</v>
      </c>
      <c r="AB16" s="24" t="s">
        <v>93</v>
      </c>
      <c r="AC16" s="24">
        <v>21</v>
      </c>
      <c r="AD16" s="24" t="s">
        <v>95</v>
      </c>
      <c r="AE16" s="24">
        <v>120</v>
      </c>
      <c r="AF16" s="24" t="s">
        <v>100</v>
      </c>
      <c r="AG16" s="24">
        <v>3.62</v>
      </c>
      <c r="AH16" s="24" t="s">
        <v>97</v>
      </c>
      <c r="AI16" s="24">
        <f>12.3982-G16</f>
        <v>1.930299999999999</v>
      </c>
      <c r="AJ16" s="24" t="s">
        <v>98</v>
      </c>
      <c r="AK16" s="24">
        <f>10.7992-G16</f>
        <v>0.33130000000000059</v>
      </c>
      <c r="AL16" s="24" t="s">
        <v>99</v>
      </c>
      <c r="AM16" s="24">
        <v>7.45</v>
      </c>
    </row>
    <row r="17" spans="1:51" x14ac:dyDescent="0.3">
      <c r="A17" s="24" t="s">
        <v>121</v>
      </c>
      <c r="B17" s="24" t="s">
        <v>114</v>
      </c>
      <c r="C17" s="45">
        <v>45726.458333333336</v>
      </c>
      <c r="D17" s="39"/>
      <c r="E17" s="39"/>
      <c r="F17" s="24" t="s">
        <v>82</v>
      </c>
      <c r="G17" s="24">
        <v>11.192</v>
      </c>
      <c r="H17" s="24" t="s">
        <v>83</v>
      </c>
      <c r="I17" s="24">
        <v>994.1</v>
      </c>
      <c r="J17" s="24" t="s">
        <v>84</v>
      </c>
      <c r="K17" s="24">
        <v>-1</v>
      </c>
      <c r="L17" s="24" t="s">
        <v>85</v>
      </c>
      <c r="M17" s="24">
        <v>39.25</v>
      </c>
      <c r="N17" s="24" t="s">
        <v>86</v>
      </c>
      <c r="O17" s="24">
        <v>33.33</v>
      </c>
      <c r="P17" s="24" t="s">
        <v>87</v>
      </c>
      <c r="Q17" s="24">
        <v>9</v>
      </c>
      <c r="R17" s="24" t="s">
        <v>88</v>
      </c>
      <c r="S17" s="24">
        <v>1.27</v>
      </c>
      <c r="T17" s="24" t="s">
        <v>89</v>
      </c>
      <c r="U17" s="24">
        <v>2.56</v>
      </c>
      <c r="V17" s="24" t="s">
        <v>90</v>
      </c>
      <c r="W17" s="24">
        <v>5.73</v>
      </c>
      <c r="X17" s="24" t="s">
        <v>91</v>
      </c>
      <c r="Y17" s="24">
        <v>18</v>
      </c>
      <c r="Z17" s="24" t="s">
        <v>92</v>
      </c>
      <c r="AA17" s="24">
        <v>0</v>
      </c>
      <c r="AB17" s="24" t="s">
        <v>93</v>
      </c>
      <c r="AC17" s="24">
        <v>18</v>
      </c>
      <c r="AD17" s="24" t="s">
        <v>95</v>
      </c>
      <c r="AE17" s="24">
        <v>44</v>
      </c>
      <c r="AF17" s="24" t="s">
        <v>100</v>
      </c>
      <c r="AG17" s="24">
        <v>3.64</v>
      </c>
      <c r="AH17" s="24" t="s">
        <v>97</v>
      </c>
      <c r="AI17" s="24">
        <f>11.9839-G17</f>
        <v>0.79190000000000005</v>
      </c>
      <c r="AJ17" s="24" t="s">
        <v>98</v>
      </c>
      <c r="AK17" s="24">
        <f>11.3093-G17</f>
        <v>0.11730000000000018</v>
      </c>
      <c r="AL17" s="24" t="s">
        <v>99</v>
      </c>
      <c r="AM17" s="24">
        <v>6.3</v>
      </c>
    </row>
    <row r="18" spans="1:51" x14ac:dyDescent="0.3">
      <c r="A18" s="24" t="s">
        <v>122</v>
      </c>
      <c r="B18" s="24" t="s">
        <v>123</v>
      </c>
      <c r="C18" s="45">
        <v>45729.916666666664</v>
      </c>
      <c r="D18" s="39"/>
      <c r="E18" s="39"/>
      <c r="F18" s="24" t="s">
        <v>82</v>
      </c>
      <c r="G18" s="24">
        <v>10.5076</v>
      </c>
      <c r="H18" s="24" t="s">
        <v>83</v>
      </c>
      <c r="I18" s="24">
        <v>1063</v>
      </c>
      <c r="J18" s="24" t="s">
        <v>84</v>
      </c>
      <c r="K18" s="24">
        <v>16.100000000000001</v>
      </c>
      <c r="L18" s="24" t="s">
        <v>85</v>
      </c>
      <c r="M18" s="24">
        <v>16.97</v>
      </c>
      <c r="N18" s="24" t="s">
        <v>86</v>
      </c>
      <c r="O18" s="24">
        <v>15.9</v>
      </c>
      <c r="P18" s="24" t="s">
        <v>87</v>
      </c>
      <c r="Q18" s="24">
        <v>23.98</v>
      </c>
      <c r="R18" s="24" t="s">
        <v>88</v>
      </c>
      <c r="S18" s="24">
        <v>72.959999999999994</v>
      </c>
      <c r="T18" s="24" t="s">
        <v>89</v>
      </c>
      <c r="U18" s="24">
        <v>74.989999999999995</v>
      </c>
      <c r="V18" s="24" t="s">
        <v>90</v>
      </c>
      <c r="W18" s="24">
        <v>2.35</v>
      </c>
      <c r="X18" s="24" t="s">
        <v>91</v>
      </c>
      <c r="Y18" s="24">
        <v>155</v>
      </c>
      <c r="Z18" s="24" t="s">
        <v>92</v>
      </c>
      <c r="AA18" s="24">
        <v>75</v>
      </c>
      <c r="AB18" s="24" t="s">
        <v>93</v>
      </c>
      <c r="AC18" s="24">
        <v>93</v>
      </c>
      <c r="AD18" s="24" t="s">
        <v>94</v>
      </c>
      <c r="AE18" s="24">
        <v>0.26</v>
      </c>
      <c r="AF18" s="24" t="s">
        <v>95</v>
      </c>
      <c r="AG18" s="24">
        <v>31</v>
      </c>
      <c r="AH18" s="24" t="s">
        <v>97</v>
      </c>
      <c r="AI18" s="24">
        <f>11.0184-G18</f>
        <v>0.5107999999999997</v>
      </c>
      <c r="AJ18" s="24" t="s">
        <v>98</v>
      </c>
      <c r="AK18" s="24">
        <f>10.654-G18</f>
        <v>0.14639999999999986</v>
      </c>
      <c r="AL18" s="24" t="s">
        <v>99</v>
      </c>
      <c r="AN18" s="24" t="s">
        <v>100</v>
      </c>
      <c r="AO18" s="24">
        <v>3.3</v>
      </c>
      <c r="AP18" s="24" t="s">
        <v>101</v>
      </c>
      <c r="AQ18" s="24">
        <v>3.73</v>
      </c>
      <c r="AR18" s="24" t="s">
        <v>102</v>
      </c>
      <c r="AS18" s="24">
        <v>351</v>
      </c>
      <c r="AT18" s="24" t="s">
        <v>103</v>
      </c>
      <c r="AU18" s="24">
        <v>2.7</v>
      </c>
      <c r="AV18" s="24" t="s">
        <v>104</v>
      </c>
      <c r="AW18" s="24">
        <v>12</v>
      </c>
      <c r="AX18" s="24" t="s">
        <v>105</v>
      </c>
      <c r="AY18" s="24">
        <v>343</v>
      </c>
    </row>
    <row r="19" spans="1:51" x14ac:dyDescent="0.3">
      <c r="A19" s="24" t="s">
        <v>124</v>
      </c>
      <c r="B19" s="24" t="s">
        <v>123</v>
      </c>
      <c r="C19" s="45">
        <v>45730.445833333331</v>
      </c>
      <c r="D19" s="39"/>
      <c r="E19" s="39"/>
      <c r="F19" s="24" t="s">
        <v>82</v>
      </c>
      <c r="G19" s="24">
        <v>10.521100000000001</v>
      </c>
      <c r="H19" s="24" t="s">
        <v>83</v>
      </c>
      <c r="I19" s="24">
        <v>1062.3</v>
      </c>
      <c r="J19" s="24" t="s">
        <v>84</v>
      </c>
      <c r="K19" s="24">
        <v>15.7</v>
      </c>
      <c r="L19" s="24" t="s">
        <v>85</v>
      </c>
      <c r="M19" s="24">
        <v>30.57</v>
      </c>
      <c r="N19" s="24" t="s">
        <v>86</v>
      </c>
      <c r="O19" s="24">
        <v>25.35</v>
      </c>
      <c r="P19" s="24" t="s">
        <v>87</v>
      </c>
      <c r="Q19" s="24">
        <v>32.659999999999997</v>
      </c>
      <c r="R19" s="24" t="s">
        <v>88</v>
      </c>
      <c r="S19" s="24">
        <v>68.62</v>
      </c>
      <c r="T19" s="24" t="s">
        <v>89</v>
      </c>
      <c r="U19" s="24">
        <v>73.349999999999994</v>
      </c>
      <c r="V19" s="24" t="s">
        <v>90</v>
      </c>
      <c r="W19" s="24">
        <v>2.59</v>
      </c>
      <c r="X19" s="24" t="s">
        <v>91</v>
      </c>
      <c r="Y19" s="24">
        <v>211</v>
      </c>
      <c r="Z19" s="24" t="s">
        <v>92</v>
      </c>
      <c r="AA19" s="24">
        <v>40</v>
      </c>
      <c r="AB19" s="24" t="s">
        <v>93</v>
      </c>
      <c r="AC19" s="24">
        <v>178</v>
      </c>
      <c r="AD19" s="24" t="s">
        <v>95</v>
      </c>
      <c r="AE19" s="24">
        <v>45</v>
      </c>
      <c r="AF19" s="24" t="s">
        <v>100</v>
      </c>
      <c r="AG19" s="24">
        <v>3.23</v>
      </c>
      <c r="AH19" s="24" t="s">
        <v>97</v>
      </c>
      <c r="AI19" s="24">
        <f>10.8003-G19</f>
        <v>0.27919999999999945</v>
      </c>
      <c r="AJ19" s="24" t="s">
        <v>98</v>
      </c>
      <c r="AK19" s="24">
        <f>10.5725-G19</f>
        <v>5.1399999999999224E-2</v>
      </c>
      <c r="AL19" s="24" t="s">
        <v>99</v>
      </c>
      <c r="AM19" s="24">
        <v>0.8</v>
      </c>
    </row>
    <row r="20" spans="1:51" x14ac:dyDescent="0.3">
      <c r="A20" s="24" t="s">
        <v>125</v>
      </c>
      <c r="B20" s="24" t="s">
        <v>123</v>
      </c>
      <c r="C20" s="45">
        <v>45731.458333333336</v>
      </c>
      <c r="D20" s="39">
        <v>42.5</v>
      </c>
      <c r="E20" s="39">
        <v>13.5</v>
      </c>
      <c r="F20" s="24" t="s">
        <v>82</v>
      </c>
      <c r="G20" s="24">
        <v>10.2737</v>
      </c>
      <c r="H20" s="24" t="s">
        <v>83</v>
      </c>
      <c r="I20" s="24">
        <v>1040.0999999999999</v>
      </c>
      <c r="J20" s="24" t="s">
        <v>84</v>
      </c>
      <c r="K20" s="24">
        <v>10.6</v>
      </c>
      <c r="L20" s="24" t="s">
        <v>85</v>
      </c>
      <c r="M20" s="24">
        <v>41.17</v>
      </c>
      <c r="N20" s="24" t="s">
        <v>86</v>
      </c>
      <c r="O20" s="24">
        <v>41.01</v>
      </c>
      <c r="P20" s="24" t="s">
        <v>87</v>
      </c>
      <c r="Q20" s="24">
        <v>18.28</v>
      </c>
      <c r="R20" s="24" t="s">
        <v>88</v>
      </c>
      <c r="S20" s="24">
        <v>130.36000000000001</v>
      </c>
      <c r="T20" s="24" t="s">
        <v>89</v>
      </c>
      <c r="U20" s="24">
        <v>46.83</v>
      </c>
      <c r="V20" s="24" t="s">
        <v>90</v>
      </c>
      <c r="W20" s="24">
        <v>4.25</v>
      </c>
      <c r="X20" s="24" t="s">
        <v>91</v>
      </c>
      <c r="Y20" s="24">
        <v>13</v>
      </c>
      <c r="Z20" s="24" t="s">
        <v>92</v>
      </c>
      <c r="AA20" s="24">
        <v>2</v>
      </c>
      <c r="AB20" s="24" t="s">
        <v>93</v>
      </c>
      <c r="AC20" s="24">
        <v>120</v>
      </c>
      <c r="AD20" s="24" t="s">
        <v>95</v>
      </c>
      <c r="AE20" s="24">
        <v>57</v>
      </c>
      <c r="AF20" s="24" t="s">
        <v>100</v>
      </c>
      <c r="AG20" s="24">
        <v>3.13</v>
      </c>
      <c r="AH20" s="24" t="s">
        <v>97</v>
      </c>
      <c r="AI20" s="24">
        <f>11.1731-G20</f>
        <v>0.89939999999999998</v>
      </c>
      <c r="AJ20" s="24" t="s">
        <v>98</v>
      </c>
      <c r="AK20" s="24">
        <f>10.452-G20</f>
        <v>0.17830000000000013</v>
      </c>
      <c r="AL20" s="24" t="s">
        <v>99</v>
      </c>
      <c r="AM20" s="24">
        <v>2.95</v>
      </c>
    </row>
    <row r="21" spans="1:51" x14ac:dyDescent="0.3">
      <c r="A21" s="24" t="s">
        <v>126</v>
      </c>
      <c r="B21" s="24" t="s">
        <v>123</v>
      </c>
      <c r="C21" s="45">
        <v>45731.618055555555</v>
      </c>
      <c r="D21" s="39"/>
      <c r="E21" s="39"/>
      <c r="F21" s="24" t="s">
        <v>82</v>
      </c>
      <c r="G21" s="24">
        <v>10.5</v>
      </c>
      <c r="H21" s="24" t="s">
        <v>83</v>
      </c>
      <c r="I21" s="24">
        <v>1035.8</v>
      </c>
      <c r="J21" s="24" t="s">
        <v>84</v>
      </c>
      <c r="K21" s="24">
        <v>9.6999999999999993</v>
      </c>
      <c r="L21" s="24" t="s">
        <v>85</v>
      </c>
      <c r="M21" s="24">
        <v>59.29</v>
      </c>
      <c r="N21" s="24" t="s">
        <v>86</v>
      </c>
      <c r="O21" s="24">
        <v>56.3</v>
      </c>
      <c r="P21" s="24" t="s">
        <v>87</v>
      </c>
      <c r="Q21" s="24">
        <v>16.84</v>
      </c>
      <c r="R21" s="24" t="s">
        <v>88</v>
      </c>
      <c r="S21" s="24">
        <v>75.77</v>
      </c>
      <c r="T21" s="24" t="s">
        <v>89</v>
      </c>
      <c r="U21" s="24">
        <v>46.59</v>
      </c>
      <c r="V21" s="24" t="s">
        <v>90</v>
      </c>
      <c r="W21" s="24">
        <v>4.68</v>
      </c>
      <c r="X21" s="24" t="s">
        <v>91</v>
      </c>
      <c r="Y21" s="24">
        <v>177</v>
      </c>
      <c r="Z21" s="24" t="s">
        <v>92</v>
      </c>
      <c r="AA21" s="24" t="s">
        <v>96</v>
      </c>
      <c r="AB21" s="24" t="s">
        <v>93</v>
      </c>
      <c r="AC21" s="24">
        <v>153</v>
      </c>
      <c r="AD21" s="24" t="s">
        <v>95</v>
      </c>
      <c r="AE21" s="24">
        <v>61</v>
      </c>
      <c r="AF21" s="24" t="s">
        <v>100</v>
      </c>
      <c r="AG21" s="24">
        <v>3.11</v>
      </c>
      <c r="AH21" s="24" t="s">
        <v>97</v>
      </c>
      <c r="AI21" s="24">
        <f>11.3648-G21</f>
        <v>0.86480000000000068</v>
      </c>
      <c r="AJ21" s="24" t="s">
        <v>98</v>
      </c>
      <c r="AK21" s="24">
        <f>10.6672-G21</f>
        <v>0.16719999999999935</v>
      </c>
      <c r="AL21" s="24" t="s">
        <v>99</v>
      </c>
      <c r="AM21" s="24">
        <v>3.4</v>
      </c>
    </row>
    <row r="22" spans="1:51" x14ac:dyDescent="0.3">
      <c r="A22" s="24" t="s">
        <v>127</v>
      </c>
      <c r="B22" s="24" t="s">
        <v>123</v>
      </c>
      <c r="C22" s="45">
        <v>45732.46875</v>
      </c>
      <c r="D22" s="39">
        <v>62.5</v>
      </c>
      <c r="E22" s="39">
        <v>29</v>
      </c>
      <c r="F22" s="24" t="s">
        <v>82</v>
      </c>
      <c r="G22" s="24">
        <v>10.6029</v>
      </c>
      <c r="H22" s="24" t="s">
        <v>83</v>
      </c>
      <c r="I22" s="24">
        <v>1016.2</v>
      </c>
      <c r="J22" s="24" t="s">
        <v>84</v>
      </c>
      <c r="K22" s="24">
        <v>4.7</v>
      </c>
      <c r="L22" s="24" t="s">
        <v>85</v>
      </c>
      <c r="M22" s="24">
        <v>28.11</v>
      </c>
      <c r="N22" s="24" t="s">
        <v>86</v>
      </c>
      <c r="O22" s="24">
        <v>24.88</v>
      </c>
      <c r="P22" s="24" t="s">
        <v>87</v>
      </c>
      <c r="Q22" s="24">
        <v>19.95</v>
      </c>
      <c r="R22" s="24" t="s">
        <v>88</v>
      </c>
      <c r="S22" s="24">
        <v>26.72</v>
      </c>
      <c r="T22" s="24" t="s">
        <v>89</v>
      </c>
      <c r="U22" s="24">
        <v>23.5</v>
      </c>
      <c r="V22" s="24" t="s">
        <v>90</v>
      </c>
      <c r="W22" s="24">
        <v>5.67</v>
      </c>
      <c r="X22" s="24" t="s">
        <v>91</v>
      </c>
      <c r="Y22" s="24">
        <v>9</v>
      </c>
      <c r="Z22" s="24" t="s">
        <v>92</v>
      </c>
      <c r="AA22" s="24" t="s">
        <v>96</v>
      </c>
      <c r="AB22" s="24" t="s">
        <v>93</v>
      </c>
      <c r="AC22" s="24">
        <v>150</v>
      </c>
      <c r="AD22" s="24" t="s">
        <v>95</v>
      </c>
      <c r="AE22" s="24">
        <v>43</v>
      </c>
      <c r="AF22" s="24" t="s">
        <v>100</v>
      </c>
      <c r="AG22" s="24">
        <v>2.76</v>
      </c>
      <c r="AH22" s="24" t="s">
        <v>97</v>
      </c>
      <c r="AI22" s="24">
        <f>11.4371-G22</f>
        <v>0.83419999999999916</v>
      </c>
      <c r="AJ22" s="24" t="s">
        <v>98</v>
      </c>
      <c r="AK22" s="24">
        <f>10.8102-G22</f>
        <v>0.20730000000000004</v>
      </c>
      <c r="AL22" s="24" t="s">
        <v>99</v>
      </c>
      <c r="AM22" s="24">
        <v>7.55</v>
      </c>
    </row>
    <row r="23" spans="1:51" x14ac:dyDescent="0.3">
      <c r="A23" s="24" t="s">
        <v>128</v>
      </c>
      <c r="B23" s="24" t="s">
        <v>123</v>
      </c>
      <c r="C23" s="45">
        <v>45733.451388888891</v>
      </c>
      <c r="D23" s="39"/>
      <c r="E23" s="39"/>
      <c r="F23" s="24" t="s">
        <v>82</v>
      </c>
      <c r="G23" s="24">
        <v>10.3186</v>
      </c>
      <c r="H23" s="24" t="s">
        <v>83</v>
      </c>
      <c r="I23" s="24">
        <v>1002.3</v>
      </c>
      <c r="J23" s="24" t="s">
        <v>84</v>
      </c>
      <c r="K23" s="24">
        <v>1.1000000000000001</v>
      </c>
      <c r="L23" s="24" t="s">
        <v>85</v>
      </c>
      <c r="M23" s="24">
        <v>56.99</v>
      </c>
      <c r="N23" s="24" t="s">
        <v>86</v>
      </c>
      <c r="O23" s="24">
        <v>53.61</v>
      </c>
      <c r="P23" s="24" t="s">
        <v>87</v>
      </c>
      <c r="Q23" s="24">
        <v>22.24</v>
      </c>
      <c r="R23" s="24" t="s">
        <v>88</v>
      </c>
      <c r="S23" s="24">
        <v>26.72</v>
      </c>
      <c r="T23" s="24" t="s">
        <v>89</v>
      </c>
      <c r="U23" s="24">
        <v>23.5</v>
      </c>
      <c r="V23" s="24" t="s">
        <v>90</v>
      </c>
      <c r="W23" s="24">
        <v>5.67</v>
      </c>
      <c r="X23" s="24" t="s">
        <v>91</v>
      </c>
      <c r="Y23" s="24">
        <v>9</v>
      </c>
      <c r="Z23" s="24" t="s">
        <v>92</v>
      </c>
      <c r="AA23" s="24" t="s">
        <v>96</v>
      </c>
      <c r="AB23" s="24" t="s">
        <v>93</v>
      </c>
      <c r="AC23" s="24">
        <v>150</v>
      </c>
      <c r="AD23" s="24" t="s">
        <v>95</v>
      </c>
      <c r="AE23" s="24">
        <v>43</v>
      </c>
      <c r="AF23" s="24" t="s">
        <v>100</v>
      </c>
      <c r="AG23" s="24">
        <v>2.76</v>
      </c>
      <c r="AH23" s="24" t="s">
        <v>97</v>
      </c>
      <c r="AI23" s="24">
        <f>11.6624-G23</f>
        <v>1.3437999999999999</v>
      </c>
      <c r="AJ23" s="24" t="s">
        <v>98</v>
      </c>
      <c r="AK23" s="24">
        <f>10.5854-G23</f>
        <v>0.26679999999999993</v>
      </c>
      <c r="AL23" s="24" t="s">
        <v>99</v>
      </c>
      <c r="AM23" s="24">
        <v>9.25</v>
      </c>
    </row>
    <row r="24" spans="1:51" x14ac:dyDescent="0.3">
      <c r="A24" s="24" t="s">
        <v>129</v>
      </c>
      <c r="B24" s="24" t="s">
        <v>123</v>
      </c>
      <c r="C24" s="45">
        <v>45733.625</v>
      </c>
      <c r="D24" s="39">
        <v>45</v>
      </c>
      <c r="E24" s="39">
        <v>25</v>
      </c>
      <c r="F24" s="24" t="s">
        <v>82</v>
      </c>
      <c r="G24" s="24">
        <v>10.303599999999999</v>
      </c>
      <c r="H24" s="24" t="s">
        <v>83</v>
      </c>
      <c r="I24" s="24">
        <v>998.8</v>
      </c>
      <c r="J24" s="24" t="s">
        <v>84</v>
      </c>
      <c r="K24" s="24">
        <v>0.2</v>
      </c>
      <c r="L24" s="24" t="s">
        <v>85</v>
      </c>
      <c r="M24" s="24">
        <v>85.79</v>
      </c>
      <c r="N24" s="24" t="s">
        <v>86</v>
      </c>
      <c r="O24" s="24">
        <v>75.88</v>
      </c>
      <c r="P24" s="24" t="s">
        <v>87</v>
      </c>
      <c r="Q24" s="24">
        <v>19.34</v>
      </c>
      <c r="R24" s="24" t="s">
        <v>88</v>
      </c>
      <c r="S24" s="24">
        <v>8.5299999999999994</v>
      </c>
      <c r="T24" s="24" t="s">
        <v>89</v>
      </c>
      <c r="U24" s="24">
        <v>9.17</v>
      </c>
      <c r="V24" s="24" t="s">
        <v>90</v>
      </c>
      <c r="W24" s="24">
        <v>5.54</v>
      </c>
      <c r="X24" s="24" t="s">
        <v>91</v>
      </c>
      <c r="Y24" s="24">
        <v>12</v>
      </c>
      <c r="Z24" s="24" t="s">
        <v>92</v>
      </c>
      <c r="AA24" s="24" t="s">
        <v>96</v>
      </c>
      <c r="AB24" s="24" t="s">
        <v>93</v>
      </c>
      <c r="AC24" s="24">
        <v>14</v>
      </c>
      <c r="AD24" s="24" t="s">
        <v>95</v>
      </c>
      <c r="AE24" s="24">
        <v>32</v>
      </c>
      <c r="AF24" s="24" t="s">
        <v>100</v>
      </c>
      <c r="AG24" s="24">
        <v>2.61</v>
      </c>
      <c r="AH24" s="24" t="s">
        <v>97</v>
      </c>
      <c r="AI24" s="24">
        <f>11.762-G24</f>
        <v>1.458400000000001</v>
      </c>
      <c r="AJ24" s="24" t="s">
        <v>98</v>
      </c>
      <c r="AK24" s="24">
        <f>10.6036-G24</f>
        <v>0.30000000000000071</v>
      </c>
      <c r="AL24" s="24" t="s">
        <v>99</v>
      </c>
      <c r="AM24" s="24">
        <v>5.6999999999999993</v>
      </c>
    </row>
    <row r="25" spans="1:51" x14ac:dyDescent="0.3">
      <c r="A25" s="24" t="s">
        <v>130</v>
      </c>
      <c r="B25" s="24" t="s">
        <v>123</v>
      </c>
      <c r="C25" s="45">
        <v>45734.430555555555</v>
      </c>
      <c r="D25" s="39"/>
      <c r="E25" s="39"/>
      <c r="F25" s="24" t="s">
        <v>82</v>
      </c>
      <c r="G25" s="24">
        <v>10.384600000000001</v>
      </c>
      <c r="H25" s="24" t="s">
        <v>83</v>
      </c>
      <c r="I25" s="24">
        <v>994.8</v>
      </c>
      <c r="J25" s="24" t="s">
        <v>84</v>
      </c>
      <c r="K25" s="24">
        <v>-0.7</v>
      </c>
      <c r="L25" s="24" t="s">
        <v>85</v>
      </c>
      <c r="M25" s="24">
        <v>61.67</v>
      </c>
      <c r="N25" s="24" t="s">
        <v>86</v>
      </c>
      <c r="O25" s="24">
        <v>57.83</v>
      </c>
      <c r="P25" s="24" t="s">
        <v>87</v>
      </c>
      <c r="Q25" s="24">
        <v>24.03</v>
      </c>
      <c r="R25" s="24" t="s">
        <v>88</v>
      </c>
      <c r="S25" s="24">
        <v>5.5</v>
      </c>
      <c r="T25" s="24" t="s">
        <v>89</v>
      </c>
      <c r="U25" s="24">
        <v>1.43</v>
      </c>
      <c r="V25" s="24" t="s">
        <v>90</v>
      </c>
      <c r="W25" s="24">
        <v>5.76</v>
      </c>
      <c r="X25" s="24" t="s">
        <v>91</v>
      </c>
      <c r="Z25" s="24" t="s">
        <v>92</v>
      </c>
      <c r="AB25" s="24" t="s">
        <v>93</v>
      </c>
      <c r="AD25" s="24" t="s">
        <v>95</v>
      </c>
      <c r="AE25" s="24">
        <v>33</v>
      </c>
      <c r="AF25" s="24" t="s">
        <v>100</v>
      </c>
      <c r="AG25" s="24">
        <v>2.5499999999999998</v>
      </c>
      <c r="AH25" s="24" t="s">
        <v>97</v>
      </c>
      <c r="AI25" s="24">
        <f>11.0778-G25</f>
        <v>0.69319999999999915</v>
      </c>
      <c r="AJ25" s="24" t="s">
        <v>98</v>
      </c>
      <c r="AK25" s="24">
        <f>10.3624-G25</f>
        <v>-2.2200000000001552E-2</v>
      </c>
      <c r="AL25" s="24" t="s">
        <v>99</v>
      </c>
      <c r="AM25" s="24">
        <v>6.9</v>
      </c>
    </row>
    <row r="26" spans="1:51" x14ac:dyDescent="0.3">
      <c r="A26" s="24" t="s">
        <v>131</v>
      </c>
      <c r="B26" s="24" t="s">
        <v>123</v>
      </c>
      <c r="C26" s="45">
        <v>45734.631944444445</v>
      </c>
      <c r="D26" s="39"/>
      <c r="E26" s="39"/>
      <c r="F26" s="24" t="s">
        <v>82</v>
      </c>
      <c r="G26" s="24">
        <v>10.3902</v>
      </c>
      <c r="H26" s="24" t="s">
        <v>83</v>
      </c>
      <c r="I26" s="24">
        <v>993.4</v>
      </c>
      <c r="J26" s="24" t="s">
        <v>84</v>
      </c>
      <c r="K26" s="24">
        <v>-1.1000000000000001</v>
      </c>
      <c r="L26" s="24" t="s">
        <v>85</v>
      </c>
      <c r="M26" s="24">
        <v>69.59</v>
      </c>
      <c r="N26" s="24" t="s">
        <v>86</v>
      </c>
      <c r="O26" s="24">
        <v>57.68</v>
      </c>
      <c r="P26" s="24" t="s">
        <v>87</v>
      </c>
      <c r="Q26" s="24">
        <v>15.78</v>
      </c>
      <c r="R26" s="24" t="s">
        <v>88</v>
      </c>
      <c r="S26" s="24">
        <v>2.79</v>
      </c>
      <c r="T26" s="24" t="s">
        <v>89</v>
      </c>
      <c r="U26" s="24">
        <v>2.2599999999999998</v>
      </c>
      <c r="V26" s="24" t="s">
        <v>90</v>
      </c>
      <c r="W26" s="24">
        <v>5.8</v>
      </c>
      <c r="X26" s="24" t="s">
        <v>91</v>
      </c>
      <c r="Z26" s="24" t="s">
        <v>92</v>
      </c>
      <c r="AB26" s="24" t="s">
        <v>93</v>
      </c>
      <c r="AD26" s="24" t="s">
        <v>95</v>
      </c>
      <c r="AE26" s="24">
        <v>20</v>
      </c>
      <c r="AF26" s="24" t="s">
        <v>100</v>
      </c>
      <c r="AG26" s="24">
        <v>2.52</v>
      </c>
      <c r="AH26" s="24" t="s">
        <v>97</v>
      </c>
      <c r="AI26" s="24">
        <f>11.6733-G26</f>
        <v>1.2830999999999992</v>
      </c>
      <c r="AJ26" s="24" t="s">
        <v>98</v>
      </c>
      <c r="AK26" s="24">
        <f>10.6185-G26</f>
        <v>0.22829999999999906</v>
      </c>
      <c r="AL26" s="24" t="s">
        <v>99</v>
      </c>
      <c r="AM26" s="24">
        <v>6.8</v>
      </c>
    </row>
    <row r="27" spans="1:51" x14ac:dyDescent="0.3">
      <c r="A27" s="24" t="s">
        <v>132</v>
      </c>
      <c r="B27" s="24" t="s">
        <v>123</v>
      </c>
      <c r="C27" s="45">
        <v>45735.385416666664</v>
      </c>
      <c r="D27" s="39"/>
      <c r="E27" s="39"/>
      <c r="F27" s="24" t="s">
        <v>82</v>
      </c>
      <c r="G27" s="24">
        <v>10.1797</v>
      </c>
      <c r="H27" s="24" t="s">
        <v>83</v>
      </c>
      <c r="I27" s="24">
        <v>991.7</v>
      </c>
      <c r="J27" s="24" t="s">
        <v>84</v>
      </c>
      <c r="K27" s="24">
        <v>-1.5</v>
      </c>
      <c r="L27" s="24" t="s">
        <v>85</v>
      </c>
      <c r="M27" s="24">
        <v>112.67</v>
      </c>
      <c r="N27" s="24" t="s">
        <v>86</v>
      </c>
      <c r="O27" s="24">
        <v>103.61</v>
      </c>
      <c r="P27" s="24" t="s">
        <v>87</v>
      </c>
      <c r="Q27" s="24">
        <v>13.7</v>
      </c>
      <c r="R27" s="24" t="s">
        <v>88</v>
      </c>
      <c r="S27" s="24">
        <v>0.34</v>
      </c>
      <c r="T27" s="24" t="s">
        <v>89</v>
      </c>
      <c r="U27" s="24">
        <v>0.84</v>
      </c>
      <c r="V27" s="24" t="s">
        <v>90</v>
      </c>
      <c r="W27" s="24">
        <v>5.81</v>
      </c>
      <c r="X27" s="24" t="s">
        <v>91</v>
      </c>
      <c r="Z27" s="24" t="s">
        <v>92</v>
      </c>
      <c r="AB27" s="24" t="s">
        <v>93</v>
      </c>
      <c r="AD27" s="24" t="s">
        <v>95</v>
      </c>
      <c r="AE27" s="24">
        <v>24</v>
      </c>
      <c r="AF27" s="24" t="s">
        <v>100</v>
      </c>
      <c r="AG27" s="24">
        <v>2.56</v>
      </c>
      <c r="AH27" s="24" t="s">
        <v>97</v>
      </c>
      <c r="AI27" s="24">
        <f>12.1371-G27</f>
        <v>1.9573999999999998</v>
      </c>
      <c r="AJ27" s="24" t="s">
        <v>98</v>
      </c>
      <c r="AK27" s="24">
        <f>10.4424-G27</f>
        <v>0.26269999999999882</v>
      </c>
      <c r="AL27" s="24" t="s">
        <v>99</v>
      </c>
      <c r="AM27" s="24">
        <v>9.3000000000000007</v>
      </c>
    </row>
    <row r="28" spans="1:51" x14ac:dyDescent="0.3">
      <c r="A28" s="24" t="s">
        <v>133</v>
      </c>
      <c r="B28" s="24" t="s">
        <v>123</v>
      </c>
      <c r="C28" s="45">
        <v>45735.618055555555</v>
      </c>
      <c r="D28" s="39">
        <v>29</v>
      </c>
      <c r="E28" s="39">
        <v>15</v>
      </c>
      <c r="F28" s="24" t="s">
        <v>82</v>
      </c>
      <c r="G28" s="24">
        <v>10.2781</v>
      </c>
      <c r="H28" s="24" t="s">
        <v>83</v>
      </c>
      <c r="I28" s="24">
        <v>990.7</v>
      </c>
      <c r="J28" s="24" t="s">
        <v>84</v>
      </c>
      <c r="K28" s="24">
        <v>-1.6</v>
      </c>
      <c r="L28" s="24" t="s">
        <v>85</v>
      </c>
      <c r="M28" s="24">
        <v>51.69</v>
      </c>
      <c r="N28" s="24" t="s">
        <v>86</v>
      </c>
      <c r="O28" s="24">
        <v>44.55</v>
      </c>
      <c r="P28" s="24" t="s">
        <v>87</v>
      </c>
      <c r="Q28" s="24">
        <v>20.51</v>
      </c>
      <c r="R28" s="24" t="s">
        <v>88</v>
      </c>
      <c r="S28" s="24">
        <v>0.5</v>
      </c>
      <c r="T28" s="24" t="s">
        <v>89</v>
      </c>
      <c r="U28" s="24">
        <v>0.02</v>
      </c>
      <c r="V28" s="24" t="s">
        <v>90</v>
      </c>
      <c r="W28" s="24">
        <v>6.07</v>
      </c>
      <c r="X28" s="24" t="s">
        <v>91</v>
      </c>
      <c r="Y28" s="24">
        <v>17</v>
      </c>
      <c r="Z28" s="24" t="s">
        <v>92</v>
      </c>
      <c r="AA28" s="24" t="s">
        <v>96</v>
      </c>
      <c r="AB28" s="24" t="s">
        <v>93</v>
      </c>
      <c r="AC28" s="24">
        <v>18</v>
      </c>
      <c r="AD28" s="24" t="s">
        <v>94</v>
      </c>
      <c r="AE28" s="24">
        <v>0.42</v>
      </c>
      <c r="AF28" s="24" t="s">
        <v>95</v>
      </c>
      <c r="AG28" s="24">
        <v>18</v>
      </c>
      <c r="AH28" s="24" t="s">
        <v>97</v>
      </c>
      <c r="AI28" s="24">
        <f>11.0836-G28</f>
        <v>0.80550000000000033</v>
      </c>
      <c r="AJ28" s="24" t="s">
        <v>98</v>
      </c>
      <c r="AK28" s="24">
        <f>10.4875-G28</f>
        <v>0.20940000000000047</v>
      </c>
      <c r="AL28" s="24" t="s">
        <v>99</v>
      </c>
      <c r="AM28" s="24">
        <v>7.25</v>
      </c>
      <c r="AN28" s="24" t="s">
        <v>100</v>
      </c>
      <c r="AO28" s="24">
        <v>2.36</v>
      </c>
      <c r="AP28" s="24" t="s">
        <v>101</v>
      </c>
      <c r="AQ28" s="24">
        <v>4.0999999999999996</v>
      </c>
      <c r="AR28" s="24" t="s">
        <v>102</v>
      </c>
      <c r="AS28" s="24">
        <v>210</v>
      </c>
      <c r="AT28" s="24" t="s">
        <v>103</v>
      </c>
      <c r="AU28" s="24">
        <v>2.9</v>
      </c>
      <c r="AV28" s="24" t="s">
        <v>104</v>
      </c>
      <c r="AW28" s="24">
        <v>4</v>
      </c>
      <c r="AX28" s="24" t="s">
        <v>105</v>
      </c>
      <c r="AY28" s="24">
        <v>90</v>
      </c>
    </row>
    <row r="29" spans="1:51" x14ac:dyDescent="0.3">
      <c r="A29" s="24" t="s">
        <v>134</v>
      </c>
      <c r="B29" s="24" t="s">
        <v>135</v>
      </c>
      <c r="C29" s="45">
        <v>45729.916666666664</v>
      </c>
      <c r="D29" s="39"/>
      <c r="E29" s="39"/>
      <c r="F29" s="24" t="s">
        <v>82</v>
      </c>
      <c r="G29" s="24">
        <v>10.359500000000001</v>
      </c>
      <c r="H29" s="24" t="s">
        <v>83</v>
      </c>
      <c r="I29" s="24">
        <v>1063.0999999999999</v>
      </c>
      <c r="J29" s="24" t="s">
        <v>84</v>
      </c>
      <c r="K29" s="24">
        <v>16.100000000000001</v>
      </c>
      <c r="L29" s="24" t="s">
        <v>85</v>
      </c>
      <c r="M29" s="24">
        <v>4.1500000000000004</v>
      </c>
      <c r="N29" s="24" t="s">
        <v>86</v>
      </c>
      <c r="O29" s="24">
        <v>2.76</v>
      </c>
      <c r="P29" s="24" t="s">
        <v>87</v>
      </c>
      <c r="Q29" s="24">
        <v>22.22</v>
      </c>
      <c r="R29" s="24" t="s">
        <v>88</v>
      </c>
      <c r="S29" s="24">
        <v>77.540000000000006</v>
      </c>
      <c r="T29" s="24" t="s">
        <v>89</v>
      </c>
      <c r="U29" s="24">
        <v>77.81</v>
      </c>
      <c r="V29" s="24" t="s">
        <v>90</v>
      </c>
      <c r="W29" s="24">
        <v>2.13</v>
      </c>
      <c r="X29" s="24" t="s">
        <v>91</v>
      </c>
      <c r="Y29" s="24">
        <v>163</v>
      </c>
      <c r="Z29" s="24" t="s">
        <v>92</v>
      </c>
      <c r="AA29" s="24">
        <v>75</v>
      </c>
      <c r="AB29" s="24" t="s">
        <v>93</v>
      </c>
      <c r="AC29" s="24">
        <v>101</v>
      </c>
      <c r="AD29" s="24" t="s">
        <v>94</v>
      </c>
      <c r="AE29" s="24">
        <v>0.27</v>
      </c>
      <c r="AF29" s="24" t="s">
        <v>95</v>
      </c>
      <c r="AG29" s="24">
        <v>24</v>
      </c>
      <c r="AH29" s="24" t="s">
        <v>97</v>
      </c>
      <c r="AI29" s="24">
        <f>11.1188-G29</f>
        <v>0.75929999999999964</v>
      </c>
      <c r="AJ29" s="24" t="s">
        <v>98</v>
      </c>
      <c r="AK29" s="24">
        <f>10.5563-G29</f>
        <v>0.19679999999999964</v>
      </c>
      <c r="AL29" s="24" t="s">
        <v>99</v>
      </c>
      <c r="AN29" s="24" t="s">
        <v>100</v>
      </c>
      <c r="AO29" s="24">
        <v>3.33</v>
      </c>
      <c r="AP29" s="24" t="s">
        <v>101</v>
      </c>
      <c r="AQ29" s="24">
        <v>3.44</v>
      </c>
      <c r="AR29" s="24" t="s">
        <v>102</v>
      </c>
      <c r="AS29" s="24">
        <v>352</v>
      </c>
      <c r="AT29" s="24" t="s">
        <v>103</v>
      </c>
      <c r="AU29" s="24">
        <v>2.7</v>
      </c>
      <c r="AV29" s="24" t="s">
        <v>104</v>
      </c>
      <c r="AW29" s="24">
        <v>12</v>
      </c>
      <c r="AX29" s="24" t="s">
        <v>105</v>
      </c>
      <c r="AY29" s="24">
        <v>345</v>
      </c>
    </row>
    <row r="30" spans="1:51" x14ac:dyDescent="0.3">
      <c r="A30" s="24" t="s">
        <v>136</v>
      </c>
      <c r="B30" s="24" t="s">
        <v>135</v>
      </c>
      <c r="C30" s="45">
        <v>45730.445833333331</v>
      </c>
      <c r="D30" s="39"/>
      <c r="E30" s="39"/>
      <c r="F30" s="24" t="s">
        <v>82</v>
      </c>
      <c r="G30" s="24">
        <v>10.276300000000001</v>
      </c>
      <c r="H30" s="24" t="s">
        <v>83</v>
      </c>
      <c r="I30" s="24">
        <v>1063.7</v>
      </c>
      <c r="J30" s="24" t="s">
        <v>84</v>
      </c>
      <c r="K30" s="24">
        <v>16.100000000000001</v>
      </c>
      <c r="L30" s="24" t="s">
        <v>85</v>
      </c>
      <c r="M30" s="24">
        <v>25.5</v>
      </c>
      <c r="N30" s="24" t="s">
        <v>86</v>
      </c>
      <c r="O30" s="24">
        <v>19.97</v>
      </c>
      <c r="P30" s="24" t="s">
        <v>87</v>
      </c>
      <c r="Q30" s="24">
        <v>25.6</v>
      </c>
      <c r="R30" s="24" t="s">
        <v>88</v>
      </c>
      <c r="S30" s="24">
        <v>69.849999999999994</v>
      </c>
      <c r="T30" s="24" t="s">
        <v>89</v>
      </c>
      <c r="U30" s="24">
        <v>76.2</v>
      </c>
      <c r="V30" s="24" t="s">
        <v>90</v>
      </c>
      <c r="W30" s="24">
        <v>2.42</v>
      </c>
      <c r="X30" s="24" t="s">
        <v>91</v>
      </c>
      <c r="Y30" s="24">
        <v>130</v>
      </c>
      <c r="Z30" s="24" t="s">
        <v>92</v>
      </c>
      <c r="AA30" s="24">
        <v>56</v>
      </c>
      <c r="AB30" s="24" t="s">
        <v>93</v>
      </c>
      <c r="AC30" s="24">
        <v>84</v>
      </c>
      <c r="AD30" s="24" t="s">
        <v>95</v>
      </c>
      <c r="AE30" s="24">
        <v>40</v>
      </c>
      <c r="AF30" s="24" t="s">
        <v>100</v>
      </c>
      <c r="AG30" s="24">
        <v>3.26</v>
      </c>
      <c r="AH30" s="24" t="s">
        <v>97</v>
      </c>
      <c r="AI30" s="24">
        <f>10.911-G30</f>
        <v>0.63469999999999871</v>
      </c>
      <c r="AJ30" s="24" t="s">
        <v>98</v>
      </c>
      <c r="AK30" s="24">
        <f>10.3912-G30</f>
        <v>0.11489999999999867</v>
      </c>
      <c r="AL30" s="24" t="s">
        <v>99</v>
      </c>
      <c r="AM30" s="24">
        <v>1.3</v>
      </c>
    </row>
    <row r="31" spans="1:51" x14ac:dyDescent="0.3">
      <c r="A31" s="24" t="s">
        <v>137</v>
      </c>
      <c r="B31" s="24" t="s">
        <v>135</v>
      </c>
      <c r="C31" s="45">
        <v>45735.618055555555</v>
      </c>
      <c r="D31" s="39"/>
      <c r="E31" s="39"/>
      <c r="F31" s="24" t="s">
        <v>82</v>
      </c>
      <c r="G31" s="24">
        <v>10.427099999999999</v>
      </c>
      <c r="H31" s="24" t="s">
        <v>83</v>
      </c>
      <c r="I31" s="24">
        <v>995.1</v>
      </c>
      <c r="J31" s="24" t="s">
        <v>84</v>
      </c>
      <c r="K31" s="24">
        <v>-0.5</v>
      </c>
      <c r="L31" s="24" t="s">
        <v>85</v>
      </c>
      <c r="M31" s="24">
        <v>56.45</v>
      </c>
      <c r="N31" s="24" t="s">
        <v>86</v>
      </c>
      <c r="O31" s="24">
        <v>48.69</v>
      </c>
      <c r="P31" s="24" t="s">
        <v>87</v>
      </c>
      <c r="Q31" s="24">
        <v>16.87</v>
      </c>
      <c r="R31" s="24" t="s">
        <v>88</v>
      </c>
      <c r="S31" s="24">
        <v>8.84</v>
      </c>
      <c r="T31" s="24" t="s">
        <v>89</v>
      </c>
      <c r="U31" s="24">
        <v>0.08</v>
      </c>
      <c r="V31" s="24" t="s">
        <v>90</v>
      </c>
      <c r="W31" s="24">
        <v>5.73</v>
      </c>
      <c r="X31" s="24" t="s">
        <v>91</v>
      </c>
      <c r="Z31" s="24" t="s">
        <v>92</v>
      </c>
      <c r="AB31" s="24" t="s">
        <v>93</v>
      </c>
      <c r="AD31" s="24" t="s">
        <v>95</v>
      </c>
      <c r="AE31" s="24">
        <v>28</v>
      </c>
      <c r="AF31" s="24" t="s">
        <v>100</v>
      </c>
      <c r="AG31" s="24">
        <v>2.2799999999999998</v>
      </c>
      <c r="AH31" s="24" t="s">
        <v>97</v>
      </c>
      <c r="AI31" s="24">
        <f>11.3653-G31</f>
        <v>0.93820000000000014</v>
      </c>
      <c r="AJ31" s="24" t="s">
        <v>98</v>
      </c>
      <c r="AK31" s="24">
        <f>10.644-G31</f>
        <v>0.21690000000000076</v>
      </c>
      <c r="AL31" s="24" t="s">
        <v>99</v>
      </c>
      <c r="AM31" s="24">
        <v>7.05</v>
      </c>
    </row>
    <row r="32" spans="1:51" x14ac:dyDescent="0.3">
      <c r="A32" s="24" t="s">
        <v>138</v>
      </c>
      <c r="B32" s="24" t="s">
        <v>135</v>
      </c>
      <c r="C32" s="45">
        <v>45736.416666666664</v>
      </c>
      <c r="D32" s="39"/>
      <c r="E32" s="39"/>
      <c r="F32" s="24" t="s">
        <v>82</v>
      </c>
      <c r="G32" s="24">
        <v>10.482799999999999</v>
      </c>
      <c r="H32" s="24" t="s">
        <v>83</v>
      </c>
      <c r="I32" s="24">
        <v>994</v>
      </c>
      <c r="J32" s="24" t="s">
        <v>84</v>
      </c>
      <c r="K32" s="24">
        <v>-1</v>
      </c>
      <c r="L32" s="24" t="s">
        <v>85</v>
      </c>
      <c r="M32" s="24">
        <v>57.14</v>
      </c>
      <c r="N32" s="24" t="s">
        <v>86</v>
      </c>
      <c r="O32" s="24">
        <v>46.62</v>
      </c>
      <c r="P32" s="24" t="s">
        <v>87</v>
      </c>
      <c r="Q32" s="24">
        <v>12.9</v>
      </c>
      <c r="R32" s="24" t="s">
        <v>88</v>
      </c>
      <c r="S32" s="24">
        <v>5.23</v>
      </c>
      <c r="T32" s="24" t="s">
        <v>89</v>
      </c>
      <c r="U32" s="24">
        <v>7.0000000000000007E-2</v>
      </c>
      <c r="V32" s="24" t="s">
        <v>90</v>
      </c>
      <c r="W32" s="24">
        <v>5.68</v>
      </c>
      <c r="X32" s="24" t="s">
        <v>91</v>
      </c>
      <c r="Z32" s="24" t="s">
        <v>92</v>
      </c>
      <c r="AB32" s="24" t="s">
        <v>93</v>
      </c>
      <c r="AD32" s="24" t="s">
        <v>95</v>
      </c>
      <c r="AE32" s="24">
        <v>24</v>
      </c>
      <c r="AF32" s="24" t="s">
        <v>100</v>
      </c>
      <c r="AG32" s="24">
        <v>2.4</v>
      </c>
      <c r="AH32" s="24" t="s">
        <v>97</v>
      </c>
      <c r="AJ32" s="24" t="s">
        <v>98</v>
      </c>
      <c r="AL32" s="24" t="s">
        <v>99</v>
      </c>
      <c r="AM32" s="24">
        <v>7.85</v>
      </c>
    </row>
    <row r="33" spans="1:51" x14ac:dyDescent="0.3">
      <c r="A33" s="24" t="s">
        <v>139</v>
      </c>
      <c r="B33" s="24" t="s">
        <v>135</v>
      </c>
      <c r="C33" s="45">
        <v>45731.458333333336</v>
      </c>
      <c r="D33" s="39">
        <v>15</v>
      </c>
      <c r="E33" s="39">
        <v>6.5</v>
      </c>
      <c r="F33" s="24" t="s">
        <v>82</v>
      </c>
      <c r="G33" s="24">
        <v>10.513</v>
      </c>
      <c r="H33" s="24" t="s">
        <v>83</v>
      </c>
      <c r="I33" s="24">
        <v>1050.4000000000001</v>
      </c>
      <c r="J33" s="24" t="s">
        <v>84</v>
      </c>
      <c r="K33" s="24">
        <v>12.9</v>
      </c>
      <c r="L33" s="24" t="s">
        <v>85</v>
      </c>
      <c r="M33" s="24">
        <v>34.869999999999997</v>
      </c>
      <c r="N33" s="24" t="s">
        <v>86</v>
      </c>
      <c r="O33" s="24">
        <v>32.57</v>
      </c>
      <c r="P33" s="24" t="s">
        <v>87</v>
      </c>
      <c r="Q33" s="24">
        <v>26.65</v>
      </c>
      <c r="R33" s="24" t="s">
        <v>88</v>
      </c>
      <c r="S33" s="24">
        <v>54.65</v>
      </c>
      <c r="T33" s="24" t="s">
        <v>89</v>
      </c>
      <c r="U33" s="24">
        <v>65.11</v>
      </c>
      <c r="V33" s="24" t="s">
        <v>90</v>
      </c>
      <c r="W33" s="24">
        <v>3.63</v>
      </c>
      <c r="X33" s="24" t="s">
        <v>91</v>
      </c>
      <c r="Y33" s="24">
        <v>151</v>
      </c>
      <c r="Z33" s="24" t="s">
        <v>92</v>
      </c>
      <c r="AA33" s="24" t="s">
        <v>96</v>
      </c>
      <c r="AB33" s="24" t="s">
        <v>93</v>
      </c>
      <c r="AC33" s="24">
        <v>152</v>
      </c>
      <c r="AD33" s="24" t="s">
        <v>95</v>
      </c>
      <c r="AE33" s="24">
        <v>56</v>
      </c>
      <c r="AF33" s="24" t="s">
        <v>100</v>
      </c>
      <c r="AG33" s="24">
        <v>3.21</v>
      </c>
      <c r="AH33" s="24" t="s">
        <v>97</v>
      </c>
      <c r="AI33" s="24">
        <f>11.1451-G33</f>
        <v>0.63209999999999944</v>
      </c>
      <c r="AJ33" s="24" t="s">
        <v>98</v>
      </c>
      <c r="AK33" s="24">
        <f>10.6302-G33</f>
        <v>0.11720000000000041</v>
      </c>
      <c r="AL33" s="24" t="s">
        <v>99</v>
      </c>
      <c r="AM33" s="24">
        <v>2.25</v>
      </c>
    </row>
    <row r="34" spans="1:51" x14ac:dyDescent="0.3">
      <c r="A34" s="24" t="s">
        <v>140</v>
      </c>
      <c r="B34" s="24" t="s">
        <v>135</v>
      </c>
      <c r="C34" s="45">
        <v>45731.618055555555</v>
      </c>
      <c r="D34" s="39"/>
      <c r="E34" s="39"/>
      <c r="F34" s="24" t="s">
        <v>82</v>
      </c>
      <c r="G34" s="24">
        <v>10.451000000000001</v>
      </c>
      <c r="H34" s="24" t="s">
        <v>83</v>
      </c>
      <c r="I34" s="24">
        <v>1046.0999999999999</v>
      </c>
      <c r="J34" s="24" t="s">
        <v>84</v>
      </c>
      <c r="K34" s="24">
        <v>12.2</v>
      </c>
      <c r="L34" s="24" t="s">
        <v>85</v>
      </c>
      <c r="M34" s="24">
        <v>46.08</v>
      </c>
      <c r="N34" s="24" t="s">
        <v>86</v>
      </c>
      <c r="O34" s="24">
        <v>42.78</v>
      </c>
      <c r="P34" s="24" t="s">
        <v>87</v>
      </c>
      <c r="Q34" s="24">
        <v>27.83</v>
      </c>
      <c r="R34" s="24" t="s">
        <v>88</v>
      </c>
      <c r="S34" s="24">
        <v>84.85</v>
      </c>
      <c r="T34" s="24" t="s">
        <v>89</v>
      </c>
      <c r="U34" s="24">
        <v>59.36</v>
      </c>
      <c r="V34" s="24" t="s">
        <v>90</v>
      </c>
      <c r="W34" s="24">
        <v>3.76</v>
      </c>
      <c r="X34" s="24" t="s">
        <v>91</v>
      </c>
      <c r="Y34" s="24">
        <v>208</v>
      </c>
      <c r="Z34" s="24" t="s">
        <v>92</v>
      </c>
      <c r="AA34" s="24">
        <v>41</v>
      </c>
      <c r="AB34" s="24" t="s">
        <v>93</v>
      </c>
      <c r="AC34" s="24">
        <v>174</v>
      </c>
      <c r="AD34" s="24" t="s">
        <v>95</v>
      </c>
      <c r="AE34" s="24">
        <v>60</v>
      </c>
      <c r="AF34" s="24" t="s">
        <v>100</v>
      </c>
      <c r="AG34" s="24">
        <v>3.15</v>
      </c>
      <c r="AH34" s="24" t="s">
        <v>97</v>
      </c>
      <c r="AI34" s="24">
        <f>11.018-G34</f>
        <v>0.56700000000000017</v>
      </c>
      <c r="AJ34" s="24" t="s">
        <v>98</v>
      </c>
      <c r="AK34" s="24">
        <f>10.568-G34</f>
        <v>0.1169999999999991</v>
      </c>
      <c r="AL34" s="24" t="s">
        <v>99</v>
      </c>
      <c r="AM34" s="24">
        <v>1.9</v>
      </c>
    </row>
    <row r="35" spans="1:51" x14ac:dyDescent="0.3">
      <c r="A35" s="24" t="s">
        <v>141</v>
      </c>
      <c r="B35" s="24" t="s">
        <v>135</v>
      </c>
      <c r="C35" s="45">
        <v>45732.46875</v>
      </c>
      <c r="D35" s="39"/>
      <c r="E35" s="39"/>
      <c r="F35" s="24" t="s">
        <v>82</v>
      </c>
      <c r="G35" s="24">
        <v>11.52</v>
      </c>
      <c r="H35" s="24" t="s">
        <v>83</v>
      </c>
      <c r="I35" s="24">
        <v>1028</v>
      </c>
      <c r="J35" s="24" t="s">
        <v>84</v>
      </c>
      <c r="K35" s="24">
        <v>7.7</v>
      </c>
      <c r="L35" s="24" t="s">
        <v>85</v>
      </c>
      <c r="M35" s="24">
        <v>56.84</v>
      </c>
      <c r="N35" s="24" t="s">
        <v>86</v>
      </c>
      <c r="O35" s="24">
        <v>50.77</v>
      </c>
      <c r="P35" s="24" t="s">
        <v>87</v>
      </c>
      <c r="Q35" s="24">
        <v>26.49</v>
      </c>
      <c r="R35" s="24" t="s">
        <v>88</v>
      </c>
      <c r="S35" s="24">
        <v>36.299999999999997</v>
      </c>
      <c r="T35" s="24" t="s">
        <v>89</v>
      </c>
      <c r="U35" s="24">
        <v>39.58</v>
      </c>
      <c r="V35" s="24" t="s">
        <v>90</v>
      </c>
      <c r="W35" s="24">
        <v>4.78</v>
      </c>
      <c r="X35" s="24" t="s">
        <v>91</v>
      </c>
      <c r="Y35" s="24">
        <v>139</v>
      </c>
      <c r="Z35" s="24" t="s">
        <v>92</v>
      </c>
      <c r="AA35" s="24" t="s">
        <v>96</v>
      </c>
      <c r="AB35" s="24" t="s">
        <v>93</v>
      </c>
      <c r="AC35" s="24">
        <v>143</v>
      </c>
      <c r="AD35" s="24" t="s">
        <v>95</v>
      </c>
      <c r="AE35" s="24">
        <v>50</v>
      </c>
      <c r="AF35" s="24" t="s">
        <v>100</v>
      </c>
      <c r="AG35" s="24">
        <v>2.88</v>
      </c>
      <c r="AH35" s="24" t="s">
        <v>97</v>
      </c>
      <c r="AI35" s="24">
        <f>12.26-G35</f>
        <v>0.74000000000000021</v>
      </c>
      <c r="AJ35" s="24" t="s">
        <v>98</v>
      </c>
      <c r="AK35" s="24">
        <f>11.6853-G35</f>
        <v>0.16530000000000022</v>
      </c>
      <c r="AL35" s="24" t="s">
        <v>99</v>
      </c>
      <c r="AM35" s="24">
        <v>2.8000000000000003</v>
      </c>
    </row>
    <row r="36" spans="1:51" x14ac:dyDescent="0.3">
      <c r="A36" s="24" t="s">
        <v>142</v>
      </c>
      <c r="B36" s="24" t="s">
        <v>135</v>
      </c>
      <c r="C36" s="45">
        <v>45733.451388888891</v>
      </c>
      <c r="D36" s="39">
        <v>67.5</v>
      </c>
      <c r="E36" s="39">
        <v>33</v>
      </c>
      <c r="F36" s="24" t="s">
        <v>82</v>
      </c>
      <c r="G36" s="24">
        <v>10.284700000000001</v>
      </c>
      <c r="H36" s="24" t="s">
        <v>83</v>
      </c>
      <c r="I36" s="24">
        <v>1013.9</v>
      </c>
      <c r="J36" s="24" t="s">
        <v>84</v>
      </c>
      <c r="K36" s="24">
        <v>4.0999999999999996</v>
      </c>
      <c r="L36" s="24" t="s">
        <v>85</v>
      </c>
      <c r="M36" s="24">
        <v>63.06</v>
      </c>
      <c r="N36" s="24" t="s">
        <v>86</v>
      </c>
      <c r="O36" s="24">
        <v>59.29</v>
      </c>
      <c r="P36" s="24" t="s">
        <v>87</v>
      </c>
      <c r="Q36" s="24">
        <v>26.55</v>
      </c>
      <c r="R36" s="24" t="s">
        <v>88</v>
      </c>
      <c r="S36" s="24">
        <v>23.8</v>
      </c>
      <c r="T36" s="24" t="s">
        <v>89</v>
      </c>
      <c r="U36" s="24">
        <v>23.39</v>
      </c>
      <c r="V36" s="24" t="s">
        <v>90</v>
      </c>
      <c r="W36" s="24">
        <v>5.27</v>
      </c>
      <c r="X36" s="24" t="s">
        <v>91</v>
      </c>
      <c r="Y36" s="24">
        <v>12</v>
      </c>
      <c r="Z36" s="24" t="s">
        <v>92</v>
      </c>
      <c r="AA36" s="24" t="s">
        <v>96</v>
      </c>
      <c r="AB36" s="24" t="s">
        <v>93</v>
      </c>
      <c r="AC36" s="24">
        <v>14</v>
      </c>
      <c r="AD36" s="24" t="s">
        <v>95</v>
      </c>
      <c r="AE36" s="24">
        <v>36</v>
      </c>
      <c r="AF36" s="24" t="s">
        <v>100</v>
      </c>
      <c r="AG36" s="24">
        <v>2.68</v>
      </c>
      <c r="AH36" s="24" t="s">
        <v>97</v>
      </c>
      <c r="AI36" s="24">
        <f>11.5516-G36</f>
        <v>1.2668999999999997</v>
      </c>
      <c r="AJ36" s="24" t="s">
        <v>98</v>
      </c>
      <c r="AK36" s="24">
        <f>10.5222-G36</f>
        <v>0.23749999999999893</v>
      </c>
      <c r="AL36" s="24" t="s">
        <v>99</v>
      </c>
      <c r="AM36" s="24">
        <v>7.85</v>
      </c>
    </row>
    <row r="37" spans="1:51" x14ac:dyDescent="0.3">
      <c r="A37" s="24" t="s">
        <v>143</v>
      </c>
      <c r="B37" s="24" t="s">
        <v>135</v>
      </c>
      <c r="C37" s="45">
        <v>45733.625</v>
      </c>
      <c r="D37" s="39"/>
      <c r="E37" s="39"/>
      <c r="F37" s="24" t="s">
        <v>82</v>
      </c>
      <c r="G37" s="24">
        <v>10.266500000000001</v>
      </c>
      <c r="H37" s="24" t="s">
        <v>83</v>
      </c>
      <c r="I37" s="24">
        <v>1009.4</v>
      </c>
      <c r="J37" s="24" t="s">
        <v>84</v>
      </c>
      <c r="K37" s="24">
        <v>3</v>
      </c>
      <c r="L37" s="24" t="s">
        <v>85</v>
      </c>
      <c r="M37" s="24">
        <v>71.349999999999994</v>
      </c>
      <c r="N37" s="24" t="s">
        <v>86</v>
      </c>
      <c r="O37" s="24">
        <v>62.6</v>
      </c>
      <c r="P37" s="24" t="s">
        <v>87</v>
      </c>
      <c r="Q37" s="24">
        <v>19.91</v>
      </c>
      <c r="R37" s="24" t="s">
        <v>88</v>
      </c>
      <c r="S37" s="24">
        <v>14.98</v>
      </c>
      <c r="T37" s="24" t="s">
        <v>89</v>
      </c>
      <c r="U37" s="24">
        <v>19.5</v>
      </c>
      <c r="V37" s="24" t="s">
        <v>90</v>
      </c>
      <c r="W37" s="24">
        <v>5.34</v>
      </c>
      <c r="X37" s="24" t="s">
        <v>91</v>
      </c>
      <c r="Y37" s="24">
        <v>14</v>
      </c>
      <c r="Z37" s="24" t="s">
        <v>92</v>
      </c>
      <c r="AA37" s="24" t="s">
        <v>96</v>
      </c>
      <c r="AB37" s="24" t="s">
        <v>93</v>
      </c>
      <c r="AC37" s="24">
        <v>15</v>
      </c>
      <c r="AD37" s="24" t="s">
        <v>95</v>
      </c>
      <c r="AE37" s="24">
        <v>79</v>
      </c>
      <c r="AF37" s="24" t="s">
        <v>100</v>
      </c>
      <c r="AG37" s="24">
        <v>2.67</v>
      </c>
      <c r="AH37" s="24" t="s">
        <v>97</v>
      </c>
      <c r="AI37" s="24">
        <f>12.496-G37</f>
        <v>2.2294999999999998</v>
      </c>
      <c r="AJ37" s="24" t="s">
        <v>98</v>
      </c>
      <c r="AK37" s="24">
        <f>10.6145-G37</f>
        <v>0.34799999999999898</v>
      </c>
      <c r="AL37" s="24" t="s">
        <v>99</v>
      </c>
      <c r="AM37" s="24">
        <v>4.8</v>
      </c>
    </row>
    <row r="38" spans="1:51" x14ac:dyDescent="0.3">
      <c r="A38" s="24" t="s">
        <v>144</v>
      </c>
      <c r="B38" s="24" t="s">
        <v>135</v>
      </c>
      <c r="C38" s="45">
        <v>45734.430555555555</v>
      </c>
      <c r="D38" s="39"/>
      <c r="E38" s="39"/>
      <c r="F38" s="24" t="s">
        <v>82</v>
      </c>
      <c r="G38" s="24">
        <v>10.414999999999999</v>
      </c>
      <c r="H38" s="24" t="s">
        <v>83</v>
      </c>
      <c r="I38" s="24">
        <v>1002.2</v>
      </c>
      <c r="J38" s="24" t="s">
        <v>84</v>
      </c>
      <c r="K38" s="24">
        <v>1.1000000000000001</v>
      </c>
      <c r="L38" s="24" t="s">
        <v>85</v>
      </c>
      <c r="M38" s="24">
        <v>64.75</v>
      </c>
      <c r="N38" s="24" t="s">
        <v>86</v>
      </c>
      <c r="O38" s="24">
        <v>58.83</v>
      </c>
      <c r="P38" s="24" t="s">
        <v>87</v>
      </c>
      <c r="Q38" s="24">
        <v>24.79</v>
      </c>
      <c r="R38" s="24" t="s">
        <v>88</v>
      </c>
      <c r="S38" s="24">
        <v>2.2799999999999998</v>
      </c>
      <c r="T38" s="24" t="s">
        <v>89</v>
      </c>
      <c r="U38" s="24">
        <v>3.81</v>
      </c>
      <c r="V38" s="24" t="s">
        <v>90</v>
      </c>
      <c r="W38" s="24">
        <v>5.45</v>
      </c>
      <c r="X38" s="24" t="s">
        <v>91</v>
      </c>
      <c r="Z38" s="24" t="s">
        <v>92</v>
      </c>
      <c r="AB38" s="24" t="s">
        <v>93</v>
      </c>
      <c r="AD38" s="24" t="s">
        <v>95</v>
      </c>
      <c r="AE38" s="24">
        <v>31</v>
      </c>
      <c r="AF38" s="24" t="s">
        <v>100</v>
      </c>
      <c r="AG38" s="24">
        <v>2.65</v>
      </c>
      <c r="AH38" s="24" t="s">
        <v>97</v>
      </c>
      <c r="AI38" s="24">
        <f>11.2002-G38</f>
        <v>0.78520000000000145</v>
      </c>
      <c r="AJ38" s="24" t="s">
        <v>98</v>
      </c>
      <c r="AK38" s="24">
        <f>10.4005-G38</f>
        <v>-1.4499999999999957E-2</v>
      </c>
      <c r="AL38" s="24" t="s">
        <v>99</v>
      </c>
      <c r="AM38" s="24">
        <v>7.05</v>
      </c>
    </row>
    <row r="39" spans="1:51" x14ac:dyDescent="0.3">
      <c r="A39" s="24" t="s">
        <v>145</v>
      </c>
      <c r="B39" s="24" t="s">
        <v>135</v>
      </c>
      <c r="C39" s="45">
        <v>45734.631944444445</v>
      </c>
      <c r="D39" s="39">
        <v>27.5</v>
      </c>
      <c r="E39" s="39">
        <v>15</v>
      </c>
      <c r="F39" s="24" t="s">
        <v>82</v>
      </c>
      <c r="G39" s="24">
        <v>10.5383</v>
      </c>
      <c r="H39" s="24" t="s">
        <v>83</v>
      </c>
      <c r="I39" s="24">
        <v>1000.3</v>
      </c>
      <c r="J39" s="24" t="s">
        <v>84</v>
      </c>
      <c r="K39" s="24">
        <v>0.7</v>
      </c>
      <c r="L39" s="24" t="s">
        <v>85</v>
      </c>
      <c r="M39" s="24">
        <v>74.040000000000006</v>
      </c>
      <c r="N39" s="24" t="s">
        <v>86</v>
      </c>
      <c r="O39" s="24">
        <v>62.37</v>
      </c>
      <c r="P39" s="24" t="s">
        <v>87</v>
      </c>
      <c r="Q39" s="24">
        <v>17.010000000000002</v>
      </c>
      <c r="R39" s="24" t="s">
        <v>88</v>
      </c>
      <c r="S39" s="24">
        <v>3.44</v>
      </c>
      <c r="T39" s="24" t="s">
        <v>89</v>
      </c>
      <c r="U39" s="24">
        <v>5.35</v>
      </c>
      <c r="V39" s="24" t="s">
        <v>90</v>
      </c>
      <c r="W39" s="24">
        <v>5.57</v>
      </c>
      <c r="X39" s="24" t="s">
        <v>91</v>
      </c>
      <c r="Z39" s="24" t="s">
        <v>92</v>
      </c>
      <c r="AB39" s="24" t="s">
        <v>93</v>
      </c>
      <c r="AD39" s="24" t="s">
        <v>95</v>
      </c>
      <c r="AE39" s="24">
        <v>37</v>
      </c>
      <c r="AF39" s="24" t="s">
        <v>100</v>
      </c>
      <c r="AG39" s="24">
        <v>2.6</v>
      </c>
      <c r="AH39" s="24" t="s">
        <v>97</v>
      </c>
      <c r="AI39" s="24">
        <f>12.377-G39</f>
        <v>1.8387000000000011</v>
      </c>
      <c r="AJ39" s="24" t="s">
        <v>98</v>
      </c>
      <c r="AK39" s="24">
        <f>10.7616-G39</f>
        <v>0.22330000000000005</v>
      </c>
      <c r="AL39" s="24" t="s">
        <v>99</v>
      </c>
      <c r="AM39" s="24">
        <v>5.3999999999999995</v>
      </c>
    </row>
    <row r="40" spans="1:51" x14ac:dyDescent="0.3">
      <c r="A40" s="24" t="s">
        <v>146</v>
      </c>
      <c r="B40" s="24" t="s">
        <v>135</v>
      </c>
      <c r="C40" s="45">
        <v>45735.385416666664</v>
      </c>
      <c r="D40" s="39"/>
      <c r="E40" s="39"/>
      <c r="F40" s="24" t="s">
        <v>82</v>
      </c>
      <c r="G40" s="24">
        <v>10.315899999999999</v>
      </c>
      <c r="H40" s="24" t="s">
        <v>83</v>
      </c>
      <c r="I40" s="24">
        <v>997.1</v>
      </c>
      <c r="J40" s="24" t="s">
        <v>84</v>
      </c>
      <c r="K40" s="24">
        <v>0</v>
      </c>
      <c r="L40" s="24" t="s">
        <v>85</v>
      </c>
      <c r="M40" s="24">
        <v>96.47</v>
      </c>
      <c r="N40" s="24" t="s">
        <v>86</v>
      </c>
      <c r="O40" s="24">
        <v>87.48</v>
      </c>
      <c r="P40" s="24" t="s">
        <v>87</v>
      </c>
      <c r="Q40" s="24">
        <v>15.05</v>
      </c>
      <c r="R40" s="24" t="s">
        <v>88</v>
      </c>
      <c r="S40" s="30">
        <f>19.17 - U40</f>
        <v>15.240000000000002</v>
      </c>
      <c r="T40" s="24" t="s">
        <v>89</v>
      </c>
      <c r="U40" s="24">
        <v>3.93</v>
      </c>
      <c r="V40" s="24" t="s">
        <v>90</v>
      </c>
      <c r="W40" s="24">
        <v>5.82</v>
      </c>
      <c r="X40" s="24" t="s">
        <v>91</v>
      </c>
      <c r="Z40" s="24" t="s">
        <v>92</v>
      </c>
      <c r="AB40" s="24" t="s">
        <v>93</v>
      </c>
      <c r="AD40" s="24" t="s">
        <v>95</v>
      </c>
      <c r="AE40" s="24">
        <v>27</v>
      </c>
      <c r="AF40" s="24" t="s">
        <v>100</v>
      </c>
      <c r="AG40" s="24">
        <v>2.66</v>
      </c>
      <c r="AH40" s="24" t="s">
        <v>97</v>
      </c>
      <c r="AI40" s="24">
        <f>11.6107-G40</f>
        <v>1.2948000000000004</v>
      </c>
      <c r="AJ40" s="24" t="s">
        <v>98</v>
      </c>
      <c r="AK40" s="24">
        <f>10.5505-G40</f>
        <v>0.23460000000000036</v>
      </c>
      <c r="AL40" s="24" t="s">
        <v>99</v>
      </c>
      <c r="AM40" s="24">
        <v>7.3</v>
      </c>
    </row>
    <row r="41" spans="1:51" x14ac:dyDescent="0.3">
      <c r="A41" s="24" t="s">
        <v>147</v>
      </c>
      <c r="B41" s="24" t="s">
        <v>135</v>
      </c>
      <c r="C41" s="45">
        <v>45737.416666666664</v>
      </c>
      <c r="D41" s="39">
        <v>17.5</v>
      </c>
      <c r="E41" s="39">
        <v>22</v>
      </c>
      <c r="F41" s="24" t="s">
        <v>82</v>
      </c>
      <c r="G41" s="40">
        <v>10.482799999999999</v>
      </c>
      <c r="H41" s="24" t="s">
        <v>83</v>
      </c>
      <c r="I41" s="24">
        <v>994</v>
      </c>
      <c r="J41" s="24" t="s">
        <v>84</v>
      </c>
      <c r="K41" s="24">
        <v>-1</v>
      </c>
      <c r="L41" s="24" t="s">
        <v>85</v>
      </c>
      <c r="M41" s="24">
        <v>72.89</v>
      </c>
      <c r="N41" s="24" t="s">
        <v>86</v>
      </c>
      <c r="O41" s="24">
        <v>58.37</v>
      </c>
      <c r="P41" s="24" t="s">
        <v>87</v>
      </c>
      <c r="Q41" s="24">
        <v>16.54</v>
      </c>
      <c r="R41" s="24" t="s">
        <v>88</v>
      </c>
      <c r="S41" s="24">
        <v>1.47</v>
      </c>
      <c r="T41" s="24" t="s">
        <v>89</v>
      </c>
      <c r="U41" s="24">
        <v>0.02</v>
      </c>
      <c r="V41" s="24" t="s">
        <v>90</v>
      </c>
      <c r="W41" s="24">
        <v>5.63</v>
      </c>
      <c r="X41" s="24" t="s">
        <v>91</v>
      </c>
      <c r="Y41" s="24">
        <v>20</v>
      </c>
      <c r="Z41" s="24" t="s">
        <v>92</v>
      </c>
      <c r="AA41" s="24">
        <v>6</v>
      </c>
      <c r="AB41" s="24" t="s">
        <v>93</v>
      </c>
      <c r="AC41" s="24">
        <v>15</v>
      </c>
      <c r="AD41" s="24" t="s">
        <v>94</v>
      </c>
      <c r="AE41" s="24">
        <v>0.45</v>
      </c>
      <c r="AF41" s="24" t="s">
        <v>95</v>
      </c>
      <c r="AG41" s="24">
        <v>29</v>
      </c>
      <c r="AH41" s="24" t="s">
        <v>97</v>
      </c>
      <c r="AI41" s="40"/>
      <c r="AJ41" s="24" t="s">
        <v>98</v>
      </c>
      <c r="AK41" s="40">
        <f>10.6961-G41</f>
        <v>0.21330000000000027</v>
      </c>
      <c r="AL41" s="24" t="s">
        <v>99</v>
      </c>
      <c r="AM41" s="41">
        <v>2.5499999999999998</v>
      </c>
      <c r="AN41" s="24" t="s">
        <v>100</v>
      </c>
      <c r="AO41" s="24">
        <v>2.5299999999999998</v>
      </c>
      <c r="AP41" s="24" t="s">
        <v>101</v>
      </c>
      <c r="AQ41" s="24">
        <v>3.93</v>
      </c>
      <c r="AR41" s="24" t="s">
        <v>102</v>
      </c>
      <c r="AS41" s="24">
        <v>205</v>
      </c>
      <c r="AT41" s="24" t="s">
        <v>103</v>
      </c>
      <c r="AU41" s="24">
        <v>2.9</v>
      </c>
      <c r="AV41" s="24" t="s">
        <v>104</v>
      </c>
      <c r="AW41" s="24">
        <v>2</v>
      </c>
      <c r="AX41" s="24" t="s">
        <v>105</v>
      </c>
      <c r="AY41" s="24">
        <v>106</v>
      </c>
    </row>
    <row r="42" spans="1:51" x14ac:dyDescent="0.3">
      <c r="A42" s="24" t="s">
        <v>148</v>
      </c>
      <c r="B42" s="24" t="s">
        <v>149</v>
      </c>
      <c r="C42" s="45">
        <v>45729.916666666664</v>
      </c>
      <c r="D42" s="39"/>
      <c r="E42" s="39"/>
      <c r="F42" s="24" t="s">
        <v>82</v>
      </c>
      <c r="G42" s="24">
        <v>10.5388</v>
      </c>
      <c r="H42" s="24" t="s">
        <v>83</v>
      </c>
      <c r="I42" s="24">
        <v>1063.3</v>
      </c>
      <c r="J42" s="24" t="s">
        <v>84</v>
      </c>
      <c r="K42" s="24">
        <v>16.2</v>
      </c>
      <c r="L42" s="24" t="s">
        <v>85</v>
      </c>
      <c r="M42" s="24">
        <v>12.33</v>
      </c>
      <c r="N42" s="24" t="s">
        <v>86</v>
      </c>
      <c r="O42" s="24">
        <v>10.02</v>
      </c>
      <c r="P42" s="24" t="s">
        <v>87</v>
      </c>
      <c r="Q42" s="24">
        <v>17.45</v>
      </c>
      <c r="R42" s="24" t="s">
        <v>88</v>
      </c>
      <c r="S42" s="24">
        <v>76.72</v>
      </c>
      <c r="T42" s="24" t="s">
        <v>89</v>
      </c>
      <c r="U42" s="24">
        <v>77.34</v>
      </c>
      <c r="V42" s="24" t="s">
        <v>90</v>
      </c>
      <c r="W42" s="24">
        <v>2.04</v>
      </c>
      <c r="X42" s="24" t="s">
        <v>91</v>
      </c>
      <c r="Y42" s="24">
        <v>161</v>
      </c>
      <c r="Z42" s="24" t="s">
        <v>92</v>
      </c>
      <c r="AA42" s="24">
        <v>75</v>
      </c>
      <c r="AB42" s="24" t="s">
        <v>93</v>
      </c>
      <c r="AC42" s="24">
        <v>99</v>
      </c>
      <c r="AD42" s="24" t="s">
        <v>94</v>
      </c>
      <c r="AE42" s="24">
        <v>0.24</v>
      </c>
      <c r="AF42" s="24" t="s">
        <v>95</v>
      </c>
      <c r="AG42" s="24">
        <v>34</v>
      </c>
      <c r="AH42" s="24" t="s">
        <v>97</v>
      </c>
      <c r="AI42" s="24">
        <f>11.2261-G42</f>
        <v>0.68730000000000047</v>
      </c>
      <c r="AJ42" s="24" t="s">
        <v>98</v>
      </c>
      <c r="AK42" s="24">
        <f>10.7263-G42</f>
        <v>0.1875</v>
      </c>
      <c r="AL42" s="24" t="s">
        <v>99</v>
      </c>
      <c r="AN42" s="24" t="s">
        <v>100</v>
      </c>
      <c r="AO42" s="24">
        <v>3.38</v>
      </c>
      <c r="AP42" s="24" t="s">
        <v>101</v>
      </c>
      <c r="AQ42" s="24">
        <v>3.42</v>
      </c>
      <c r="AR42" s="24" t="s">
        <v>102</v>
      </c>
      <c r="AS42" s="24">
        <v>363</v>
      </c>
      <c r="AT42" s="24" t="s">
        <v>103</v>
      </c>
      <c r="AU42" s="24">
        <v>2.7</v>
      </c>
      <c r="AV42" s="24" t="s">
        <v>104</v>
      </c>
      <c r="AW42" s="24">
        <v>12</v>
      </c>
      <c r="AX42" s="24" t="s">
        <v>105</v>
      </c>
      <c r="AY42" s="24">
        <v>343</v>
      </c>
    </row>
    <row r="43" spans="1:51" x14ac:dyDescent="0.3">
      <c r="A43" s="24" t="s">
        <v>150</v>
      </c>
      <c r="B43" s="24" t="s">
        <v>149</v>
      </c>
      <c r="C43" s="45">
        <v>45730.445833333331</v>
      </c>
      <c r="D43" s="39"/>
      <c r="E43" s="39"/>
      <c r="F43" s="24" t="s">
        <v>82</v>
      </c>
      <c r="G43" s="24">
        <v>11.4893</v>
      </c>
      <c r="H43" s="24" t="s">
        <v>83</v>
      </c>
      <c r="I43" s="24">
        <v>1062.5999999999999</v>
      </c>
      <c r="J43" s="24" t="s">
        <v>84</v>
      </c>
      <c r="K43" s="24">
        <v>15.8</v>
      </c>
      <c r="L43" s="24" t="s">
        <v>85</v>
      </c>
      <c r="M43" s="24">
        <v>33.49</v>
      </c>
      <c r="N43" s="24" t="s">
        <v>86</v>
      </c>
      <c r="O43" s="24">
        <v>27.8</v>
      </c>
      <c r="P43" s="24" t="s">
        <v>87</v>
      </c>
      <c r="Q43" s="24">
        <v>31.88</v>
      </c>
      <c r="R43" s="24" t="s">
        <v>88</v>
      </c>
      <c r="S43" s="24">
        <v>93.15</v>
      </c>
      <c r="T43" s="24" t="s">
        <v>89</v>
      </c>
      <c r="U43" s="24">
        <v>86.98</v>
      </c>
      <c r="V43" s="24" t="s">
        <v>90</v>
      </c>
      <c r="W43" s="24">
        <v>2.5499999999999998</v>
      </c>
      <c r="X43" s="24" t="s">
        <v>91</v>
      </c>
      <c r="Y43" s="24">
        <v>224</v>
      </c>
      <c r="Z43" s="24" t="s">
        <v>92</v>
      </c>
      <c r="AA43" s="24">
        <v>45</v>
      </c>
      <c r="AB43" s="24" t="s">
        <v>93</v>
      </c>
      <c r="AC43" s="24">
        <v>187</v>
      </c>
      <c r="AD43" s="24" t="s">
        <v>95</v>
      </c>
      <c r="AE43" s="24">
        <v>59</v>
      </c>
      <c r="AF43" s="24" t="s">
        <v>100</v>
      </c>
      <c r="AG43" s="24">
        <v>3.27</v>
      </c>
      <c r="AH43" s="24" t="s">
        <v>97</v>
      </c>
      <c r="AI43" s="24">
        <f>11.9728-G43</f>
        <v>0.48349999999999937</v>
      </c>
      <c r="AJ43" s="24" t="s">
        <v>98</v>
      </c>
      <c r="AK43" s="24">
        <f>11.5776-G43</f>
        <v>8.8300000000000267E-2</v>
      </c>
      <c r="AL43" s="24" t="s">
        <v>99</v>
      </c>
      <c r="AM43" s="24">
        <v>0.65</v>
      </c>
    </row>
    <row r="44" spans="1:51" x14ac:dyDescent="0.3">
      <c r="A44" s="24" t="s">
        <v>151</v>
      </c>
      <c r="B44" s="24" t="s">
        <v>149</v>
      </c>
      <c r="C44" s="45">
        <v>45731.458333333336</v>
      </c>
      <c r="D44" s="39"/>
      <c r="E44" s="39"/>
      <c r="F44" s="24" t="s">
        <v>82</v>
      </c>
      <c r="G44" s="24">
        <v>11.4884</v>
      </c>
      <c r="H44" s="24" t="s">
        <v>83</v>
      </c>
      <c r="I44" s="24">
        <v>1040.4000000000001</v>
      </c>
      <c r="J44" s="24" t="s">
        <v>84</v>
      </c>
      <c r="K44" s="24">
        <v>10.7</v>
      </c>
      <c r="L44" s="24" t="s">
        <v>85</v>
      </c>
      <c r="M44" s="24">
        <v>46.93</v>
      </c>
      <c r="N44" s="24" t="s">
        <v>86</v>
      </c>
      <c r="O44" s="24">
        <v>45.62</v>
      </c>
      <c r="P44" s="24" t="s">
        <v>87</v>
      </c>
      <c r="Q44" s="24">
        <v>19.48</v>
      </c>
      <c r="R44" s="24" t="s">
        <v>88</v>
      </c>
      <c r="S44" s="24">
        <v>82.47</v>
      </c>
      <c r="T44" s="24" t="s">
        <v>89</v>
      </c>
      <c r="U44" s="24">
        <v>49.33</v>
      </c>
      <c r="V44" s="24" t="s">
        <v>90</v>
      </c>
      <c r="W44" s="24">
        <v>4.25</v>
      </c>
      <c r="X44" s="24" t="s">
        <v>91</v>
      </c>
      <c r="Y44" s="24">
        <v>12</v>
      </c>
      <c r="Z44" s="24" t="s">
        <v>92</v>
      </c>
      <c r="AA44" s="24" t="s">
        <v>96</v>
      </c>
      <c r="AB44" s="24" t="s">
        <v>93</v>
      </c>
      <c r="AC44" s="24">
        <v>130</v>
      </c>
      <c r="AD44" s="24" t="s">
        <v>95</v>
      </c>
      <c r="AE44" s="24">
        <v>62</v>
      </c>
      <c r="AF44" s="24" t="s">
        <v>100</v>
      </c>
      <c r="AG44" s="24">
        <v>3.04</v>
      </c>
      <c r="AH44" s="24" t="s">
        <v>97</v>
      </c>
      <c r="AI44" s="24">
        <f>12.4165-G44</f>
        <v>0.92809999999999881</v>
      </c>
      <c r="AJ44" s="24" t="s">
        <v>98</v>
      </c>
      <c r="AK44" s="24">
        <f>11.663-G44</f>
        <v>0.17459999999999987</v>
      </c>
      <c r="AL44" s="24" t="s">
        <v>99</v>
      </c>
      <c r="AM44" s="24">
        <v>2.8999999999999995</v>
      </c>
    </row>
    <row r="45" spans="1:51" x14ac:dyDescent="0.3">
      <c r="A45" s="24" t="s">
        <v>152</v>
      </c>
      <c r="B45" s="24" t="s">
        <v>149</v>
      </c>
      <c r="C45" s="45">
        <v>45731.618055555555</v>
      </c>
      <c r="D45" s="39"/>
      <c r="E45" s="39"/>
      <c r="F45" s="24" t="s">
        <v>82</v>
      </c>
      <c r="G45" s="24">
        <v>10.3428</v>
      </c>
      <c r="H45" s="24" t="s">
        <v>83</v>
      </c>
      <c r="I45" s="24">
        <v>1036.8</v>
      </c>
      <c r="J45" s="24" t="s">
        <v>84</v>
      </c>
      <c r="K45" s="24">
        <v>9.9</v>
      </c>
      <c r="L45" s="24" t="s">
        <v>85</v>
      </c>
      <c r="M45" s="24">
        <v>47.39</v>
      </c>
      <c r="N45" s="24" t="s">
        <v>86</v>
      </c>
      <c r="O45" s="24">
        <v>46.08</v>
      </c>
      <c r="P45" s="24" t="s">
        <v>87</v>
      </c>
      <c r="Q45" s="24">
        <v>25.93</v>
      </c>
      <c r="R45" s="24" t="s">
        <v>88</v>
      </c>
      <c r="S45" s="24">
        <v>48.59</v>
      </c>
      <c r="T45" s="24" t="s">
        <v>89</v>
      </c>
      <c r="U45" s="24">
        <v>47.91</v>
      </c>
      <c r="V45" s="24" t="s">
        <v>90</v>
      </c>
      <c r="W45" s="24">
        <v>4.49</v>
      </c>
      <c r="X45" s="24" t="s">
        <v>91</v>
      </c>
      <c r="Y45" s="24">
        <v>179</v>
      </c>
      <c r="Z45" s="24" t="s">
        <v>92</v>
      </c>
      <c r="AA45" s="24">
        <v>31</v>
      </c>
      <c r="AB45" s="24" t="s">
        <v>93</v>
      </c>
      <c r="AC45" s="24">
        <v>154</v>
      </c>
      <c r="AD45" s="24" t="s">
        <v>95</v>
      </c>
      <c r="AE45" s="24">
        <v>59</v>
      </c>
      <c r="AF45" s="24" t="s">
        <v>100</v>
      </c>
      <c r="AG45" s="24">
        <v>3.13</v>
      </c>
      <c r="AH45" s="24" t="s">
        <v>97</v>
      </c>
      <c r="AI45" s="24">
        <f>11.2256-G45</f>
        <v>0.88279999999999959</v>
      </c>
      <c r="AJ45" s="24" t="s">
        <v>98</v>
      </c>
      <c r="AK45" s="24">
        <f>10.5157-G45</f>
        <v>0.17290000000000028</v>
      </c>
      <c r="AL45" s="24" t="s">
        <v>99</v>
      </c>
      <c r="AM45" s="24">
        <v>3.5</v>
      </c>
    </row>
    <row r="46" spans="1:51" x14ac:dyDescent="0.3">
      <c r="A46" s="24" t="s">
        <v>153</v>
      </c>
      <c r="B46" s="24" t="s">
        <v>149</v>
      </c>
      <c r="C46" s="45">
        <v>45732.46875</v>
      </c>
      <c r="D46" s="39"/>
      <c r="E46" s="39"/>
      <c r="F46" s="24" t="s">
        <v>82</v>
      </c>
      <c r="G46" s="24">
        <v>10.590999999999999</v>
      </c>
      <c r="H46" s="24" t="s">
        <v>83</v>
      </c>
      <c r="I46" s="24">
        <v>1016.4</v>
      </c>
      <c r="J46" s="24" t="s">
        <v>84</v>
      </c>
      <c r="K46" s="24">
        <v>4.8</v>
      </c>
      <c r="L46" s="24" t="s">
        <v>85</v>
      </c>
      <c r="M46" s="24">
        <v>29.57</v>
      </c>
      <c r="N46" s="24" t="s">
        <v>86</v>
      </c>
      <c r="O46" s="24">
        <v>26.5</v>
      </c>
      <c r="P46" s="24" t="s">
        <v>87</v>
      </c>
      <c r="Q46" s="24">
        <v>20.260000000000002</v>
      </c>
      <c r="R46" s="24" t="s">
        <v>88</v>
      </c>
      <c r="S46" s="24">
        <v>25.36</v>
      </c>
      <c r="T46" s="24" t="s">
        <v>89</v>
      </c>
      <c r="U46" s="24">
        <v>27.09</v>
      </c>
      <c r="V46" s="24" t="s">
        <v>90</v>
      </c>
      <c r="W46" s="24">
        <v>5.54</v>
      </c>
      <c r="X46" s="24" t="s">
        <v>91</v>
      </c>
      <c r="Y46" s="24">
        <v>135</v>
      </c>
      <c r="Z46" s="24" t="s">
        <v>92</v>
      </c>
      <c r="AA46" s="24" t="s">
        <v>96</v>
      </c>
      <c r="AB46" s="24" t="s">
        <v>93</v>
      </c>
      <c r="AC46" s="24">
        <v>139</v>
      </c>
      <c r="AD46" s="24" t="s">
        <v>95</v>
      </c>
      <c r="AE46" s="24">
        <v>46</v>
      </c>
      <c r="AF46" s="24" t="s">
        <v>100</v>
      </c>
      <c r="AG46" s="24">
        <v>2.77</v>
      </c>
      <c r="AH46" s="24" t="s">
        <v>97</v>
      </c>
      <c r="AI46" s="24">
        <f>11.377-G46</f>
        <v>0.78600000000000136</v>
      </c>
      <c r="AJ46" s="24" t="s">
        <v>98</v>
      </c>
      <c r="AK46" s="24">
        <f>10.7748-G46</f>
        <v>0.18380000000000152</v>
      </c>
      <c r="AL46" s="24" t="s">
        <v>99</v>
      </c>
      <c r="AM46" s="24">
        <v>7.65</v>
      </c>
    </row>
    <row r="47" spans="1:51" x14ac:dyDescent="0.3">
      <c r="A47" s="24" t="s">
        <v>154</v>
      </c>
      <c r="B47" s="24" t="s">
        <v>149</v>
      </c>
      <c r="C47" s="45">
        <v>45733.451388888891</v>
      </c>
      <c r="D47" s="39"/>
      <c r="E47" s="39"/>
      <c r="F47" s="24" t="s">
        <v>82</v>
      </c>
      <c r="G47" s="24">
        <v>10.28</v>
      </c>
      <c r="H47" s="24" t="s">
        <v>83</v>
      </c>
      <c r="I47" s="24">
        <v>1002.2</v>
      </c>
      <c r="J47" s="24" t="s">
        <v>84</v>
      </c>
      <c r="K47" s="24">
        <v>1.1000000000000001</v>
      </c>
      <c r="L47" s="24" t="s">
        <v>85</v>
      </c>
      <c r="M47" s="24">
        <v>59.37</v>
      </c>
      <c r="N47" s="24" t="s">
        <v>86</v>
      </c>
      <c r="O47" s="24">
        <v>57.45</v>
      </c>
      <c r="P47" s="24" t="s">
        <v>87</v>
      </c>
      <c r="Q47" s="24">
        <v>26.26</v>
      </c>
      <c r="R47" s="24" t="s">
        <v>88</v>
      </c>
      <c r="S47" s="24">
        <v>12.64</v>
      </c>
      <c r="T47" s="24" t="s">
        <v>89</v>
      </c>
      <c r="U47" s="24">
        <v>12.28</v>
      </c>
      <c r="V47" s="24" t="s">
        <v>90</v>
      </c>
      <c r="W47" s="24">
        <v>5.58</v>
      </c>
      <c r="X47" s="24" t="s">
        <v>91</v>
      </c>
      <c r="Y47" s="24">
        <v>14</v>
      </c>
      <c r="Z47" s="24" t="s">
        <v>92</v>
      </c>
      <c r="AA47" s="24" t="s">
        <v>96</v>
      </c>
      <c r="AB47" s="24" t="s">
        <v>93</v>
      </c>
      <c r="AC47" s="24">
        <v>16</v>
      </c>
      <c r="AD47" s="24" t="s">
        <v>95</v>
      </c>
      <c r="AE47" s="24">
        <v>34</v>
      </c>
      <c r="AF47" s="24" t="s">
        <v>100</v>
      </c>
      <c r="AG47" s="24">
        <v>2.65</v>
      </c>
      <c r="AH47" s="24" t="s">
        <v>97</v>
      </c>
      <c r="AI47" s="24">
        <f>11.3956-G47</f>
        <v>1.1156000000000006</v>
      </c>
      <c r="AJ47" s="24" t="s">
        <v>98</v>
      </c>
      <c r="AK47" s="24">
        <f>10.5366-G47</f>
        <v>0.25660000000000061</v>
      </c>
      <c r="AL47" s="24" t="s">
        <v>99</v>
      </c>
      <c r="AM47" s="24">
        <v>9.35</v>
      </c>
    </row>
    <row r="48" spans="1:51" x14ac:dyDescent="0.3">
      <c r="A48" s="24" t="s">
        <v>155</v>
      </c>
      <c r="B48" s="24" t="s">
        <v>149</v>
      </c>
      <c r="C48" s="45">
        <v>45733.625</v>
      </c>
      <c r="D48" s="39"/>
      <c r="E48" s="39"/>
      <c r="F48" s="24" t="s">
        <v>82</v>
      </c>
      <c r="G48" s="24">
        <v>10.351599999999999</v>
      </c>
      <c r="H48" s="24" t="s">
        <v>83</v>
      </c>
      <c r="I48" s="24">
        <v>998.6</v>
      </c>
      <c r="J48" s="24" t="s">
        <v>84</v>
      </c>
      <c r="K48" s="24">
        <v>0.2</v>
      </c>
      <c r="L48" s="24" t="s">
        <v>85</v>
      </c>
      <c r="M48" s="24">
        <v>65.05</v>
      </c>
      <c r="N48" s="24" t="s">
        <v>86</v>
      </c>
      <c r="O48" s="24">
        <v>55.68</v>
      </c>
      <c r="P48" s="24" t="s">
        <v>87</v>
      </c>
      <c r="Q48" s="24">
        <v>17.95</v>
      </c>
      <c r="R48" s="24" t="s">
        <v>88</v>
      </c>
      <c r="S48" s="24" t="s">
        <v>156</v>
      </c>
      <c r="T48" s="24" t="s">
        <v>89</v>
      </c>
      <c r="U48" s="24">
        <v>9.32</v>
      </c>
      <c r="V48" s="24" t="s">
        <v>90</v>
      </c>
      <c r="W48" s="24">
        <v>5.57</v>
      </c>
      <c r="X48" s="24" t="s">
        <v>91</v>
      </c>
      <c r="Y48" s="24">
        <v>149</v>
      </c>
      <c r="Z48" s="24" t="s">
        <v>92</v>
      </c>
      <c r="AA48" s="24">
        <v>1</v>
      </c>
      <c r="AB48" s="24" t="s">
        <v>93</v>
      </c>
      <c r="AC48" s="24">
        <v>148</v>
      </c>
      <c r="AD48" s="24" t="s">
        <v>95</v>
      </c>
      <c r="AE48" s="24">
        <v>55</v>
      </c>
      <c r="AF48" s="24" t="s">
        <v>100</v>
      </c>
      <c r="AG48" s="24">
        <v>2.54</v>
      </c>
      <c r="AH48" s="24" t="s">
        <v>97</v>
      </c>
      <c r="AI48" s="24">
        <f>12.5898-G48</f>
        <v>2.2382000000000009</v>
      </c>
      <c r="AJ48" s="24" t="s">
        <v>98</v>
      </c>
      <c r="AK48" s="24">
        <f>10.6145-G48</f>
        <v>0.26290000000000013</v>
      </c>
      <c r="AL48" s="24" t="s">
        <v>99</v>
      </c>
      <c r="AM48" s="24">
        <v>5.05</v>
      </c>
    </row>
    <row r="49" spans="1:51" x14ac:dyDescent="0.3">
      <c r="A49" s="24" t="s">
        <v>157</v>
      </c>
      <c r="B49" s="24" t="s">
        <v>149</v>
      </c>
      <c r="C49" s="45">
        <v>45734.430555555555</v>
      </c>
      <c r="D49" s="39"/>
      <c r="E49" s="39"/>
      <c r="F49" s="24" t="s">
        <v>82</v>
      </c>
      <c r="G49" s="24">
        <v>10.5235</v>
      </c>
      <c r="H49" s="24" t="s">
        <v>83</v>
      </c>
      <c r="I49" s="24">
        <v>995.1</v>
      </c>
      <c r="J49" s="24" t="s">
        <v>84</v>
      </c>
      <c r="K49" s="24">
        <v>-0.8</v>
      </c>
      <c r="L49" s="24" t="s">
        <v>85</v>
      </c>
      <c r="M49" s="24">
        <v>57.99</v>
      </c>
      <c r="N49" s="24" t="s">
        <v>86</v>
      </c>
      <c r="O49" s="24">
        <v>50.77</v>
      </c>
      <c r="P49" s="24" t="s">
        <v>87</v>
      </c>
      <c r="Q49" s="24">
        <v>20.13</v>
      </c>
      <c r="R49" s="24" t="s">
        <v>88</v>
      </c>
      <c r="S49" s="24">
        <v>5.66</v>
      </c>
      <c r="T49" s="24" t="s">
        <v>89</v>
      </c>
      <c r="U49" s="24">
        <v>1.23</v>
      </c>
      <c r="V49" s="24" t="s">
        <v>90</v>
      </c>
      <c r="W49" s="24">
        <v>5.77</v>
      </c>
      <c r="X49" s="24" t="s">
        <v>91</v>
      </c>
      <c r="Z49" s="24" t="s">
        <v>92</v>
      </c>
      <c r="AB49" s="24" t="s">
        <v>93</v>
      </c>
      <c r="AD49" s="24" t="s">
        <v>95</v>
      </c>
      <c r="AE49" s="24">
        <v>25</v>
      </c>
      <c r="AF49" s="24" t="s">
        <v>100</v>
      </c>
      <c r="AG49" s="24">
        <v>2.58</v>
      </c>
      <c r="AH49" s="24" t="s">
        <v>97</v>
      </c>
      <c r="AI49" s="24">
        <f>11.182-G49</f>
        <v>0.65850000000000009</v>
      </c>
      <c r="AJ49" s="24" t="s">
        <v>98</v>
      </c>
      <c r="AK49" s="24">
        <f>10.5587-G49</f>
        <v>3.5199999999999676E-2</v>
      </c>
      <c r="AL49" s="24" t="s">
        <v>99</v>
      </c>
      <c r="AM49" s="24">
        <v>6.5</v>
      </c>
    </row>
    <row r="50" spans="1:51" x14ac:dyDescent="0.3">
      <c r="A50" s="24" t="s">
        <v>158</v>
      </c>
      <c r="B50" s="24" t="s">
        <v>149</v>
      </c>
      <c r="C50" s="45">
        <v>45734.631944444445</v>
      </c>
      <c r="D50" s="39"/>
      <c r="E50" s="39"/>
      <c r="F50" s="24" t="s">
        <v>82</v>
      </c>
      <c r="G50" s="24">
        <v>10.391999999999999</v>
      </c>
      <c r="H50" s="24" t="s">
        <v>83</v>
      </c>
      <c r="I50" s="24">
        <v>993.6</v>
      </c>
      <c r="J50" s="24" t="s">
        <v>84</v>
      </c>
      <c r="K50" s="24">
        <v>-1</v>
      </c>
      <c r="L50" s="24" t="s">
        <v>85</v>
      </c>
      <c r="M50" s="24">
        <v>66.36</v>
      </c>
      <c r="N50" s="24" t="s">
        <v>86</v>
      </c>
      <c r="O50" s="24">
        <v>53.07</v>
      </c>
      <c r="P50" s="24" t="s">
        <v>87</v>
      </c>
      <c r="Q50" s="24">
        <v>17.13</v>
      </c>
      <c r="R50" s="24" t="s">
        <v>88</v>
      </c>
      <c r="S50" s="24">
        <v>2.86</v>
      </c>
      <c r="T50" s="24" t="s">
        <v>89</v>
      </c>
      <c r="U50" s="24">
        <v>2.5</v>
      </c>
      <c r="V50" s="24" t="s">
        <v>90</v>
      </c>
      <c r="W50" s="24">
        <v>5.71</v>
      </c>
      <c r="X50" s="24" t="s">
        <v>91</v>
      </c>
      <c r="Z50" s="24" t="s">
        <v>92</v>
      </c>
      <c r="AB50" s="24" t="s">
        <v>93</v>
      </c>
      <c r="AD50" s="24" t="s">
        <v>95</v>
      </c>
      <c r="AE50" s="24">
        <v>26</v>
      </c>
      <c r="AF50" s="24" t="s">
        <v>100</v>
      </c>
      <c r="AG50" s="24">
        <v>2.59</v>
      </c>
      <c r="AH50" s="24" t="s">
        <v>97</v>
      </c>
      <c r="AI50" s="24">
        <f>12.3816-G50</f>
        <v>1.9896000000000011</v>
      </c>
      <c r="AJ50" s="24" t="s">
        <v>98</v>
      </c>
      <c r="AK50" s="24">
        <f>10.6497-G50</f>
        <v>0.25769999999999982</v>
      </c>
      <c r="AL50" s="24" t="s">
        <v>99</v>
      </c>
      <c r="AM50" s="24">
        <v>8.4499999999999993</v>
      </c>
    </row>
    <row r="51" spans="1:51" x14ac:dyDescent="0.3">
      <c r="A51" s="24" t="s">
        <v>159</v>
      </c>
      <c r="B51" s="24" t="s">
        <v>149</v>
      </c>
      <c r="C51" s="45">
        <v>45735.385416666664</v>
      </c>
      <c r="D51" s="39"/>
      <c r="E51" s="39"/>
      <c r="F51" s="24" t="s">
        <v>82</v>
      </c>
      <c r="G51" s="24">
        <v>10.182499999999999</v>
      </c>
      <c r="H51" s="24" t="s">
        <v>83</v>
      </c>
      <c r="I51" s="24">
        <v>991.5</v>
      </c>
      <c r="J51" s="24" t="s">
        <v>84</v>
      </c>
      <c r="K51" s="24">
        <v>-1.6</v>
      </c>
      <c r="L51" s="24" t="s">
        <v>85</v>
      </c>
      <c r="M51" s="24">
        <v>99.16</v>
      </c>
      <c r="N51" s="24" t="s">
        <v>86</v>
      </c>
      <c r="O51" s="24">
        <v>93.78</v>
      </c>
      <c r="P51" s="24" t="s">
        <v>87</v>
      </c>
      <c r="Q51" s="24">
        <v>14.95</v>
      </c>
      <c r="R51" s="24" t="s">
        <v>88</v>
      </c>
      <c r="S51" s="24">
        <v>0.31</v>
      </c>
      <c r="T51" s="24" t="s">
        <v>89</v>
      </c>
      <c r="U51" s="24">
        <v>0.8</v>
      </c>
      <c r="V51" s="24" t="s">
        <v>90</v>
      </c>
      <c r="W51" s="24">
        <v>5.78</v>
      </c>
      <c r="X51" s="24" t="s">
        <v>91</v>
      </c>
      <c r="Z51" s="24" t="s">
        <v>92</v>
      </c>
      <c r="AB51" s="24" t="s">
        <v>93</v>
      </c>
      <c r="AD51" s="24" t="s">
        <v>95</v>
      </c>
      <c r="AE51" s="24">
        <v>17</v>
      </c>
      <c r="AF51" s="24" t="s">
        <v>100</v>
      </c>
      <c r="AG51" s="24">
        <v>2.57</v>
      </c>
      <c r="AH51" s="24" t="s">
        <v>97</v>
      </c>
      <c r="AI51" s="24">
        <f>11.3972-G51</f>
        <v>1.2147000000000006</v>
      </c>
      <c r="AJ51" s="24" t="s">
        <v>98</v>
      </c>
      <c r="AK51" s="24">
        <f>10.3959-G51</f>
        <v>0.21340000000000003</v>
      </c>
      <c r="AL51" s="24" t="s">
        <v>99</v>
      </c>
      <c r="AM51" s="24">
        <v>8.15</v>
      </c>
    </row>
    <row r="52" spans="1:51" x14ac:dyDescent="0.3">
      <c r="A52" s="24" t="s">
        <v>160</v>
      </c>
      <c r="B52" s="24" t="s">
        <v>149</v>
      </c>
      <c r="C52" s="45">
        <v>45735.618055555555</v>
      </c>
      <c r="D52" s="39"/>
      <c r="E52" s="39"/>
      <c r="F52" s="24" t="s">
        <v>82</v>
      </c>
      <c r="G52" s="24">
        <v>10.347099999999999</v>
      </c>
      <c r="H52" s="24" t="s">
        <v>83</v>
      </c>
      <c r="I52" s="24">
        <v>990.6</v>
      </c>
      <c r="J52" s="24" t="s">
        <v>84</v>
      </c>
      <c r="K52" s="24">
        <v>-1.7</v>
      </c>
      <c r="L52" s="24" t="s">
        <v>85</v>
      </c>
      <c r="M52" s="24">
        <v>45.47</v>
      </c>
      <c r="N52" s="24" t="s">
        <v>86</v>
      </c>
      <c r="O52" s="24">
        <v>37.479999999999997</v>
      </c>
      <c r="P52" s="24" t="s">
        <v>87</v>
      </c>
      <c r="Q52" s="24">
        <v>23.82</v>
      </c>
      <c r="R52" s="24" t="s">
        <v>88</v>
      </c>
      <c r="S52" s="24">
        <v>0.48</v>
      </c>
      <c r="T52" s="24" t="s">
        <v>89</v>
      </c>
      <c r="U52" s="24">
        <v>0.03</v>
      </c>
      <c r="V52" s="24" t="s">
        <v>90</v>
      </c>
      <c r="W52" s="24">
        <v>5.92</v>
      </c>
      <c r="X52" s="24" t="s">
        <v>91</v>
      </c>
      <c r="Y52" s="24">
        <v>19</v>
      </c>
      <c r="Z52" s="24" t="s">
        <v>92</v>
      </c>
      <c r="AA52" s="24" t="s">
        <v>96</v>
      </c>
      <c r="AB52" s="24" t="s">
        <v>93</v>
      </c>
      <c r="AC52" s="24">
        <v>20</v>
      </c>
      <c r="AD52" s="24" t="s">
        <v>94</v>
      </c>
      <c r="AE52" s="24">
        <v>0.42</v>
      </c>
      <c r="AF52" s="24" t="s">
        <v>95</v>
      </c>
      <c r="AG52" s="24">
        <v>23</v>
      </c>
      <c r="AH52" s="24" t="s">
        <v>97</v>
      </c>
      <c r="AI52" s="24">
        <f>11.1581-G52</f>
        <v>0.81099999999999994</v>
      </c>
      <c r="AJ52" s="24" t="s">
        <v>98</v>
      </c>
      <c r="AK52" s="24">
        <f>10.5524-G52</f>
        <v>0.20530000000000115</v>
      </c>
      <c r="AL52" s="24" t="s">
        <v>99</v>
      </c>
      <c r="AM52" s="41">
        <v>2.8500000000000005</v>
      </c>
      <c r="AN52" s="24" t="s">
        <v>100</v>
      </c>
      <c r="AO52" s="24">
        <v>2.34</v>
      </c>
      <c r="AP52" s="24" t="s">
        <v>101</v>
      </c>
      <c r="AQ52" s="24">
        <v>4.43</v>
      </c>
      <c r="AR52" s="24" t="s">
        <v>102</v>
      </c>
      <c r="AS52" s="24">
        <v>209</v>
      </c>
      <c r="AT52" s="24" t="s">
        <v>103</v>
      </c>
      <c r="AU52" s="24">
        <v>2.9</v>
      </c>
      <c r="AV52" s="24" t="s">
        <v>104</v>
      </c>
      <c r="AW52" s="24">
        <v>3</v>
      </c>
      <c r="AX52" s="24" t="s">
        <v>105</v>
      </c>
      <c r="AY52" s="24">
        <v>90</v>
      </c>
    </row>
    <row r="53" spans="1:51" x14ac:dyDescent="0.3">
      <c r="A53" s="24" t="s">
        <v>161</v>
      </c>
      <c r="B53" s="24" t="s">
        <v>162</v>
      </c>
      <c r="C53" s="45">
        <v>45729.916666666664</v>
      </c>
      <c r="D53" s="39"/>
      <c r="E53" s="39"/>
      <c r="F53" s="24" t="s">
        <v>82</v>
      </c>
      <c r="G53" s="24">
        <v>10.3424</v>
      </c>
      <c r="H53" s="24" t="s">
        <v>83</v>
      </c>
      <c r="I53" s="24">
        <v>1062.2</v>
      </c>
      <c r="J53" s="24" t="s">
        <v>84</v>
      </c>
      <c r="K53" s="24">
        <v>16</v>
      </c>
      <c r="L53" s="24" t="s">
        <v>85</v>
      </c>
      <c r="M53" s="24">
        <v>11.14</v>
      </c>
      <c r="N53" s="24" t="s">
        <v>86</v>
      </c>
      <c r="O53" s="24">
        <v>10.18</v>
      </c>
      <c r="P53" s="24" t="s">
        <v>87</v>
      </c>
      <c r="Q53" s="24">
        <v>20</v>
      </c>
      <c r="R53" s="24" t="s">
        <v>88</v>
      </c>
      <c r="S53" s="24">
        <v>77.44</v>
      </c>
      <c r="T53" s="24" t="s">
        <v>89</v>
      </c>
      <c r="U53" s="24">
        <v>77.78</v>
      </c>
      <c r="V53" s="24" t="s">
        <v>90</v>
      </c>
      <c r="W53" s="24">
        <v>2.1</v>
      </c>
      <c r="X53" s="24" t="s">
        <v>91</v>
      </c>
      <c r="Y53" s="24">
        <v>157</v>
      </c>
      <c r="Z53" s="24" t="s">
        <v>92</v>
      </c>
      <c r="AA53" s="24">
        <v>74</v>
      </c>
      <c r="AB53" s="24" t="s">
        <v>93</v>
      </c>
      <c r="AC53" s="24">
        <v>96</v>
      </c>
      <c r="AD53" s="24" t="s">
        <v>94</v>
      </c>
      <c r="AE53" s="24">
        <v>0.25</v>
      </c>
      <c r="AF53" s="24" t="s">
        <v>95</v>
      </c>
      <c r="AG53" s="24">
        <v>22</v>
      </c>
      <c r="AH53" s="24" t="s">
        <v>97</v>
      </c>
      <c r="AI53" s="24">
        <f>10.9958-G53</f>
        <v>0.65339999999999954</v>
      </c>
      <c r="AJ53" s="24" t="s">
        <v>98</v>
      </c>
      <c r="AK53" s="24">
        <f>10.5017-G53</f>
        <v>0.1593</v>
      </c>
      <c r="AL53" s="24" t="s">
        <v>99</v>
      </c>
      <c r="AN53" s="24" t="s">
        <v>100</v>
      </c>
      <c r="AO53" s="24">
        <v>3.37</v>
      </c>
      <c r="AP53" s="24" t="s">
        <v>101</v>
      </c>
      <c r="AQ53" s="24">
        <v>3.55</v>
      </c>
      <c r="AR53" s="24" t="s">
        <v>102</v>
      </c>
      <c r="AS53" s="24">
        <v>355</v>
      </c>
      <c r="AT53" s="24" t="s">
        <v>103</v>
      </c>
      <c r="AU53" s="24">
        <v>2.7</v>
      </c>
      <c r="AV53" s="24" t="s">
        <v>104</v>
      </c>
      <c r="AW53" s="24">
        <v>12</v>
      </c>
      <c r="AX53" s="24" t="s">
        <v>105</v>
      </c>
      <c r="AY53" s="24">
        <v>344</v>
      </c>
    </row>
    <row r="54" spans="1:51" x14ac:dyDescent="0.3">
      <c r="A54" s="24" t="s">
        <v>163</v>
      </c>
      <c r="B54" s="24" t="s">
        <v>162</v>
      </c>
      <c r="C54" s="45">
        <v>45730.445833333331</v>
      </c>
      <c r="D54" s="39"/>
      <c r="E54" s="39"/>
      <c r="F54" s="24" t="s">
        <v>82</v>
      </c>
      <c r="G54" s="24">
        <v>10.545400000000001</v>
      </c>
      <c r="H54" s="24" t="s">
        <v>83</v>
      </c>
      <c r="I54" s="24">
        <v>1062</v>
      </c>
      <c r="J54" s="24" t="s">
        <v>84</v>
      </c>
      <c r="K54" s="24">
        <v>15.7</v>
      </c>
      <c r="L54" s="24" t="s">
        <v>85</v>
      </c>
      <c r="M54" s="24">
        <v>22.35</v>
      </c>
      <c r="N54" s="24" t="s">
        <v>86</v>
      </c>
      <c r="O54" s="24">
        <v>17.899999999999999</v>
      </c>
      <c r="P54" s="24" t="s">
        <v>87</v>
      </c>
      <c r="Q54" s="24">
        <v>23.71</v>
      </c>
      <c r="R54" s="24" t="s">
        <v>88</v>
      </c>
      <c r="S54" s="24">
        <v>73.39</v>
      </c>
      <c r="T54" s="24" t="s">
        <v>89</v>
      </c>
      <c r="U54" s="24">
        <v>74.099999999999994</v>
      </c>
      <c r="V54" s="24" t="s">
        <v>90</v>
      </c>
      <c r="W54" s="24">
        <v>2.44</v>
      </c>
      <c r="X54" s="24" t="s">
        <v>91</v>
      </c>
      <c r="Y54" s="24">
        <v>123</v>
      </c>
      <c r="Z54" s="24" t="s">
        <v>92</v>
      </c>
      <c r="AA54" s="24">
        <v>56</v>
      </c>
      <c r="AB54" s="24" t="s">
        <v>93</v>
      </c>
      <c r="AC54" s="24">
        <v>77</v>
      </c>
      <c r="AD54" s="24" t="s">
        <v>95</v>
      </c>
      <c r="AE54" s="24">
        <v>36</v>
      </c>
      <c r="AF54" s="24" t="s">
        <v>100</v>
      </c>
      <c r="AG54" s="24">
        <v>3.25</v>
      </c>
      <c r="AH54" s="24" t="s">
        <v>97</v>
      </c>
      <c r="AI54" s="24">
        <f>10.8334-G54</f>
        <v>0.28799999999999848</v>
      </c>
      <c r="AJ54" s="24" t="s">
        <v>98</v>
      </c>
      <c r="AK54" s="24">
        <f>10.5956-G54</f>
        <v>5.0199999999998468E-2</v>
      </c>
      <c r="AL54" s="24" t="s">
        <v>99</v>
      </c>
      <c r="AM54" s="24">
        <v>1.4000000000000001</v>
      </c>
    </row>
    <row r="55" spans="1:51" x14ac:dyDescent="0.3">
      <c r="A55" s="24" t="s">
        <v>164</v>
      </c>
      <c r="B55" s="24" t="s">
        <v>162</v>
      </c>
      <c r="C55" s="45">
        <v>45735.618055555555</v>
      </c>
      <c r="D55" s="39"/>
      <c r="E55" s="39"/>
      <c r="F55" s="24" t="s">
        <v>82</v>
      </c>
      <c r="G55" s="24">
        <v>10.353899999999999</v>
      </c>
      <c r="H55" s="24" t="s">
        <v>83</v>
      </c>
      <c r="I55" s="24">
        <v>995.3</v>
      </c>
      <c r="J55" s="24" t="s">
        <v>84</v>
      </c>
      <c r="K55" s="24">
        <v>-0.4</v>
      </c>
      <c r="L55" s="24" t="s">
        <v>85</v>
      </c>
      <c r="M55" s="24">
        <v>37.479999999999997</v>
      </c>
      <c r="N55" s="24" t="s">
        <v>86</v>
      </c>
      <c r="O55" s="24">
        <v>35.33</v>
      </c>
      <c r="P55" s="24" t="s">
        <v>87</v>
      </c>
      <c r="Q55" s="24">
        <v>21.52</v>
      </c>
      <c r="R55" s="24" t="s">
        <v>88</v>
      </c>
      <c r="S55" s="24">
        <v>9.36</v>
      </c>
      <c r="T55" s="24" t="s">
        <v>89</v>
      </c>
      <c r="U55" s="24">
        <v>0.31</v>
      </c>
      <c r="V55" s="24" t="s">
        <v>90</v>
      </c>
      <c r="W55" s="24">
        <v>5.58</v>
      </c>
      <c r="X55" s="24" t="s">
        <v>91</v>
      </c>
      <c r="Z55" s="24" t="s">
        <v>92</v>
      </c>
      <c r="AB55" s="24" t="s">
        <v>93</v>
      </c>
      <c r="AD55" s="24" t="s">
        <v>95</v>
      </c>
      <c r="AE55" s="24">
        <v>26</v>
      </c>
      <c r="AF55" s="24" t="s">
        <v>100</v>
      </c>
      <c r="AG55" s="24">
        <v>1.99</v>
      </c>
      <c r="AH55" s="24" t="s">
        <v>97</v>
      </c>
      <c r="AI55" s="24">
        <f>11.2648-G55</f>
        <v>0.91089999999999982</v>
      </c>
      <c r="AJ55" s="24" t="s">
        <v>98</v>
      </c>
      <c r="AK55" s="24">
        <f>10.5711-G55</f>
        <v>0.21720000000000006</v>
      </c>
      <c r="AL55" s="24" t="s">
        <v>99</v>
      </c>
      <c r="AM55" s="24">
        <v>5.35</v>
      </c>
    </row>
    <row r="56" spans="1:51" x14ac:dyDescent="0.3">
      <c r="A56" s="24" t="s">
        <v>165</v>
      </c>
      <c r="B56" s="24" t="s">
        <v>162</v>
      </c>
      <c r="C56" s="45">
        <v>45736.416666666664</v>
      </c>
      <c r="D56" s="39"/>
      <c r="E56" s="39"/>
      <c r="F56" s="24" t="s">
        <v>82</v>
      </c>
      <c r="G56" s="24">
        <v>10.641500000000001</v>
      </c>
      <c r="H56" s="24" t="s">
        <v>83</v>
      </c>
      <c r="I56" s="24">
        <v>994.6</v>
      </c>
      <c r="J56" s="24" t="s">
        <v>84</v>
      </c>
      <c r="K56" s="24">
        <v>-1</v>
      </c>
      <c r="L56" s="24" t="s">
        <v>85</v>
      </c>
      <c r="M56" s="24">
        <v>60.83</v>
      </c>
      <c r="N56" s="24" t="s">
        <v>86</v>
      </c>
      <c r="O56" s="24">
        <v>52.46</v>
      </c>
      <c r="P56" s="24" t="s">
        <v>87</v>
      </c>
      <c r="Q56" s="24">
        <v>11.99</v>
      </c>
      <c r="R56" s="24" t="s">
        <v>88</v>
      </c>
      <c r="S56" s="24">
        <v>5.78</v>
      </c>
      <c r="T56" s="24" t="s">
        <v>89</v>
      </c>
      <c r="U56" s="24">
        <v>0.08</v>
      </c>
      <c r="V56" s="24" t="s">
        <v>90</v>
      </c>
      <c r="W56" s="24">
        <v>5.76</v>
      </c>
      <c r="X56" s="24" t="s">
        <v>91</v>
      </c>
      <c r="Z56" s="24" t="s">
        <v>92</v>
      </c>
      <c r="AB56" s="24" t="s">
        <v>93</v>
      </c>
      <c r="AD56" s="24" t="s">
        <v>95</v>
      </c>
      <c r="AE56" s="24">
        <v>40</v>
      </c>
      <c r="AF56" s="24" t="s">
        <v>100</v>
      </c>
      <c r="AG56" s="24">
        <v>2.4</v>
      </c>
      <c r="AH56" s="24" t="s">
        <v>97</v>
      </c>
      <c r="AI56" s="24">
        <f>11.5624-G56</f>
        <v>0.92089999999999961</v>
      </c>
      <c r="AJ56" s="24" t="s">
        <v>98</v>
      </c>
      <c r="AK56" s="24">
        <f>10.8382-G56</f>
        <v>0.19669999999999987</v>
      </c>
      <c r="AL56" s="24" t="s">
        <v>99</v>
      </c>
      <c r="AM56" s="24">
        <v>6.45</v>
      </c>
    </row>
    <row r="57" spans="1:51" x14ac:dyDescent="0.3">
      <c r="A57" s="24" t="s">
        <v>166</v>
      </c>
      <c r="B57" s="24" t="s">
        <v>162</v>
      </c>
      <c r="C57" s="45">
        <v>45731.458333333336</v>
      </c>
      <c r="D57" s="39"/>
      <c r="E57" s="39"/>
      <c r="F57" s="24" t="s">
        <v>82</v>
      </c>
      <c r="G57" s="24">
        <v>10.557</v>
      </c>
      <c r="H57" s="24" t="s">
        <v>83</v>
      </c>
      <c r="I57" s="24">
        <v>1051.9000000000001</v>
      </c>
      <c r="J57" s="24" t="s">
        <v>84</v>
      </c>
      <c r="K57" s="24">
        <v>13.2</v>
      </c>
      <c r="L57" s="24" t="s">
        <v>85</v>
      </c>
      <c r="M57" s="24">
        <v>37.020000000000003</v>
      </c>
      <c r="N57" s="24" t="s">
        <v>86</v>
      </c>
      <c r="O57" s="24">
        <v>35.33</v>
      </c>
      <c r="P57" s="24" t="s">
        <v>87</v>
      </c>
      <c r="Q57" s="24">
        <v>27.18</v>
      </c>
      <c r="R57" s="24" t="s">
        <v>88</v>
      </c>
      <c r="S57" s="24">
        <v>62.45</v>
      </c>
      <c r="T57" s="24" t="s">
        <v>89</v>
      </c>
      <c r="U57" s="24">
        <v>63.66</v>
      </c>
      <c r="V57" s="24" t="s">
        <v>90</v>
      </c>
      <c r="W57" s="24">
        <v>3.59</v>
      </c>
      <c r="X57" s="24" t="s">
        <v>91</v>
      </c>
      <c r="Y57" s="24">
        <v>155</v>
      </c>
      <c r="Z57" s="24" t="s">
        <v>92</v>
      </c>
      <c r="AA57" s="24" t="s">
        <v>96</v>
      </c>
      <c r="AB57" s="24" t="s">
        <v>93</v>
      </c>
      <c r="AC57" s="24">
        <v>157</v>
      </c>
      <c r="AD57" s="24" t="s">
        <v>95</v>
      </c>
      <c r="AE57" s="24">
        <v>52</v>
      </c>
      <c r="AF57" s="24" t="s">
        <v>100</v>
      </c>
      <c r="AG57" s="24">
        <v>3.29</v>
      </c>
      <c r="AH57" s="24" t="s">
        <v>97</v>
      </c>
      <c r="AI57" s="24">
        <f>11.138-G57</f>
        <v>0.58099999999999952</v>
      </c>
      <c r="AJ57" s="24" t="s">
        <v>98</v>
      </c>
      <c r="AK57" s="24">
        <f>10.6694-G57</f>
        <v>0.11239999999999917</v>
      </c>
      <c r="AL57" s="24" t="s">
        <v>99</v>
      </c>
      <c r="AM57" s="24">
        <v>2.35</v>
      </c>
    </row>
    <row r="58" spans="1:51" x14ac:dyDescent="0.3">
      <c r="A58" s="24" t="s">
        <v>167</v>
      </c>
      <c r="B58" s="24" t="s">
        <v>162</v>
      </c>
      <c r="C58" s="45">
        <v>45734.618055497682</v>
      </c>
      <c r="D58" s="39"/>
      <c r="E58" s="39"/>
      <c r="F58" s="24" t="s">
        <v>82</v>
      </c>
      <c r="G58" s="24">
        <v>10.5335</v>
      </c>
      <c r="H58" s="24" t="s">
        <v>83</v>
      </c>
      <c r="I58" s="24">
        <v>1048.3</v>
      </c>
      <c r="J58" s="24" t="s">
        <v>84</v>
      </c>
      <c r="K58" s="24">
        <v>12.7</v>
      </c>
      <c r="L58" s="24" t="s">
        <v>85</v>
      </c>
      <c r="M58" s="24">
        <v>46.54</v>
      </c>
      <c r="N58" s="24" t="s">
        <v>86</v>
      </c>
      <c r="O58" s="24">
        <v>43.86</v>
      </c>
      <c r="P58" s="24" t="s">
        <v>87</v>
      </c>
      <c r="Q58" s="24">
        <v>28.22</v>
      </c>
      <c r="R58" s="24" t="s">
        <v>88</v>
      </c>
      <c r="S58" s="24">
        <v>45.86</v>
      </c>
      <c r="T58" s="24" t="s">
        <v>89</v>
      </c>
      <c r="U58" s="24">
        <v>77.8</v>
      </c>
      <c r="V58" s="24" t="s">
        <v>90</v>
      </c>
      <c r="W58" s="24">
        <v>3.84</v>
      </c>
      <c r="X58" s="24" t="s">
        <v>91</v>
      </c>
      <c r="Y58" s="24">
        <v>211</v>
      </c>
      <c r="Z58" s="24" t="s">
        <v>92</v>
      </c>
      <c r="AA58" s="24">
        <v>40</v>
      </c>
      <c r="AB58" s="24" t="s">
        <v>93</v>
      </c>
      <c r="AC58" s="24">
        <v>179</v>
      </c>
      <c r="AD58" s="24" t="s">
        <v>95</v>
      </c>
      <c r="AE58" s="24">
        <v>59</v>
      </c>
      <c r="AF58" s="24" t="s">
        <v>100</v>
      </c>
      <c r="AG58" s="24">
        <v>3.35</v>
      </c>
      <c r="AH58" s="24" t="s">
        <v>97</v>
      </c>
      <c r="AI58" s="24">
        <f>11.156-G58</f>
        <v>0.6225000000000005</v>
      </c>
      <c r="AJ58" s="24" t="s">
        <v>98</v>
      </c>
      <c r="AK58" s="24">
        <f>10.6579-G58</f>
        <v>0.12439999999999962</v>
      </c>
      <c r="AL58" s="24" t="s">
        <v>99</v>
      </c>
      <c r="AM58" s="24">
        <v>2.5</v>
      </c>
    </row>
    <row r="59" spans="1:51" x14ac:dyDescent="0.3">
      <c r="A59" s="24" t="s">
        <v>168</v>
      </c>
      <c r="B59" s="24" t="s">
        <v>162</v>
      </c>
      <c r="C59" s="45">
        <v>45732.46875</v>
      </c>
      <c r="D59" s="39"/>
      <c r="E59" s="39"/>
      <c r="F59" s="24" t="s">
        <v>169</v>
      </c>
      <c r="G59" s="24">
        <v>5.5739000000000001</v>
      </c>
      <c r="H59" s="24" t="s">
        <v>83</v>
      </c>
      <c r="I59" s="24">
        <v>1030</v>
      </c>
      <c r="J59" s="24" t="s">
        <v>84</v>
      </c>
      <c r="K59" s="24">
        <v>8.1999999999999993</v>
      </c>
      <c r="L59" s="24" t="s">
        <v>85</v>
      </c>
      <c r="M59" s="24">
        <v>43.16</v>
      </c>
      <c r="N59" s="24" t="s">
        <v>86</v>
      </c>
      <c r="O59" s="24">
        <v>38.79</v>
      </c>
      <c r="P59" s="24" t="s">
        <v>87</v>
      </c>
      <c r="Q59" s="24">
        <v>32.21</v>
      </c>
      <c r="R59" s="24" t="s">
        <v>88</v>
      </c>
      <c r="S59" s="24">
        <v>38.99</v>
      </c>
      <c r="T59" s="24" t="s">
        <v>89</v>
      </c>
      <c r="U59" s="24">
        <v>42.59</v>
      </c>
      <c r="V59" s="24" t="s">
        <v>90</v>
      </c>
      <c r="W59" s="24">
        <v>4.87</v>
      </c>
      <c r="X59" s="24" t="s">
        <v>91</v>
      </c>
      <c r="Y59" s="24">
        <v>149</v>
      </c>
      <c r="Z59" s="24" t="s">
        <v>92</v>
      </c>
      <c r="AA59" s="24" t="s">
        <v>96</v>
      </c>
      <c r="AB59" s="24" t="s">
        <v>93</v>
      </c>
      <c r="AC59" s="24">
        <v>150</v>
      </c>
      <c r="AD59" s="24" t="s">
        <v>95</v>
      </c>
      <c r="AE59" s="24">
        <v>43</v>
      </c>
      <c r="AF59" s="24" t="s">
        <v>100</v>
      </c>
      <c r="AG59" s="24">
        <v>2.91</v>
      </c>
      <c r="AH59" s="24" t="s">
        <v>97</v>
      </c>
      <c r="AI59" s="24">
        <f>6.2285-G59</f>
        <v>0.65460000000000029</v>
      </c>
      <c r="AJ59" s="24" t="s">
        <v>98</v>
      </c>
      <c r="AK59" s="24">
        <f>5.7354-G59</f>
        <v>0.1615000000000002</v>
      </c>
      <c r="AL59" s="24" t="s">
        <v>99</v>
      </c>
      <c r="AM59" s="24">
        <v>5.25</v>
      </c>
    </row>
    <row r="60" spans="1:51" x14ac:dyDescent="0.3">
      <c r="A60" s="24" t="s">
        <v>170</v>
      </c>
      <c r="B60" s="24" t="s">
        <v>162</v>
      </c>
      <c r="C60" s="45">
        <v>45733.451388888891</v>
      </c>
      <c r="D60" s="39"/>
      <c r="E60" s="39"/>
      <c r="F60" s="24" t="s">
        <v>82</v>
      </c>
      <c r="G60" s="24">
        <v>10.387</v>
      </c>
      <c r="H60" s="24" t="s">
        <v>83</v>
      </c>
      <c r="I60" s="24">
        <v>1015.3</v>
      </c>
      <c r="J60" s="24" t="s">
        <v>84</v>
      </c>
      <c r="K60" s="24">
        <v>4.4000000000000004</v>
      </c>
      <c r="L60" s="24" t="s">
        <v>85</v>
      </c>
      <c r="M60" s="24">
        <v>66.13</v>
      </c>
      <c r="N60" s="24" t="s">
        <v>86</v>
      </c>
      <c r="O60" s="24">
        <v>63.75</v>
      </c>
      <c r="P60" s="24" t="s">
        <v>87</v>
      </c>
      <c r="Q60" s="24">
        <v>25.09</v>
      </c>
      <c r="R60" s="24" t="s">
        <v>88</v>
      </c>
      <c r="S60" s="24">
        <v>29.85</v>
      </c>
      <c r="T60" s="24" t="s">
        <v>89</v>
      </c>
      <c r="U60" s="24">
        <v>23.19</v>
      </c>
      <c r="V60" s="24" t="s">
        <v>90</v>
      </c>
      <c r="W60" s="24">
        <v>5.13</v>
      </c>
      <c r="X60" s="24" t="s">
        <v>91</v>
      </c>
      <c r="Y60" s="24">
        <v>23</v>
      </c>
      <c r="Z60" s="24" t="s">
        <v>92</v>
      </c>
      <c r="AA60" s="24" t="s">
        <v>96</v>
      </c>
      <c r="AB60" s="24" t="s">
        <v>93</v>
      </c>
      <c r="AC60" s="24">
        <v>25</v>
      </c>
      <c r="AD60" s="24" t="s">
        <v>95</v>
      </c>
      <c r="AE60" s="24">
        <v>36</v>
      </c>
      <c r="AF60" s="24" t="s">
        <v>100</v>
      </c>
      <c r="AG60" s="24">
        <v>2.82</v>
      </c>
      <c r="AH60" s="24" t="s">
        <v>97</v>
      </c>
      <c r="AI60" s="24">
        <f>11.534-G60</f>
        <v>1.1470000000000002</v>
      </c>
      <c r="AJ60" s="24" t="s">
        <v>98</v>
      </c>
      <c r="AK60" s="24">
        <f>10.6103-G60</f>
        <v>0.22330000000000005</v>
      </c>
      <c r="AL60" s="24" t="s">
        <v>99</v>
      </c>
      <c r="AM60" s="24">
        <v>7.4</v>
      </c>
    </row>
    <row r="61" spans="1:51" x14ac:dyDescent="0.3">
      <c r="A61" s="24" t="s">
        <v>171</v>
      </c>
      <c r="B61" s="24" t="s">
        <v>162</v>
      </c>
      <c r="C61" s="45">
        <v>45733.625</v>
      </c>
      <c r="D61" s="39"/>
      <c r="E61" s="39"/>
      <c r="F61" s="24" t="s">
        <v>82</v>
      </c>
      <c r="G61" s="24">
        <v>10.111499999999999</v>
      </c>
      <c r="H61" s="24" t="s">
        <v>83</v>
      </c>
      <c r="I61" s="24">
        <v>1010.8</v>
      </c>
      <c r="J61" s="24" t="s">
        <v>84</v>
      </c>
      <c r="K61" s="24">
        <v>3.3</v>
      </c>
      <c r="L61" s="24" t="s">
        <v>85</v>
      </c>
      <c r="M61" s="24">
        <v>77.5</v>
      </c>
      <c r="N61" s="24" t="s">
        <v>86</v>
      </c>
      <c r="O61" s="24">
        <v>69.819999999999993</v>
      </c>
      <c r="P61" s="24" t="s">
        <v>87</v>
      </c>
      <c r="Q61" s="24">
        <v>23.09</v>
      </c>
      <c r="R61" s="24" t="s">
        <v>88</v>
      </c>
      <c r="S61" s="24" t="s">
        <v>172</v>
      </c>
      <c r="T61" s="24" t="s">
        <v>89</v>
      </c>
      <c r="U61" s="24">
        <v>20.51</v>
      </c>
      <c r="V61" s="24" t="s">
        <v>90</v>
      </c>
      <c r="W61" s="24">
        <v>5.22</v>
      </c>
      <c r="X61" s="24" t="s">
        <v>91</v>
      </c>
      <c r="Y61" s="24">
        <v>22</v>
      </c>
      <c r="Z61" s="24" t="s">
        <v>92</v>
      </c>
      <c r="AA61" s="24">
        <v>2</v>
      </c>
      <c r="AB61" s="24" t="s">
        <v>93</v>
      </c>
      <c r="AC61" s="24">
        <v>20</v>
      </c>
      <c r="AD61" s="24" t="s">
        <v>95</v>
      </c>
      <c r="AE61" s="24" t="s">
        <v>96</v>
      </c>
      <c r="AF61" s="24" t="s">
        <v>100</v>
      </c>
      <c r="AG61" s="24">
        <v>2.71</v>
      </c>
      <c r="AH61" s="24" t="s">
        <v>97</v>
      </c>
      <c r="AI61" s="24">
        <f>12.3544-G61</f>
        <v>2.2429000000000006</v>
      </c>
      <c r="AJ61" s="24" t="s">
        <v>98</v>
      </c>
      <c r="AK61" s="24">
        <f>10.6703-G61</f>
        <v>0.55879999999999974</v>
      </c>
      <c r="AL61" s="24" t="s">
        <v>99</v>
      </c>
      <c r="AM61" s="24">
        <v>3.4</v>
      </c>
    </row>
    <row r="62" spans="1:51" x14ac:dyDescent="0.3">
      <c r="A62" s="24" t="s">
        <v>173</v>
      </c>
      <c r="B62" s="24" t="s">
        <v>162</v>
      </c>
      <c r="C62" s="45">
        <v>45734.430555555555</v>
      </c>
      <c r="D62" s="39"/>
      <c r="E62" s="39"/>
      <c r="F62" s="24" t="s">
        <v>82</v>
      </c>
      <c r="G62" s="24">
        <v>10.3893</v>
      </c>
      <c r="H62" s="24" t="s">
        <v>83</v>
      </c>
      <c r="I62" s="24">
        <v>1003.5</v>
      </c>
      <c r="J62" s="24" t="s">
        <v>84</v>
      </c>
      <c r="K62" s="24">
        <v>1.5</v>
      </c>
      <c r="L62" s="24" t="s">
        <v>85</v>
      </c>
      <c r="M62" s="24">
        <v>64.36</v>
      </c>
      <c r="N62" s="24" t="s">
        <v>86</v>
      </c>
      <c r="O62" s="24">
        <v>60.83</v>
      </c>
      <c r="P62" s="24" t="s">
        <v>87</v>
      </c>
      <c r="Q62" s="24">
        <v>19.690000000000001</v>
      </c>
      <c r="R62" s="24" t="s">
        <v>88</v>
      </c>
      <c r="S62" s="24">
        <v>5.33</v>
      </c>
      <c r="T62" s="24" t="s">
        <v>89</v>
      </c>
      <c r="U62" s="24">
        <v>22.07</v>
      </c>
      <c r="V62" s="24" t="s">
        <v>90</v>
      </c>
      <c r="W62" s="24">
        <v>5.3</v>
      </c>
      <c r="X62" s="24" t="s">
        <v>91</v>
      </c>
      <c r="Z62" s="24" t="s">
        <v>92</v>
      </c>
      <c r="AB62" s="24" t="s">
        <v>93</v>
      </c>
      <c r="AD62" s="24" t="s">
        <v>95</v>
      </c>
      <c r="AE62" s="24">
        <v>36</v>
      </c>
      <c r="AF62" s="24" t="s">
        <v>100</v>
      </c>
      <c r="AG62" s="24">
        <v>2.65</v>
      </c>
      <c r="AH62" s="24" t="s">
        <v>97</v>
      </c>
      <c r="AI62" s="24">
        <f>11.0266-G62</f>
        <v>0.63729999999999976</v>
      </c>
      <c r="AJ62" s="24" t="s">
        <v>98</v>
      </c>
      <c r="AK62" s="24">
        <f>10.3275-G62</f>
        <v>-6.1799999999999855E-2</v>
      </c>
      <c r="AL62" s="24" t="s">
        <v>99</v>
      </c>
      <c r="AM62" s="24">
        <v>4.3999999999999995</v>
      </c>
    </row>
    <row r="63" spans="1:51" x14ac:dyDescent="0.3">
      <c r="A63" s="24" t="s">
        <v>174</v>
      </c>
      <c r="B63" s="24" t="s">
        <v>162</v>
      </c>
      <c r="C63" s="45">
        <v>45734.631944444445</v>
      </c>
      <c r="D63" s="39"/>
      <c r="E63" s="39"/>
      <c r="F63" s="24" t="s">
        <v>82</v>
      </c>
      <c r="G63" s="24">
        <v>10.315</v>
      </c>
      <c r="H63" s="24" t="s">
        <v>83</v>
      </c>
      <c r="I63" s="24">
        <v>1002.2</v>
      </c>
      <c r="J63" s="24" t="s">
        <v>84</v>
      </c>
      <c r="K63" s="24">
        <v>1.2</v>
      </c>
      <c r="L63" s="24" t="s">
        <v>85</v>
      </c>
      <c r="M63" s="24">
        <v>68.36</v>
      </c>
      <c r="N63" s="24" t="s">
        <v>86</v>
      </c>
      <c r="O63" s="24">
        <v>58.76</v>
      </c>
      <c r="P63" s="24" t="s">
        <v>87</v>
      </c>
      <c r="Q63" s="24">
        <v>18.309999999999999</v>
      </c>
      <c r="R63" s="24" t="s">
        <v>88</v>
      </c>
      <c r="S63" s="24">
        <v>2.1</v>
      </c>
      <c r="T63" s="24" t="s">
        <v>89</v>
      </c>
      <c r="U63" s="24">
        <v>2.21</v>
      </c>
      <c r="V63" s="24" t="s">
        <v>90</v>
      </c>
      <c r="W63" s="24">
        <v>5.51</v>
      </c>
      <c r="X63" s="24" t="s">
        <v>91</v>
      </c>
      <c r="Z63" s="24" t="s">
        <v>92</v>
      </c>
      <c r="AB63" s="24" t="s">
        <v>93</v>
      </c>
      <c r="AD63" s="24" t="s">
        <v>95</v>
      </c>
      <c r="AE63" s="24">
        <v>28</v>
      </c>
      <c r="AF63" s="24" t="s">
        <v>100</v>
      </c>
      <c r="AG63" s="24">
        <v>2.66</v>
      </c>
      <c r="AH63" s="24" t="s">
        <v>97</v>
      </c>
      <c r="AI63" s="24">
        <f>12.329-G63</f>
        <v>2.0140000000000011</v>
      </c>
      <c r="AJ63" s="24" t="s">
        <v>98</v>
      </c>
      <c r="AK63" s="24">
        <f>10.585-G63</f>
        <v>0.27000000000000135</v>
      </c>
      <c r="AL63" s="24" t="s">
        <v>99</v>
      </c>
      <c r="AM63" s="24">
        <v>5.7999999999999989</v>
      </c>
    </row>
    <row r="64" spans="1:51" x14ac:dyDescent="0.3">
      <c r="A64" s="24" t="s">
        <v>175</v>
      </c>
      <c r="B64" s="24" t="s">
        <v>162</v>
      </c>
      <c r="C64" s="45">
        <v>45735.385416666664</v>
      </c>
      <c r="D64" s="39"/>
      <c r="E64" s="39"/>
      <c r="F64" s="24" t="s">
        <v>82</v>
      </c>
      <c r="G64" s="24">
        <v>10.267899999999999</v>
      </c>
      <c r="H64" s="24" t="s">
        <v>83</v>
      </c>
      <c r="I64" s="24">
        <v>997.4</v>
      </c>
      <c r="J64" s="24" t="s">
        <v>84</v>
      </c>
      <c r="K64" s="24">
        <v>0.1</v>
      </c>
      <c r="L64" s="24" t="s">
        <v>85</v>
      </c>
      <c r="M64" s="24">
        <v>108.22</v>
      </c>
      <c r="N64" s="24" t="s">
        <v>86</v>
      </c>
      <c r="O64" s="24">
        <v>99.31</v>
      </c>
      <c r="P64" s="24" t="s">
        <v>87</v>
      </c>
      <c r="Q64" s="24">
        <v>13.44</v>
      </c>
      <c r="R64" s="24" t="s">
        <v>88</v>
      </c>
      <c r="S64" s="24">
        <f>19.28-U64</f>
        <v>15.150000000000002</v>
      </c>
      <c r="T64" s="24" t="s">
        <v>89</v>
      </c>
      <c r="U64" s="24">
        <v>4.13</v>
      </c>
      <c r="V64" s="24" t="s">
        <v>90</v>
      </c>
      <c r="W64" s="24">
        <v>5.9</v>
      </c>
      <c r="X64" s="24" t="s">
        <v>91</v>
      </c>
      <c r="Z64" s="24" t="s">
        <v>92</v>
      </c>
      <c r="AB64" s="24" t="s">
        <v>93</v>
      </c>
      <c r="AD64" s="24" t="s">
        <v>95</v>
      </c>
      <c r="AE64" s="24">
        <v>30</v>
      </c>
      <c r="AF64" s="24" t="s">
        <v>100</v>
      </c>
      <c r="AG64" s="24">
        <v>2.69</v>
      </c>
      <c r="AH64" s="24" t="s">
        <v>97</v>
      </c>
      <c r="AI64" s="24">
        <f>11.2354-G64</f>
        <v>0.96750000000000114</v>
      </c>
      <c r="AJ64" s="24" t="s">
        <v>98</v>
      </c>
      <c r="AK64" s="24">
        <f>10.4932-G64</f>
        <v>0.22530000000000072</v>
      </c>
      <c r="AL64" s="24" t="s">
        <v>99</v>
      </c>
      <c r="AM64" s="24">
        <v>7.2</v>
      </c>
    </row>
    <row r="65" spans="1:51" x14ac:dyDescent="0.3">
      <c r="A65" s="24" t="s">
        <v>176</v>
      </c>
      <c r="B65" s="24" t="s">
        <v>162</v>
      </c>
      <c r="C65" s="45">
        <v>45737.416666666664</v>
      </c>
      <c r="D65" s="39"/>
      <c r="E65" s="39"/>
      <c r="F65" s="24" t="s">
        <v>82</v>
      </c>
      <c r="G65" s="24">
        <v>10.641500000000001</v>
      </c>
      <c r="H65" s="24" t="s">
        <v>83</v>
      </c>
      <c r="I65" s="24">
        <v>994.6</v>
      </c>
      <c r="J65" s="24" t="s">
        <v>84</v>
      </c>
      <c r="K65" s="24">
        <v>-1</v>
      </c>
      <c r="L65" s="24" t="s">
        <v>85</v>
      </c>
      <c r="M65" s="24">
        <v>68.739999999999995</v>
      </c>
      <c r="N65" s="24" t="s">
        <v>86</v>
      </c>
      <c r="O65" s="24">
        <v>56.84</v>
      </c>
      <c r="P65" s="24" t="s">
        <v>87</v>
      </c>
      <c r="Q65" s="24">
        <v>12.4</v>
      </c>
      <c r="R65" s="24" t="s">
        <v>88</v>
      </c>
      <c r="S65" s="24">
        <v>2.23</v>
      </c>
      <c r="T65" s="24" t="s">
        <v>89</v>
      </c>
      <c r="U65" s="24" t="s">
        <v>96</v>
      </c>
      <c r="V65" s="24" t="s">
        <v>90</v>
      </c>
      <c r="W65" s="24">
        <v>4.82</v>
      </c>
      <c r="X65" s="24" t="s">
        <v>91</v>
      </c>
      <c r="Y65" s="24">
        <v>20</v>
      </c>
      <c r="Z65" s="24" t="s">
        <v>92</v>
      </c>
      <c r="AA65" s="24">
        <v>3</v>
      </c>
      <c r="AB65" s="24" t="s">
        <v>93</v>
      </c>
      <c r="AC65" s="24">
        <v>18</v>
      </c>
      <c r="AD65" s="24" t="s">
        <v>94</v>
      </c>
      <c r="AE65" s="24">
        <v>0.46</v>
      </c>
      <c r="AF65" s="24" t="s">
        <v>95</v>
      </c>
      <c r="AG65" s="24">
        <v>23</v>
      </c>
      <c r="AH65" s="24" t="s">
        <v>97</v>
      </c>
      <c r="AJ65" s="24" t="s">
        <v>98</v>
      </c>
      <c r="AK65" s="24">
        <f>10.7243-G65</f>
        <v>8.2799999999998875E-2</v>
      </c>
      <c r="AL65" s="24" t="s">
        <v>99</v>
      </c>
      <c r="AM65" s="41">
        <v>5.85</v>
      </c>
      <c r="AN65" s="24" t="s">
        <v>100</v>
      </c>
      <c r="AO65" s="24">
        <v>2.27</v>
      </c>
      <c r="AP65" s="24" t="s">
        <v>101</v>
      </c>
      <c r="AQ65" s="24">
        <v>3.69</v>
      </c>
      <c r="AR65" s="24" t="s">
        <v>102</v>
      </c>
      <c r="AS65" s="24">
        <v>187</v>
      </c>
      <c r="AT65" s="24" t="s">
        <v>103</v>
      </c>
      <c r="AU65" s="24">
        <v>2.8</v>
      </c>
      <c r="AV65" s="24" t="s">
        <v>104</v>
      </c>
      <c r="AW65" s="24">
        <v>2</v>
      </c>
      <c r="AX65" s="24" t="s">
        <v>105</v>
      </c>
      <c r="AY65" s="24">
        <v>98</v>
      </c>
    </row>
    <row r="66" spans="1:51" x14ac:dyDescent="0.3">
      <c r="A66" s="24" t="s">
        <v>177</v>
      </c>
      <c r="B66" s="24" t="s">
        <v>178</v>
      </c>
      <c r="C66" s="45">
        <v>45741.770833333336</v>
      </c>
      <c r="D66" s="39"/>
      <c r="E66" s="39"/>
      <c r="F66" s="24" t="s">
        <v>82</v>
      </c>
      <c r="G66" s="24">
        <v>11.578200000000001</v>
      </c>
      <c r="H66" s="24" t="s">
        <v>83</v>
      </c>
      <c r="I66" s="24">
        <v>1061.0999999999999</v>
      </c>
      <c r="J66" s="24" t="s">
        <v>84</v>
      </c>
      <c r="K66" s="24">
        <v>15.4</v>
      </c>
      <c r="L66" s="24" t="s">
        <v>85</v>
      </c>
      <c r="M66" s="24">
        <v>12.67</v>
      </c>
      <c r="N66" s="24" t="s">
        <v>86</v>
      </c>
      <c r="O66" s="24">
        <v>4.84</v>
      </c>
      <c r="P66" s="24" t="s">
        <v>87</v>
      </c>
      <c r="Q66" s="24">
        <v>38.18</v>
      </c>
      <c r="R66" s="24" t="s">
        <v>88</v>
      </c>
      <c r="T66" s="24" t="s">
        <v>89</v>
      </c>
      <c r="V66" s="24" t="s">
        <v>90</v>
      </c>
      <c r="X66" s="24" t="s">
        <v>91</v>
      </c>
      <c r="Z66" s="24" t="s">
        <v>92</v>
      </c>
      <c r="AB66" s="24" t="s">
        <v>93</v>
      </c>
      <c r="AD66" s="24" t="s">
        <v>94</v>
      </c>
      <c r="AF66" s="24" t="s">
        <v>95</v>
      </c>
      <c r="AH66" s="24" t="s">
        <v>97</v>
      </c>
      <c r="AI66" s="24">
        <f>13.3602-G66</f>
        <v>1.782</v>
      </c>
      <c r="AJ66" s="24" t="s">
        <v>98</v>
      </c>
      <c r="AK66" s="24">
        <f>11.856-G66</f>
        <v>0.27779999999999916</v>
      </c>
      <c r="AL66" s="24" t="s">
        <v>99</v>
      </c>
      <c r="AM66" s="24">
        <v>0</v>
      </c>
      <c r="AN66" s="24" t="s">
        <v>100</v>
      </c>
      <c r="AP66" s="24" t="s">
        <v>101</v>
      </c>
      <c r="AR66" s="24" t="s">
        <v>102</v>
      </c>
      <c r="AT66" s="24" t="s">
        <v>103</v>
      </c>
      <c r="AV66" s="24" t="s">
        <v>104</v>
      </c>
      <c r="AX66" s="24" t="s">
        <v>105</v>
      </c>
    </row>
    <row r="67" spans="1:51" x14ac:dyDescent="0.3">
      <c r="A67" s="24" t="s">
        <v>179</v>
      </c>
      <c r="B67" s="24" t="s">
        <v>178</v>
      </c>
      <c r="C67" s="45">
        <v>45742.416666666664</v>
      </c>
      <c r="D67" s="39"/>
      <c r="E67" s="39"/>
      <c r="F67" s="24" t="s">
        <v>82</v>
      </c>
      <c r="G67" s="24">
        <v>10.3157</v>
      </c>
      <c r="H67" s="24" t="s">
        <v>83</v>
      </c>
      <c r="I67" s="24">
        <v>1059.8</v>
      </c>
      <c r="J67" s="24" t="s">
        <v>84</v>
      </c>
      <c r="K67" s="24">
        <v>15.1</v>
      </c>
      <c r="L67" s="24" t="s">
        <v>85</v>
      </c>
      <c r="M67" s="24">
        <v>22.43</v>
      </c>
      <c r="N67" s="24" t="s">
        <v>86</v>
      </c>
      <c r="O67" s="24">
        <v>14.98</v>
      </c>
      <c r="P67" s="24" t="s">
        <v>87</v>
      </c>
      <c r="Q67" s="24">
        <v>19.18</v>
      </c>
      <c r="R67" s="24" t="s">
        <v>88</v>
      </c>
      <c r="T67" s="24" t="s">
        <v>89</v>
      </c>
      <c r="V67" s="24" t="s">
        <v>90</v>
      </c>
      <c r="W67" s="24">
        <v>3.16</v>
      </c>
      <c r="X67" s="24" t="s">
        <v>91</v>
      </c>
      <c r="Y67" s="24">
        <v>94</v>
      </c>
      <c r="Z67" s="24" t="s">
        <v>92</v>
      </c>
      <c r="AA67" s="24">
        <v>37</v>
      </c>
      <c r="AB67" s="24" t="s">
        <v>93</v>
      </c>
      <c r="AC67" s="24">
        <v>63</v>
      </c>
      <c r="AD67" s="24" t="s">
        <v>95</v>
      </c>
      <c r="AE67" s="24">
        <v>29</v>
      </c>
      <c r="AF67" s="24" t="s">
        <v>100</v>
      </c>
      <c r="AG67" s="24">
        <v>3.14</v>
      </c>
      <c r="AH67" s="24" t="s">
        <v>97</v>
      </c>
      <c r="AI67" s="24">
        <f>11.0366-G67</f>
        <v>0.72090000000000032</v>
      </c>
      <c r="AJ67" s="24" t="s">
        <v>98</v>
      </c>
      <c r="AK67" s="24">
        <f>10.4363-G67</f>
        <v>0.1205999999999996</v>
      </c>
      <c r="AL67" s="24" t="s">
        <v>99</v>
      </c>
      <c r="AM67" s="24">
        <v>1.2000000000000002</v>
      </c>
      <c r="AN67" s="24" t="s">
        <v>180</v>
      </c>
      <c r="AO67" s="24">
        <v>186</v>
      </c>
    </row>
    <row r="68" spans="1:51" x14ac:dyDescent="0.3">
      <c r="A68" s="24" t="s">
        <v>181</v>
      </c>
      <c r="B68" s="24" t="s">
        <v>178</v>
      </c>
      <c r="C68" s="45">
        <v>45746.6875</v>
      </c>
      <c r="D68" s="39"/>
      <c r="E68" s="39"/>
      <c r="F68" s="24" t="s">
        <v>82</v>
      </c>
      <c r="G68" s="24">
        <v>10.3438</v>
      </c>
      <c r="H68" s="24" t="s">
        <v>83</v>
      </c>
      <c r="I68" s="24">
        <v>1010.4</v>
      </c>
      <c r="J68" s="24" t="s">
        <v>84</v>
      </c>
      <c r="K68" s="24">
        <v>3.2</v>
      </c>
      <c r="L68" s="24" t="s">
        <v>85</v>
      </c>
      <c r="M68" s="24">
        <v>84.87</v>
      </c>
      <c r="N68" s="24" t="s">
        <v>86</v>
      </c>
      <c r="O68" s="24">
        <v>72.81</v>
      </c>
      <c r="P68" s="24" t="s">
        <v>87</v>
      </c>
      <c r="Q68" s="24">
        <v>13.57</v>
      </c>
      <c r="R68" s="24" t="s">
        <v>88</v>
      </c>
      <c r="S68" s="24">
        <v>25.83</v>
      </c>
      <c r="T68" s="24" t="s">
        <v>89</v>
      </c>
      <c r="U68" s="24">
        <v>9.69</v>
      </c>
      <c r="V68" s="24" t="s">
        <v>90</v>
      </c>
      <c r="W68" s="24">
        <v>6.17</v>
      </c>
      <c r="X68" s="24" t="s">
        <v>91</v>
      </c>
      <c r="Z68" s="24" t="s">
        <v>92</v>
      </c>
      <c r="AB68" s="24" t="s">
        <v>93</v>
      </c>
      <c r="AD68" s="24" t="s">
        <v>95</v>
      </c>
      <c r="AE68" s="24">
        <v>55</v>
      </c>
      <c r="AF68" s="24" t="s">
        <v>100</v>
      </c>
      <c r="AG68" s="24">
        <v>2.5</v>
      </c>
      <c r="AH68" s="24" t="s">
        <v>97</v>
      </c>
      <c r="AI68" s="24">
        <f>12.4307-G68</f>
        <v>2.0869</v>
      </c>
      <c r="AJ68" s="24" t="s">
        <v>98</v>
      </c>
      <c r="AK68" s="24">
        <f>10.6473-G68</f>
        <v>0.30349999999999966</v>
      </c>
      <c r="AL68" s="24" t="s">
        <v>99</v>
      </c>
      <c r="AM68" s="24">
        <v>5.6999999999999993</v>
      </c>
      <c r="AN68" s="24" t="s">
        <v>180</v>
      </c>
      <c r="AO68" s="24">
        <v>176</v>
      </c>
    </row>
    <row r="69" spans="1:51" x14ac:dyDescent="0.3">
      <c r="A69" s="24" t="s">
        <v>182</v>
      </c>
      <c r="B69" s="24" t="s">
        <v>178</v>
      </c>
      <c r="C69" s="45">
        <v>45747.416666666664</v>
      </c>
      <c r="D69" s="39"/>
      <c r="E69" s="39"/>
      <c r="F69" s="24" t="s">
        <v>82</v>
      </c>
      <c r="G69" s="24">
        <v>10.5535</v>
      </c>
      <c r="H69" s="24" t="s">
        <v>83</v>
      </c>
      <c r="I69" s="24">
        <v>1005.7</v>
      </c>
      <c r="J69" s="24" t="s">
        <v>84</v>
      </c>
      <c r="K69" s="24">
        <v>2</v>
      </c>
      <c r="L69" s="24" t="s">
        <v>85</v>
      </c>
      <c r="M69" s="24">
        <v>50.84</v>
      </c>
      <c r="N69" s="24" t="s">
        <v>86</v>
      </c>
      <c r="O69" s="24">
        <v>50</v>
      </c>
      <c r="P69" s="24" t="s">
        <v>87</v>
      </c>
      <c r="Q69" s="24">
        <v>18.88</v>
      </c>
      <c r="R69" s="24" t="s">
        <v>88</v>
      </c>
      <c r="T69" s="24" t="s">
        <v>89</v>
      </c>
      <c r="V69" s="24" t="s">
        <v>90</v>
      </c>
      <c r="W69" s="24">
        <v>6.33</v>
      </c>
      <c r="X69" s="24" t="s">
        <v>91</v>
      </c>
      <c r="Y69" s="24">
        <v>12</v>
      </c>
      <c r="Z69" s="24" t="s">
        <v>92</v>
      </c>
      <c r="AA69" s="24">
        <v>1</v>
      </c>
      <c r="AB69" s="24" t="s">
        <v>93</v>
      </c>
      <c r="AC69" s="24">
        <v>11</v>
      </c>
      <c r="AD69" s="24" t="s">
        <v>95</v>
      </c>
      <c r="AE69" s="24">
        <v>61</v>
      </c>
      <c r="AF69" s="24" t="s">
        <v>100</v>
      </c>
      <c r="AG69" s="24">
        <v>2.57</v>
      </c>
      <c r="AH69" s="24" t="s">
        <v>97</v>
      </c>
      <c r="AI69" s="24">
        <f>11.4852-G69</f>
        <v>0.93170000000000108</v>
      </c>
      <c r="AJ69" s="24" t="s">
        <v>98</v>
      </c>
      <c r="AK69" s="24">
        <f>10.7428-G69</f>
        <v>0.18930000000000113</v>
      </c>
      <c r="AL69" s="24" t="s">
        <v>99</v>
      </c>
      <c r="AM69" s="24">
        <v>6.45</v>
      </c>
      <c r="AN69" s="24" t="s">
        <v>180</v>
      </c>
      <c r="AO69" s="24">
        <v>177</v>
      </c>
    </row>
    <row r="70" spans="1:51" x14ac:dyDescent="0.3">
      <c r="A70" s="24" t="s">
        <v>183</v>
      </c>
      <c r="B70" s="24" t="s">
        <v>178</v>
      </c>
      <c r="C70" s="45">
        <v>45747.680555555555</v>
      </c>
      <c r="D70" s="39">
        <v>35.1</v>
      </c>
      <c r="E70" s="39">
        <v>21.9</v>
      </c>
      <c r="F70" s="24" t="s">
        <v>82</v>
      </c>
      <c r="G70" s="24">
        <v>10.583</v>
      </c>
      <c r="H70" s="24" t="s">
        <v>83</v>
      </c>
      <c r="I70" s="24">
        <v>1003.9</v>
      </c>
      <c r="J70" s="24" t="s">
        <v>84</v>
      </c>
      <c r="K70" s="24">
        <v>1.6</v>
      </c>
      <c r="L70" s="24" t="s">
        <v>85</v>
      </c>
      <c r="M70" s="24">
        <v>55.61</v>
      </c>
      <c r="N70" s="24" t="s">
        <v>86</v>
      </c>
      <c r="O70" s="24">
        <v>53</v>
      </c>
      <c r="P70" s="24" t="s">
        <v>87</v>
      </c>
      <c r="Q70" s="24">
        <v>16.3</v>
      </c>
      <c r="R70" s="24" t="s">
        <v>88</v>
      </c>
      <c r="T70" s="24" t="s">
        <v>89</v>
      </c>
      <c r="V70" s="24" t="s">
        <v>90</v>
      </c>
      <c r="W70" s="24">
        <v>6.42</v>
      </c>
      <c r="X70" s="24" t="s">
        <v>91</v>
      </c>
      <c r="Y70" s="24">
        <v>14</v>
      </c>
      <c r="Z70" s="24" t="s">
        <v>92</v>
      </c>
      <c r="AA70" s="24">
        <v>4</v>
      </c>
      <c r="AB70" s="24" t="s">
        <v>93</v>
      </c>
      <c r="AC70" s="24">
        <v>10</v>
      </c>
      <c r="AD70" s="24" t="s">
        <v>95</v>
      </c>
      <c r="AE70" s="24">
        <v>61</v>
      </c>
      <c r="AF70" s="24" t="s">
        <v>100</v>
      </c>
      <c r="AG70" s="24">
        <v>2.93</v>
      </c>
      <c r="AH70" s="24" t="s">
        <v>97</v>
      </c>
      <c r="AI70" s="24">
        <f>11.5093-G70</f>
        <v>0.92629999999999946</v>
      </c>
      <c r="AJ70" s="24" t="s">
        <v>98</v>
      </c>
      <c r="AK70" s="24">
        <f>10.7533-G70</f>
        <v>0.17029999999999923</v>
      </c>
      <c r="AL70" s="24" t="s">
        <v>99</v>
      </c>
      <c r="AM70" s="24">
        <v>6.45</v>
      </c>
      <c r="AN70" s="24" t="s">
        <v>180</v>
      </c>
      <c r="AO70" s="24">
        <v>178</v>
      </c>
    </row>
    <row r="71" spans="1:51" x14ac:dyDescent="0.3">
      <c r="A71" s="24" t="s">
        <v>184</v>
      </c>
      <c r="B71" s="24" t="s">
        <v>178</v>
      </c>
      <c r="C71" s="45">
        <v>45748.375</v>
      </c>
      <c r="D71" s="39"/>
      <c r="E71" s="39"/>
      <c r="F71" s="24" t="s">
        <v>82</v>
      </c>
      <c r="G71" s="24">
        <v>10.421799999999999</v>
      </c>
      <c r="H71" s="24" t="s">
        <v>83</v>
      </c>
      <c r="I71" s="24">
        <v>1001.9</v>
      </c>
      <c r="J71" s="24" t="s">
        <v>84</v>
      </c>
      <c r="K71" s="24">
        <v>0.9</v>
      </c>
      <c r="L71" s="24" t="s">
        <v>85</v>
      </c>
      <c r="M71" s="24">
        <v>53.84</v>
      </c>
      <c r="N71" s="24" t="s">
        <v>86</v>
      </c>
      <c r="O71" s="24">
        <v>51.54</v>
      </c>
      <c r="P71" s="24" t="s">
        <v>87</v>
      </c>
      <c r="Q71" s="24">
        <v>10.7</v>
      </c>
      <c r="R71" s="24" t="s">
        <v>88</v>
      </c>
      <c r="T71" s="24" t="s">
        <v>89</v>
      </c>
      <c r="V71" s="24" t="s">
        <v>90</v>
      </c>
      <c r="W71" s="24">
        <v>6.45</v>
      </c>
      <c r="X71" s="24" t="s">
        <v>91</v>
      </c>
      <c r="Y71" s="24">
        <v>15</v>
      </c>
      <c r="Z71" s="24" t="s">
        <v>92</v>
      </c>
      <c r="AA71" s="24">
        <v>5</v>
      </c>
      <c r="AB71" s="24" t="s">
        <v>93</v>
      </c>
      <c r="AC71" s="24">
        <v>11</v>
      </c>
      <c r="AD71" s="24" t="s">
        <v>95</v>
      </c>
      <c r="AE71" s="24">
        <v>46</v>
      </c>
      <c r="AF71" s="24" t="s">
        <v>100</v>
      </c>
      <c r="AG71" s="24">
        <v>2.66</v>
      </c>
      <c r="AH71" s="24" t="s">
        <v>97</v>
      </c>
      <c r="AI71" s="24">
        <f>11.1932-G71</f>
        <v>0.77139999999999986</v>
      </c>
      <c r="AJ71" s="24" t="s">
        <v>98</v>
      </c>
      <c r="AK71" s="24">
        <f>10.5367-G71</f>
        <v>0.11490000000000045</v>
      </c>
      <c r="AL71" s="24" t="s">
        <v>99</v>
      </c>
      <c r="AM71" s="24">
        <v>8.5</v>
      </c>
      <c r="AN71" s="24" t="s">
        <v>180</v>
      </c>
      <c r="AO71" s="24">
        <v>180</v>
      </c>
    </row>
    <row r="72" spans="1:51" x14ac:dyDescent="0.3">
      <c r="A72" s="24" t="s">
        <v>185</v>
      </c>
      <c r="B72" s="24" t="s">
        <v>178</v>
      </c>
      <c r="C72" s="45">
        <v>45748.625</v>
      </c>
      <c r="D72" s="39"/>
      <c r="E72" s="39"/>
      <c r="F72" s="24" t="s">
        <v>82</v>
      </c>
      <c r="G72" s="24">
        <v>10.3058</v>
      </c>
      <c r="H72" s="24" t="s">
        <v>83</v>
      </c>
      <c r="I72" s="24">
        <v>999.9</v>
      </c>
      <c r="J72" s="24" t="s">
        <v>84</v>
      </c>
      <c r="K72" s="24">
        <v>0.6</v>
      </c>
      <c r="L72" s="24" t="s">
        <v>85</v>
      </c>
      <c r="M72" s="24">
        <v>43.78</v>
      </c>
      <c r="N72" s="24" t="s">
        <v>86</v>
      </c>
      <c r="O72" s="24">
        <v>43.09</v>
      </c>
      <c r="P72" s="24" t="s">
        <v>87</v>
      </c>
      <c r="Q72" s="24">
        <v>19.3</v>
      </c>
      <c r="R72" s="24" t="s">
        <v>88</v>
      </c>
      <c r="T72" s="24" t="s">
        <v>89</v>
      </c>
      <c r="V72" s="24" t="s">
        <v>90</v>
      </c>
      <c r="W72" s="24">
        <v>6.52</v>
      </c>
      <c r="X72" s="24" t="s">
        <v>91</v>
      </c>
      <c r="Y72" s="24">
        <v>13</v>
      </c>
      <c r="Z72" s="24" t="s">
        <v>92</v>
      </c>
      <c r="AA72" s="24">
        <v>3</v>
      </c>
      <c r="AB72" s="24" t="s">
        <v>93</v>
      </c>
      <c r="AC72" s="24">
        <v>11</v>
      </c>
      <c r="AD72" s="24" t="s">
        <v>95</v>
      </c>
      <c r="AE72" s="24">
        <v>53</v>
      </c>
      <c r="AF72" s="24" t="s">
        <v>100</v>
      </c>
      <c r="AG72" s="24">
        <v>2.62</v>
      </c>
      <c r="AH72" s="24" t="s">
        <v>97</v>
      </c>
      <c r="AI72" s="24">
        <f>11.1733-G72</f>
        <v>0.86749999999999972</v>
      </c>
      <c r="AJ72" s="24" t="s">
        <v>98</v>
      </c>
      <c r="AK72" s="24">
        <f>10.602-G72</f>
        <v>0.29620000000000068</v>
      </c>
      <c r="AL72" s="24" t="s">
        <v>99</v>
      </c>
      <c r="AM72" s="24">
        <v>9.7000000000000011</v>
      </c>
      <c r="AN72" s="24" t="s">
        <v>180</v>
      </c>
      <c r="AO72" s="24">
        <v>184</v>
      </c>
    </row>
    <row r="73" spans="1:51" x14ac:dyDescent="0.3">
      <c r="A73" s="24" t="s">
        <v>186</v>
      </c>
      <c r="B73" s="24" t="s">
        <v>178</v>
      </c>
      <c r="C73" s="45">
        <v>45749.395833333336</v>
      </c>
      <c r="D73" s="39"/>
      <c r="E73" s="39"/>
      <c r="F73" s="24" t="s">
        <v>82</v>
      </c>
      <c r="G73" s="24">
        <v>10.368600000000001</v>
      </c>
      <c r="H73" s="24" t="s">
        <v>83</v>
      </c>
      <c r="I73" s="24">
        <v>999</v>
      </c>
      <c r="J73" s="24" t="s">
        <v>84</v>
      </c>
      <c r="K73" s="24">
        <v>0.1</v>
      </c>
      <c r="L73" s="24" t="s">
        <v>85</v>
      </c>
      <c r="M73" s="24">
        <v>63.75</v>
      </c>
      <c r="N73" s="24" t="s">
        <v>86</v>
      </c>
      <c r="O73" s="24">
        <v>53.95</v>
      </c>
      <c r="P73" s="24" t="s">
        <v>87</v>
      </c>
      <c r="Q73" s="24">
        <v>10.24</v>
      </c>
      <c r="R73" s="24" t="s">
        <v>88</v>
      </c>
      <c r="S73" s="24">
        <v>9.1300000000000008</v>
      </c>
      <c r="T73" s="24" t="s">
        <v>89</v>
      </c>
      <c r="U73" s="24">
        <v>1.45</v>
      </c>
      <c r="V73" s="24" t="s">
        <v>90</v>
      </c>
      <c r="W73" s="24">
        <v>6.69</v>
      </c>
      <c r="X73" s="24" t="s">
        <v>91</v>
      </c>
      <c r="Y73" s="24">
        <v>14</v>
      </c>
      <c r="Z73" s="24" t="s">
        <v>92</v>
      </c>
      <c r="AA73" s="24">
        <v>5</v>
      </c>
      <c r="AB73" s="24" t="s">
        <v>93</v>
      </c>
      <c r="AC73" s="24">
        <v>10</v>
      </c>
      <c r="AD73" s="24" t="s">
        <v>95</v>
      </c>
      <c r="AE73" s="24">
        <v>50</v>
      </c>
      <c r="AF73" s="24" t="s">
        <v>100</v>
      </c>
      <c r="AG73" s="24">
        <v>2.67</v>
      </c>
      <c r="AH73" s="24" t="s">
        <v>97</v>
      </c>
      <c r="AI73" s="24">
        <f>11.4823-G73</f>
        <v>1.1136999999999997</v>
      </c>
      <c r="AJ73" s="24" t="s">
        <v>98</v>
      </c>
      <c r="AK73" s="24">
        <f>10.6019-G73</f>
        <v>0.23329999999999984</v>
      </c>
      <c r="AL73" s="24" t="s">
        <v>99</v>
      </c>
      <c r="AM73" s="24">
        <v>9.7000000000000011</v>
      </c>
      <c r="AN73" s="24" t="s">
        <v>180</v>
      </c>
      <c r="AO73" s="24">
        <v>174</v>
      </c>
    </row>
    <row r="74" spans="1:51" x14ac:dyDescent="0.3">
      <c r="A74" s="24" t="s">
        <v>187</v>
      </c>
      <c r="B74" s="24" t="s">
        <v>178</v>
      </c>
      <c r="C74" s="45">
        <v>45749.666666666664</v>
      </c>
      <c r="D74" s="39"/>
      <c r="E74" s="39"/>
      <c r="F74" s="24" t="s">
        <v>82</v>
      </c>
      <c r="G74" s="24">
        <v>11.5398</v>
      </c>
      <c r="H74" s="24" t="s">
        <v>83</v>
      </c>
      <c r="I74" s="24">
        <v>996.2</v>
      </c>
      <c r="J74" s="24" t="s">
        <v>84</v>
      </c>
      <c r="K74" s="24">
        <v>-0.3</v>
      </c>
      <c r="L74" s="24" t="s">
        <v>85</v>
      </c>
      <c r="M74" s="24">
        <v>35.56</v>
      </c>
      <c r="N74" s="24" t="s">
        <v>86</v>
      </c>
      <c r="O74" s="24">
        <v>34.56</v>
      </c>
      <c r="P74" s="24" t="s">
        <v>87</v>
      </c>
      <c r="Q74" s="24">
        <v>19.440000000000001</v>
      </c>
      <c r="R74" s="24" t="s">
        <v>88</v>
      </c>
      <c r="S74" s="24">
        <v>7.61</v>
      </c>
      <c r="T74" s="24" t="s">
        <v>89</v>
      </c>
      <c r="U74" s="24">
        <v>1.41</v>
      </c>
      <c r="V74" s="24" t="s">
        <v>90</v>
      </c>
      <c r="W74" s="24">
        <v>6.31</v>
      </c>
      <c r="X74" s="24" t="s">
        <v>91</v>
      </c>
      <c r="Y74" s="24">
        <v>17</v>
      </c>
      <c r="Z74" s="24" t="s">
        <v>92</v>
      </c>
      <c r="AA74" s="24">
        <v>7</v>
      </c>
      <c r="AB74" s="24" t="s">
        <v>93</v>
      </c>
      <c r="AC74" s="24">
        <v>10</v>
      </c>
      <c r="AD74" s="24" t="s">
        <v>95</v>
      </c>
      <c r="AE74" s="24">
        <v>49</v>
      </c>
      <c r="AF74" s="24" t="s">
        <v>100</v>
      </c>
      <c r="AG74" s="24">
        <v>2.65</v>
      </c>
      <c r="AH74" s="24" t="s">
        <v>97</v>
      </c>
      <c r="AI74" s="24">
        <f>12.2653-G74</f>
        <v>0.72550000000000026</v>
      </c>
      <c r="AJ74" s="24" t="s">
        <v>98</v>
      </c>
      <c r="AK74" s="24">
        <f>11.7378-G74</f>
        <v>0.1980000000000004</v>
      </c>
      <c r="AL74" s="24" t="s">
        <v>99</v>
      </c>
      <c r="AM74" s="24">
        <v>9.7999999999999989</v>
      </c>
      <c r="AN74" s="24" t="s">
        <v>180</v>
      </c>
      <c r="AO74" s="24">
        <v>177</v>
      </c>
    </row>
    <row r="75" spans="1:51" x14ac:dyDescent="0.3">
      <c r="A75" s="24" t="s">
        <v>188</v>
      </c>
      <c r="B75" s="24" t="s">
        <v>178</v>
      </c>
      <c r="C75" s="45">
        <v>45750.416666666664</v>
      </c>
      <c r="D75" s="39"/>
      <c r="E75" s="39"/>
      <c r="F75" s="24" t="s">
        <v>82</v>
      </c>
      <c r="G75" s="24">
        <v>10.3956</v>
      </c>
      <c r="H75" s="24" t="s">
        <v>83</v>
      </c>
      <c r="I75" s="24">
        <v>995.3</v>
      </c>
      <c r="J75" s="24" t="s">
        <v>84</v>
      </c>
      <c r="K75" s="24">
        <v>-0.7</v>
      </c>
      <c r="L75" s="24" t="s">
        <v>85</v>
      </c>
      <c r="M75" s="24">
        <v>44.32</v>
      </c>
      <c r="N75" s="24" t="s">
        <v>86</v>
      </c>
      <c r="O75" s="24">
        <v>44.01</v>
      </c>
      <c r="P75" s="24" t="s">
        <v>87</v>
      </c>
      <c r="Q75" s="24">
        <v>17.850000000000001</v>
      </c>
      <c r="R75" s="24" t="s">
        <v>88</v>
      </c>
      <c r="S75" s="24">
        <v>6.72</v>
      </c>
      <c r="T75" s="24" t="s">
        <v>89</v>
      </c>
      <c r="U75" s="24">
        <v>0.13</v>
      </c>
      <c r="V75" s="24" t="s">
        <v>90</v>
      </c>
      <c r="W75" s="24">
        <v>7.08</v>
      </c>
      <c r="X75" s="24" t="s">
        <v>91</v>
      </c>
      <c r="Z75" s="24" t="s">
        <v>92</v>
      </c>
      <c r="AB75" s="24" t="s">
        <v>93</v>
      </c>
      <c r="AD75" s="24" t="s">
        <v>95</v>
      </c>
      <c r="AE75" s="24">
        <v>49</v>
      </c>
      <c r="AF75" s="24" t="s">
        <v>100</v>
      </c>
      <c r="AG75" s="24">
        <v>2.67</v>
      </c>
      <c r="AH75" s="24" t="s">
        <v>97</v>
      </c>
      <c r="AI75" s="24">
        <f>11.2156-G75</f>
        <v>0.82000000000000028</v>
      </c>
      <c r="AJ75" s="24" t="s">
        <v>98</v>
      </c>
      <c r="AK75" s="24">
        <f>10.5968-G75</f>
        <v>0.20120000000000005</v>
      </c>
      <c r="AL75" s="24" t="s">
        <v>99</v>
      </c>
      <c r="AM75" s="24">
        <v>5.6499999999999995</v>
      </c>
      <c r="AN75" s="24" t="s">
        <v>180</v>
      </c>
      <c r="AO75" s="24">
        <v>180</v>
      </c>
    </row>
    <row r="76" spans="1:51" x14ac:dyDescent="0.3">
      <c r="A76" s="24" t="s">
        <v>189</v>
      </c>
      <c r="B76" s="24" t="s">
        <v>178</v>
      </c>
      <c r="C76" s="45">
        <v>45750.625</v>
      </c>
      <c r="D76" s="39"/>
      <c r="E76" s="39"/>
      <c r="F76" s="24" t="s">
        <v>82</v>
      </c>
      <c r="G76" s="24">
        <v>10.2774</v>
      </c>
      <c r="H76" s="24" t="s">
        <v>83</v>
      </c>
      <c r="I76" s="24">
        <v>993.6</v>
      </c>
      <c r="J76" s="24" t="s">
        <v>84</v>
      </c>
      <c r="K76" s="24">
        <v>-0.9</v>
      </c>
      <c r="L76" s="24" t="s">
        <v>85</v>
      </c>
      <c r="M76" s="24">
        <v>42.47</v>
      </c>
      <c r="N76" s="24" t="s">
        <v>86</v>
      </c>
      <c r="O76" s="24">
        <v>41.63</v>
      </c>
      <c r="P76" s="24" t="s">
        <v>87</v>
      </c>
      <c r="Q76" s="24">
        <v>17.899999999999999</v>
      </c>
      <c r="R76" s="24" t="s">
        <v>88</v>
      </c>
      <c r="S76" s="24">
        <v>6.05</v>
      </c>
      <c r="T76" s="24" t="s">
        <v>89</v>
      </c>
      <c r="U76" s="24">
        <v>0.1</v>
      </c>
      <c r="V76" s="24" t="s">
        <v>90</v>
      </c>
      <c r="W76" s="24">
        <v>6.71</v>
      </c>
      <c r="X76" s="24" t="s">
        <v>91</v>
      </c>
      <c r="Z76" s="24" t="s">
        <v>92</v>
      </c>
      <c r="AB76" s="24" t="s">
        <v>93</v>
      </c>
      <c r="AD76" s="24" t="s">
        <v>95</v>
      </c>
      <c r="AE76" s="24">
        <v>58</v>
      </c>
      <c r="AF76" s="24" t="s">
        <v>100</v>
      </c>
      <c r="AG76" s="24">
        <v>2.7</v>
      </c>
      <c r="AH76" s="24" t="s">
        <v>97</v>
      </c>
      <c r="AI76" s="24">
        <f>11.144-G76</f>
        <v>0.86660000000000004</v>
      </c>
      <c r="AJ76" s="24" t="s">
        <v>98</v>
      </c>
      <c r="AK76" s="24">
        <f>10.5241-G76</f>
        <v>0.24670000000000059</v>
      </c>
      <c r="AL76" s="24" t="s">
        <v>99</v>
      </c>
      <c r="AM76" s="24">
        <v>4.3999999999999995</v>
      </c>
      <c r="AN76" s="24" t="s">
        <v>180</v>
      </c>
      <c r="AO76" s="24">
        <v>181</v>
      </c>
    </row>
    <row r="77" spans="1:51" x14ac:dyDescent="0.3">
      <c r="A77" s="24" t="s">
        <v>190</v>
      </c>
      <c r="B77" s="24" t="s">
        <v>178</v>
      </c>
      <c r="C77" s="45">
        <v>45742.625</v>
      </c>
      <c r="D77" s="39"/>
      <c r="E77" s="39"/>
      <c r="F77" s="24" t="s">
        <v>82</v>
      </c>
      <c r="H77" s="24" t="s">
        <v>83</v>
      </c>
      <c r="I77" s="24">
        <v>1058.2</v>
      </c>
      <c r="J77" s="24" t="s">
        <v>84</v>
      </c>
      <c r="K77" s="24">
        <v>14.6</v>
      </c>
      <c r="L77" s="24" t="s">
        <v>85</v>
      </c>
      <c r="M77" s="24">
        <v>20.66</v>
      </c>
      <c r="N77" s="24" t="s">
        <v>86</v>
      </c>
      <c r="O77" s="24">
        <v>14.06</v>
      </c>
      <c r="P77" s="24" t="s">
        <v>87</v>
      </c>
      <c r="Q77" s="24">
        <v>24.91</v>
      </c>
      <c r="R77" s="24" t="s">
        <v>88</v>
      </c>
      <c r="T77" s="24" t="s">
        <v>89</v>
      </c>
      <c r="V77" s="24" t="s">
        <v>90</v>
      </c>
      <c r="W77" s="24">
        <v>2.75</v>
      </c>
      <c r="X77" s="24" t="s">
        <v>91</v>
      </c>
      <c r="Y77" s="24">
        <v>83</v>
      </c>
      <c r="Z77" s="24" t="s">
        <v>92</v>
      </c>
      <c r="AA77" s="24">
        <v>29</v>
      </c>
      <c r="AB77" s="24" t="s">
        <v>93</v>
      </c>
      <c r="AC77" s="24">
        <v>59</v>
      </c>
      <c r="AD77" s="24" t="s">
        <v>95</v>
      </c>
      <c r="AE77" s="24">
        <v>41</v>
      </c>
      <c r="AF77" s="24" t="s">
        <v>100</v>
      </c>
      <c r="AG77" s="24">
        <v>2.97</v>
      </c>
      <c r="AH77" s="24" t="s">
        <v>97</v>
      </c>
      <c r="AI77" s="24">
        <f>11.9294-G77</f>
        <v>11.929399999999999</v>
      </c>
      <c r="AJ77" s="24" t="s">
        <v>98</v>
      </c>
      <c r="AK77" s="24">
        <f>10.3624-G77</f>
        <v>10.362399999999999</v>
      </c>
      <c r="AL77" s="24" t="s">
        <v>99</v>
      </c>
      <c r="AM77" s="24">
        <v>3.7</v>
      </c>
      <c r="AN77" s="24" t="s">
        <v>180</v>
      </c>
      <c r="AO77" s="24">
        <v>164</v>
      </c>
    </row>
    <row r="78" spans="1:51" x14ac:dyDescent="0.3">
      <c r="A78" s="24" t="s">
        <v>191</v>
      </c>
      <c r="B78" s="24" t="s">
        <v>178</v>
      </c>
      <c r="C78" s="45">
        <v>45742.75</v>
      </c>
      <c r="D78" s="39"/>
      <c r="E78" s="39"/>
      <c r="F78" s="24" t="s">
        <v>82</v>
      </c>
      <c r="G78" s="24">
        <v>10.5975</v>
      </c>
      <c r="H78" s="24" t="s">
        <v>83</v>
      </c>
      <c r="I78" s="24">
        <v>1058.2</v>
      </c>
      <c r="J78" s="24" t="s">
        <v>84</v>
      </c>
      <c r="K78" s="24">
        <v>15</v>
      </c>
      <c r="L78" s="24" t="s">
        <v>85</v>
      </c>
      <c r="M78" s="24">
        <v>28.49</v>
      </c>
      <c r="N78" s="24" t="s">
        <v>86</v>
      </c>
      <c r="O78" s="24">
        <v>21.2</v>
      </c>
      <c r="P78" s="24" t="s">
        <v>87</v>
      </c>
      <c r="Q78" s="24">
        <v>29.11</v>
      </c>
      <c r="R78" s="24" t="s">
        <v>88</v>
      </c>
      <c r="T78" s="24" t="s">
        <v>89</v>
      </c>
      <c r="V78" s="24" t="s">
        <v>90</v>
      </c>
      <c r="W78" s="24">
        <v>2.44</v>
      </c>
      <c r="X78" s="24" t="s">
        <v>91</v>
      </c>
      <c r="Y78" s="24">
        <v>75</v>
      </c>
      <c r="Z78" s="24" t="s">
        <v>92</v>
      </c>
      <c r="AA78" s="24">
        <v>24</v>
      </c>
      <c r="AB78" s="24" t="s">
        <v>93</v>
      </c>
      <c r="AC78" s="24">
        <v>55</v>
      </c>
      <c r="AD78" s="24" t="s">
        <v>95</v>
      </c>
      <c r="AE78" s="24">
        <v>40</v>
      </c>
      <c r="AF78" s="24" t="s">
        <v>100</v>
      </c>
      <c r="AG78" s="24">
        <v>2.86</v>
      </c>
      <c r="AH78" s="24" t="s">
        <v>97</v>
      </c>
      <c r="AI78" s="24">
        <f>10.8952-G78</f>
        <v>0.29770000000000074</v>
      </c>
      <c r="AJ78" s="24" t="s">
        <v>98</v>
      </c>
      <c r="AK78" s="24">
        <f>10.6216-G78</f>
        <v>2.4100000000000676E-2</v>
      </c>
      <c r="AL78" s="24" t="s">
        <v>99</v>
      </c>
      <c r="AM78" s="24">
        <v>1.3499999999999999</v>
      </c>
      <c r="AN78" s="24" t="s">
        <v>180</v>
      </c>
      <c r="AO78" s="24">
        <v>169</v>
      </c>
    </row>
    <row r="79" spans="1:51" x14ac:dyDescent="0.3">
      <c r="A79" s="24" t="s">
        <v>192</v>
      </c>
      <c r="B79" s="24" t="s">
        <v>178</v>
      </c>
      <c r="C79" s="45">
        <v>45743.416666666664</v>
      </c>
      <c r="D79" s="39"/>
      <c r="E79" s="39"/>
      <c r="F79" s="24" t="s">
        <v>82</v>
      </c>
      <c r="G79" s="24">
        <v>10.2111</v>
      </c>
      <c r="H79" s="24" t="s">
        <v>83</v>
      </c>
      <c r="I79" s="24">
        <v>1052.2</v>
      </c>
      <c r="J79" s="24" t="s">
        <v>84</v>
      </c>
      <c r="K79" s="24">
        <v>13.4</v>
      </c>
      <c r="L79" s="24" t="s">
        <v>85</v>
      </c>
      <c r="M79" s="24">
        <v>21.27</v>
      </c>
      <c r="N79" s="24" t="s">
        <v>86</v>
      </c>
      <c r="O79" s="24">
        <v>19.59</v>
      </c>
      <c r="P79" s="24" t="s">
        <v>87</v>
      </c>
      <c r="Q79" s="24">
        <v>38.99</v>
      </c>
      <c r="R79" s="24" t="s">
        <v>88</v>
      </c>
      <c r="S79" s="24">
        <v>63.04</v>
      </c>
      <c r="T79" s="24" t="s">
        <v>89</v>
      </c>
      <c r="U79" s="24">
        <v>58.13</v>
      </c>
      <c r="V79" s="24" t="s">
        <v>90</v>
      </c>
      <c r="W79" s="24">
        <v>3.21</v>
      </c>
      <c r="X79" s="24" t="s">
        <v>91</v>
      </c>
      <c r="Y79" s="24">
        <v>36</v>
      </c>
      <c r="Z79" s="24" t="s">
        <v>92</v>
      </c>
      <c r="AA79" s="24">
        <v>1</v>
      </c>
      <c r="AB79" s="24" t="s">
        <v>93</v>
      </c>
      <c r="AC79" s="24">
        <v>35</v>
      </c>
      <c r="AD79" s="24" t="s">
        <v>95</v>
      </c>
      <c r="AE79" s="24">
        <v>60</v>
      </c>
      <c r="AF79" s="24" t="s">
        <v>100</v>
      </c>
      <c r="AG79" s="24">
        <v>2.98</v>
      </c>
      <c r="AH79" s="24" t="s">
        <v>97</v>
      </c>
      <c r="AI79" s="24">
        <f>10.6553-G79</f>
        <v>0.44420000000000037</v>
      </c>
      <c r="AJ79" s="24" t="s">
        <v>98</v>
      </c>
      <c r="AK79" s="24">
        <f>10.269-G79</f>
        <v>5.7900000000000063E-2</v>
      </c>
      <c r="AL79" s="24" t="s">
        <v>99</v>
      </c>
      <c r="AM79" s="24">
        <v>1.9499999999999997</v>
      </c>
      <c r="AN79" s="24" t="s">
        <v>180</v>
      </c>
      <c r="AO79" s="24">
        <v>197</v>
      </c>
    </row>
    <row r="80" spans="1:51" x14ac:dyDescent="0.3">
      <c r="A80" s="24" t="s">
        <v>193</v>
      </c>
      <c r="B80" s="24" t="s">
        <v>178</v>
      </c>
      <c r="C80" s="45">
        <v>45743.604166666664</v>
      </c>
      <c r="D80" s="39"/>
      <c r="E80" s="39"/>
      <c r="F80" s="24" t="s">
        <v>82</v>
      </c>
      <c r="G80" s="24">
        <v>10.3073</v>
      </c>
      <c r="H80" s="24" t="s">
        <v>83</v>
      </c>
      <c r="I80" s="24">
        <v>1049.2</v>
      </c>
      <c r="J80" s="24" t="s">
        <v>84</v>
      </c>
      <c r="K80" s="24">
        <v>12.9</v>
      </c>
      <c r="L80" s="24" t="s">
        <v>85</v>
      </c>
      <c r="M80" s="24">
        <v>25.65</v>
      </c>
      <c r="N80" s="24" t="s">
        <v>86</v>
      </c>
      <c r="O80" s="24">
        <v>24.04</v>
      </c>
      <c r="P80" s="24" t="s">
        <v>87</v>
      </c>
      <c r="Q80" s="24">
        <v>27.54</v>
      </c>
      <c r="R80" s="24" t="s">
        <v>88</v>
      </c>
      <c r="S80" s="24">
        <v>66.77</v>
      </c>
      <c r="T80" s="24" t="s">
        <v>89</v>
      </c>
      <c r="U80" s="24">
        <v>51.5</v>
      </c>
      <c r="V80" s="24" t="s">
        <v>90</v>
      </c>
      <c r="W80" s="24">
        <v>3.26</v>
      </c>
      <c r="X80" s="24" t="s">
        <v>91</v>
      </c>
      <c r="Y80" s="24">
        <v>28</v>
      </c>
      <c r="Z80" s="24" t="s">
        <v>92</v>
      </c>
      <c r="AA80" s="24">
        <v>1</v>
      </c>
      <c r="AB80" s="24" t="s">
        <v>93</v>
      </c>
      <c r="AC80" s="24">
        <v>27</v>
      </c>
      <c r="AD80" s="24" t="s">
        <v>95</v>
      </c>
      <c r="AE80" s="24">
        <v>62</v>
      </c>
      <c r="AF80" s="24" t="s">
        <v>100</v>
      </c>
      <c r="AG80" s="24">
        <v>2.91</v>
      </c>
      <c r="AH80" s="24" t="s">
        <v>97</v>
      </c>
      <c r="AI80" s="24">
        <f>10.8414-G80</f>
        <v>0.53410000000000046</v>
      </c>
      <c r="AJ80" s="24" t="s">
        <v>98</v>
      </c>
      <c r="AK80" s="24">
        <f>10.3864-G80</f>
        <v>7.9100000000000392E-2</v>
      </c>
      <c r="AL80" s="24" t="s">
        <v>99</v>
      </c>
      <c r="AM80" s="24">
        <v>1.5</v>
      </c>
      <c r="AN80" s="24" t="s">
        <v>180</v>
      </c>
      <c r="AO80" s="24">
        <v>196</v>
      </c>
    </row>
    <row r="81" spans="1:53" x14ac:dyDescent="0.3">
      <c r="A81" s="24" t="s">
        <v>194</v>
      </c>
      <c r="B81" s="24" t="s">
        <v>178</v>
      </c>
      <c r="C81" s="45">
        <v>45743.694444444445</v>
      </c>
      <c r="D81" s="39"/>
      <c r="E81" s="39"/>
      <c r="F81" s="24" t="s">
        <v>82</v>
      </c>
      <c r="G81" s="24">
        <v>10.5817</v>
      </c>
      <c r="H81" s="24" t="s">
        <v>83</v>
      </c>
      <c r="I81" s="24">
        <v>1048.2</v>
      </c>
      <c r="J81" s="24" t="s">
        <v>84</v>
      </c>
      <c r="K81" s="24">
        <v>12.7</v>
      </c>
      <c r="L81" s="24" t="s">
        <v>85</v>
      </c>
      <c r="M81" s="24">
        <v>32.1</v>
      </c>
      <c r="N81" s="24" t="s">
        <v>86</v>
      </c>
      <c r="O81" s="24">
        <v>29.8</v>
      </c>
      <c r="P81" s="24" t="s">
        <v>87</v>
      </c>
      <c r="Q81" s="24">
        <v>29.9</v>
      </c>
      <c r="R81" s="24" t="s">
        <v>88</v>
      </c>
      <c r="S81" s="24">
        <v>61.02</v>
      </c>
      <c r="T81" s="24" t="s">
        <v>89</v>
      </c>
      <c r="U81" s="24">
        <v>54.44</v>
      </c>
      <c r="V81" s="24" t="s">
        <v>90</v>
      </c>
      <c r="W81" s="24">
        <v>3.45</v>
      </c>
      <c r="X81" s="24" t="s">
        <v>91</v>
      </c>
      <c r="Y81" s="24">
        <v>75</v>
      </c>
      <c r="Z81" s="24" t="s">
        <v>92</v>
      </c>
      <c r="AA81" s="24">
        <v>45</v>
      </c>
      <c r="AB81" s="24" t="s">
        <v>93</v>
      </c>
      <c r="AC81" s="24">
        <v>38</v>
      </c>
      <c r="AD81" s="24" t="s">
        <v>95</v>
      </c>
      <c r="AE81" s="24">
        <v>66</v>
      </c>
      <c r="AF81" s="24" t="s">
        <v>100</v>
      </c>
      <c r="AG81" s="24">
        <v>2.82</v>
      </c>
      <c r="AH81" s="24" t="s">
        <v>97</v>
      </c>
      <c r="AI81" s="24">
        <f>11.023-G81</f>
        <v>0.44130000000000003</v>
      </c>
      <c r="AJ81" s="24" t="s">
        <v>98</v>
      </c>
      <c r="AK81" s="24">
        <f>10.616-G81</f>
        <v>3.4299999999999997E-2</v>
      </c>
      <c r="AL81" s="24" t="s">
        <v>99</v>
      </c>
      <c r="AM81" s="24">
        <v>1.65</v>
      </c>
      <c r="AN81" s="24" t="s">
        <v>180</v>
      </c>
      <c r="AO81" s="24">
        <v>157</v>
      </c>
    </row>
    <row r="82" spans="1:53" x14ac:dyDescent="0.3">
      <c r="A82" s="24" t="s">
        <v>195</v>
      </c>
      <c r="B82" s="24" t="s">
        <v>178</v>
      </c>
      <c r="C82" s="45">
        <v>45744.416666666664</v>
      </c>
      <c r="D82" s="39">
        <v>34.9</v>
      </c>
      <c r="E82" s="39">
        <v>15.3</v>
      </c>
      <c r="F82" s="24" t="s">
        <v>82</v>
      </c>
      <c r="G82" s="24">
        <v>10.383100000000001</v>
      </c>
      <c r="H82" s="24" t="s">
        <v>83</v>
      </c>
      <c r="I82" s="24">
        <v>1037.2</v>
      </c>
      <c r="J82" s="24" t="s">
        <v>84</v>
      </c>
      <c r="K82" s="24">
        <v>9.8000000000000007</v>
      </c>
      <c r="L82" s="24" t="s">
        <v>85</v>
      </c>
      <c r="M82" s="24">
        <v>48.62</v>
      </c>
      <c r="N82" s="24" t="s">
        <v>86</v>
      </c>
      <c r="O82" s="24">
        <v>46.24</v>
      </c>
      <c r="P82" s="24" t="s">
        <v>87</v>
      </c>
      <c r="Q82" s="24">
        <v>28.75</v>
      </c>
      <c r="R82" s="24" t="s">
        <v>88</v>
      </c>
      <c r="T82" s="24" t="s">
        <v>89</v>
      </c>
      <c r="V82" s="24" t="s">
        <v>90</v>
      </c>
      <c r="W82" s="24">
        <v>4.41</v>
      </c>
      <c r="X82" s="24" t="s">
        <v>91</v>
      </c>
      <c r="Y82" s="24">
        <v>25</v>
      </c>
      <c r="Z82" s="24" t="s">
        <v>92</v>
      </c>
      <c r="AA82" s="24">
        <v>5</v>
      </c>
      <c r="AB82" s="24" t="s">
        <v>93</v>
      </c>
      <c r="AC82" s="24">
        <v>20</v>
      </c>
      <c r="AD82" s="24" t="s">
        <v>95</v>
      </c>
      <c r="AE82" s="24">
        <v>70</v>
      </c>
      <c r="AF82" s="24" t="s">
        <v>100</v>
      </c>
      <c r="AG82" s="24">
        <v>2.68</v>
      </c>
      <c r="AH82" s="24" t="s">
        <v>97</v>
      </c>
      <c r="AI82" s="24">
        <f>11.2127-G82</f>
        <v>0.82959999999999923</v>
      </c>
      <c r="AJ82" s="24" t="s">
        <v>98</v>
      </c>
      <c r="AK82" s="24">
        <f>10.5135-G82</f>
        <v>0.13039999999999985</v>
      </c>
      <c r="AL82" s="24" t="s">
        <v>99</v>
      </c>
      <c r="AM82" s="24">
        <v>3.9</v>
      </c>
      <c r="AN82" s="24" t="s">
        <v>180</v>
      </c>
      <c r="AO82" s="24">
        <v>211</v>
      </c>
    </row>
    <row r="83" spans="1:53" x14ac:dyDescent="0.3">
      <c r="A83" s="24" t="s">
        <v>196</v>
      </c>
      <c r="B83" s="24" t="s">
        <v>178</v>
      </c>
      <c r="C83" s="45">
        <v>45744.604166666664</v>
      </c>
      <c r="D83" s="39"/>
      <c r="E83" s="39"/>
      <c r="F83" s="24" t="s">
        <v>82</v>
      </c>
      <c r="G83" s="24">
        <v>10.6051</v>
      </c>
      <c r="H83" s="24" t="s">
        <v>83</v>
      </c>
      <c r="I83" s="24">
        <v>1033.2</v>
      </c>
      <c r="J83" s="24" t="s">
        <v>84</v>
      </c>
      <c r="K83" s="24">
        <v>9</v>
      </c>
      <c r="L83" s="24" t="s">
        <v>85</v>
      </c>
      <c r="M83" s="24">
        <v>81.95</v>
      </c>
      <c r="N83" s="24" t="s">
        <v>86</v>
      </c>
      <c r="O83" s="24">
        <v>74.349999999999994</v>
      </c>
      <c r="P83" s="24" t="s">
        <v>87</v>
      </c>
      <c r="Q83" s="24">
        <v>24.09</v>
      </c>
      <c r="R83" s="24" t="s">
        <v>88</v>
      </c>
      <c r="T83" s="24" t="s">
        <v>89</v>
      </c>
      <c r="V83" s="24" t="s">
        <v>90</v>
      </c>
      <c r="W83" s="24">
        <v>5</v>
      </c>
      <c r="X83" s="24" t="s">
        <v>91</v>
      </c>
      <c r="Y83" s="24">
        <v>20</v>
      </c>
      <c r="Z83" s="24" t="s">
        <v>92</v>
      </c>
      <c r="AA83" s="24">
        <v>5</v>
      </c>
      <c r="AB83" s="24" t="s">
        <v>93</v>
      </c>
      <c r="AC83" s="24">
        <v>16</v>
      </c>
      <c r="AD83" s="24" t="s">
        <v>95</v>
      </c>
      <c r="AE83" s="24">
        <v>87</v>
      </c>
      <c r="AF83" s="24" t="s">
        <v>100</v>
      </c>
      <c r="AG83" s="24">
        <v>2.7</v>
      </c>
      <c r="AH83" s="24" t="s">
        <v>97</v>
      </c>
      <c r="AI83" s="24">
        <f>12.344-G83</f>
        <v>1.7388999999999992</v>
      </c>
      <c r="AJ83" s="24" t="s">
        <v>98</v>
      </c>
      <c r="AK83" s="24">
        <f>10.8351-G83</f>
        <v>0.23000000000000043</v>
      </c>
      <c r="AL83" s="24" t="s">
        <v>99</v>
      </c>
      <c r="AM83" s="24">
        <v>1.7</v>
      </c>
      <c r="AN83" s="24" t="s">
        <v>180</v>
      </c>
      <c r="AO83" s="24">
        <v>205</v>
      </c>
    </row>
    <row r="84" spans="1:53" x14ac:dyDescent="0.3">
      <c r="A84" s="24" t="s">
        <v>197</v>
      </c>
      <c r="B84" s="24" t="s">
        <v>178</v>
      </c>
      <c r="C84" s="45">
        <v>45745.5</v>
      </c>
      <c r="D84" s="42">
        <v>0</v>
      </c>
      <c r="E84" s="42">
        <v>0</v>
      </c>
      <c r="F84" s="24" t="s">
        <v>82</v>
      </c>
      <c r="G84" s="24">
        <v>10.3392</v>
      </c>
      <c r="H84" s="24" t="s">
        <v>83</v>
      </c>
      <c r="I84" s="24">
        <v>1023</v>
      </c>
      <c r="J84" s="24" t="s">
        <v>84</v>
      </c>
      <c r="K84" s="24">
        <v>6.3</v>
      </c>
      <c r="L84" s="24" t="s">
        <v>85</v>
      </c>
      <c r="M84" s="24">
        <v>75.73</v>
      </c>
      <c r="N84" s="24" t="s">
        <v>86</v>
      </c>
      <c r="O84" s="24">
        <v>65.510000000000005</v>
      </c>
      <c r="P84" s="24" t="s">
        <v>87</v>
      </c>
      <c r="Q84" s="24">
        <v>14.71</v>
      </c>
      <c r="R84" s="24" t="s">
        <v>88</v>
      </c>
      <c r="T84" s="24" t="s">
        <v>89</v>
      </c>
      <c r="V84" s="24" t="s">
        <v>90</v>
      </c>
      <c r="W84" s="24">
        <v>5.7</v>
      </c>
      <c r="X84" s="24" t="s">
        <v>91</v>
      </c>
      <c r="Z84" s="24" t="s">
        <v>92</v>
      </c>
      <c r="AB84" s="24" t="s">
        <v>93</v>
      </c>
      <c r="AD84" s="24" t="s">
        <v>95</v>
      </c>
      <c r="AE84" s="24">
        <v>68</v>
      </c>
      <c r="AF84" s="24" t="s">
        <v>100</v>
      </c>
      <c r="AG84" s="24">
        <v>2.61</v>
      </c>
      <c r="AH84" s="24" t="s">
        <v>97</v>
      </c>
      <c r="AI84" s="24">
        <f>11.4307-G84</f>
        <v>1.0914999999999999</v>
      </c>
      <c r="AJ84" s="24" t="s">
        <v>98</v>
      </c>
      <c r="AK84" s="24">
        <f>10.557-G84</f>
        <v>0.21780000000000044</v>
      </c>
      <c r="AL84" s="24" t="s">
        <v>99</v>
      </c>
      <c r="AM84" s="24">
        <v>2.4500000000000002</v>
      </c>
      <c r="AN84" s="24" t="s">
        <v>180</v>
      </c>
      <c r="AO84" s="24">
        <v>192</v>
      </c>
    </row>
    <row r="85" spans="1:53" x14ac:dyDescent="0.3">
      <c r="A85" s="24" t="s">
        <v>198</v>
      </c>
      <c r="B85" s="24" t="s">
        <v>178</v>
      </c>
      <c r="C85" s="45">
        <v>45751.375</v>
      </c>
      <c r="D85" s="39">
        <v>24.9</v>
      </c>
      <c r="E85" s="39">
        <v>16</v>
      </c>
      <c r="F85" s="24" t="s">
        <v>82</v>
      </c>
      <c r="G85" s="24">
        <v>10.4091</v>
      </c>
      <c r="H85" s="24" t="s">
        <v>83</v>
      </c>
      <c r="I85" s="24">
        <v>994.1</v>
      </c>
      <c r="J85" s="24" t="s">
        <v>84</v>
      </c>
      <c r="K85" s="24">
        <v>-1.1000000000000001</v>
      </c>
      <c r="L85" s="24" t="s">
        <v>85</v>
      </c>
      <c r="M85" s="24">
        <v>27.8</v>
      </c>
      <c r="N85" s="24" t="s">
        <v>86</v>
      </c>
      <c r="O85" s="24">
        <v>27.73</v>
      </c>
      <c r="P85" s="24" t="s">
        <v>87</v>
      </c>
      <c r="Q85" s="24">
        <v>16.850000000000001</v>
      </c>
      <c r="R85" s="24" t="s">
        <v>88</v>
      </c>
      <c r="S85" s="24">
        <v>3.43</v>
      </c>
      <c r="T85" s="24" t="s">
        <v>89</v>
      </c>
      <c r="U85" s="24">
        <v>0.03</v>
      </c>
      <c r="V85" s="24" t="s">
        <v>90</v>
      </c>
      <c r="W85" s="24">
        <v>6.68</v>
      </c>
      <c r="X85" s="24" t="s">
        <v>91</v>
      </c>
      <c r="Y85" s="24">
        <v>19</v>
      </c>
      <c r="Z85" s="24" t="s">
        <v>92</v>
      </c>
      <c r="AA85" s="24">
        <v>10</v>
      </c>
      <c r="AB85" s="24" t="s">
        <v>93</v>
      </c>
      <c r="AC85" s="24">
        <v>11</v>
      </c>
      <c r="AD85" s="24" t="s">
        <v>94</v>
      </c>
      <c r="AE85" s="24">
        <v>0.54</v>
      </c>
      <c r="AF85" s="24" t="s">
        <v>95</v>
      </c>
      <c r="AG85" s="24">
        <v>55</v>
      </c>
      <c r="AH85" s="24" t="s">
        <v>97</v>
      </c>
      <c r="AI85" s="24">
        <f>11.1267-G85</f>
        <v>0.71759999999999913</v>
      </c>
      <c r="AJ85" s="24" t="s">
        <v>98</v>
      </c>
      <c r="AK85" s="24">
        <f>10.5657-G85</f>
        <v>0.15659999999999918</v>
      </c>
      <c r="AL85" s="24" t="s">
        <v>99</v>
      </c>
      <c r="AM85" s="24">
        <v>11.35</v>
      </c>
      <c r="AN85" s="30" t="s">
        <v>180</v>
      </c>
      <c r="AO85" s="30">
        <v>169</v>
      </c>
      <c r="AP85" s="24" t="s">
        <v>102</v>
      </c>
      <c r="AQ85" s="24">
        <v>223</v>
      </c>
      <c r="AR85" s="24" t="s">
        <v>100</v>
      </c>
      <c r="AS85" s="24">
        <v>2.66</v>
      </c>
      <c r="AT85" s="24" t="s">
        <v>101</v>
      </c>
      <c r="AU85" s="24">
        <v>1.17</v>
      </c>
      <c r="AV85" s="24" t="s">
        <v>103</v>
      </c>
      <c r="AW85" s="24">
        <v>3.2</v>
      </c>
      <c r="AX85" s="24" t="s">
        <v>104</v>
      </c>
      <c r="AY85" s="24">
        <v>2</v>
      </c>
      <c r="AZ85" s="24" t="s">
        <v>105</v>
      </c>
      <c r="BA85" s="24">
        <v>190</v>
      </c>
    </row>
    <row r="86" spans="1:53" x14ac:dyDescent="0.3">
      <c r="A86" s="24" t="s">
        <v>199</v>
      </c>
      <c r="B86" s="24" t="s">
        <v>178</v>
      </c>
      <c r="C86" s="45">
        <v>45741.75</v>
      </c>
      <c r="D86" s="39"/>
      <c r="E86" s="39"/>
      <c r="F86" s="24" t="s">
        <v>82</v>
      </c>
      <c r="G86" s="24">
        <v>10.4313</v>
      </c>
      <c r="H86" s="24" t="s">
        <v>83</v>
      </c>
      <c r="I86" s="24">
        <v>1061.0999999999999</v>
      </c>
      <c r="J86" s="24" t="s">
        <v>84</v>
      </c>
      <c r="K86" s="24">
        <v>15.4</v>
      </c>
      <c r="L86" s="24" t="s">
        <v>85</v>
      </c>
      <c r="M86" s="24">
        <v>6.45</v>
      </c>
      <c r="N86" s="24" t="s">
        <v>86</v>
      </c>
      <c r="O86" s="24">
        <v>0.69</v>
      </c>
      <c r="P86" s="24" t="s">
        <v>87</v>
      </c>
      <c r="Q86" s="24">
        <v>23.81</v>
      </c>
      <c r="R86" s="24" t="s">
        <v>88</v>
      </c>
      <c r="T86" s="24" t="s">
        <v>89</v>
      </c>
      <c r="V86" s="24" t="s">
        <v>90</v>
      </c>
      <c r="W86" s="24">
        <v>2.36</v>
      </c>
      <c r="X86" s="24" t="s">
        <v>91</v>
      </c>
      <c r="Y86" s="24">
        <v>98</v>
      </c>
      <c r="Z86" s="24" t="s">
        <v>92</v>
      </c>
      <c r="AA86" s="24">
        <v>39</v>
      </c>
      <c r="AB86" s="24" t="s">
        <v>93</v>
      </c>
      <c r="AC86" s="24">
        <v>66</v>
      </c>
      <c r="AD86" s="24" t="s">
        <v>94</v>
      </c>
      <c r="AE86" s="24">
        <v>0.26</v>
      </c>
      <c r="AF86" s="24" t="s">
        <v>95</v>
      </c>
      <c r="AG86" s="24">
        <v>28</v>
      </c>
      <c r="AH86" s="24" t="s">
        <v>97</v>
      </c>
      <c r="AI86" s="24">
        <f>11.4463-G86</f>
        <v>1.0150000000000006</v>
      </c>
      <c r="AJ86" s="24" t="s">
        <v>98</v>
      </c>
      <c r="AK86" s="24">
        <f>10.6042-G86</f>
        <v>0.17290000000000028</v>
      </c>
      <c r="AL86" s="24" t="s">
        <v>99</v>
      </c>
      <c r="AM86" s="24">
        <v>0.54999999999999993</v>
      </c>
      <c r="AN86" s="30" t="s">
        <v>180</v>
      </c>
      <c r="AP86" s="24" t="s">
        <v>102</v>
      </c>
      <c r="AQ86" s="24">
        <v>357</v>
      </c>
      <c r="AR86" s="24" t="s">
        <v>100</v>
      </c>
      <c r="AS86" s="24">
        <v>3.04</v>
      </c>
      <c r="AT86" s="24" t="s">
        <v>101</v>
      </c>
      <c r="AU86" s="24">
        <v>3.29</v>
      </c>
      <c r="AV86" s="24" t="s">
        <v>103</v>
      </c>
      <c r="AW86" s="24">
        <v>2.8</v>
      </c>
      <c r="AX86" s="24" t="s">
        <v>104</v>
      </c>
      <c r="AY86" s="24">
        <v>6</v>
      </c>
      <c r="AZ86" s="24" t="s">
        <v>105</v>
      </c>
      <c r="BA86" s="24">
        <v>260</v>
      </c>
    </row>
    <row r="87" spans="1:53" x14ac:dyDescent="0.3">
      <c r="A87" s="24" t="s">
        <v>200</v>
      </c>
      <c r="B87" s="24" t="s">
        <v>201</v>
      </c>
      <c r="C87" s="45">
        <v>45741.770833333336</v>
      </c>
      <c r="D87" s="39"/>
      <c r="E87" s="39"/>
      <c r="F87" s="24" t="s">
        <v>82</v>
      </c>
      <c r="G87" s="24">
        <v>10.5922</v>
      </c>
      <c r="H87" s="24" t="s">
        <v>83</v>
      </c>
      <c r="I87" s="24">
        <v>1061.9000000000001</v>
      </c>
      <c r="J87" s="24" t="s">
        <v>84</v>
      </c>
      <c r="K87" s="24">
        <v>15.5</v>
      </c>
      <c r="L87" s="24" t="s">
        <v>85</v>
      </c>
      <c r="M87" s="24">
        <v>18.2</v>
      </c>
      <c r="N87" s="24" t="s">
        <v>86</v>
      </c>
      <c r="O87" s="24">
        <v>7.83</v>
      </c>
      <c r="P87" s="24" t="s">
        <v>87</v>
      </c>
      <c r="Q87" s="24">
        <v>23.63</v>
      </c>
      <c r="R87" s="24" t="s">
        <v>88</v>
      </c>
      <c r="T87" s="24" t="s">
        <v>89</v>
      </c>
      <c r="V87" s="24" t="s">
        <v>90</v>
      </c>
      <c r="X87" s="24" t="s">
        <v>91</v>
      </c>
      <c r="Z87" s="24" t="s">
        <v>92</v>
      </c>
      <c r="AB87" s="24" t="s">
        <v>93</v>
      </c>
      <c r="AD87" s="24" t="s">
        <v>94</v>
      </c>
      <c r="AF87" s="24" t="s">
        <v>95</v>
      </c>
      <c r="AH87" s="24" t="s">
        <v>97</v>
      </c>
      <c r="AI87" s="24">
        <f>11.5991-G87</f>
        <v>1.0068999999999999</v>
      </c>
      <c r="AJ87" s="24" t="s">
        <v>98</v>
      </c>
      <c r="AK87" s="24">
        <f>10.7582-G87</f>
        <v>0.16600000000000037</v>
      </c>
      <c r="AL87" s="24" t="s">
        <v>99</v>
      </c>
      <c r="AM87" s="24">
        <v>0</v>
      </c>
      <c r="AN87" s="30" t="s">
        <v>180</v>
      </c>
      <c r="AP87" s="24" t="s">
        <v>102</v>
      </c>
      <c r="AR87" s="24" t="s">
        <v>100</v>
      </c>
      <c r="AT87" s="24" t="s">
        <v>101</v>
      </c>
      <c r="AV87" s="24" t="s">
        <v>103</v>
      </c>
      <c r="AX87" s="24" t="s">
        <v>104</v>
      </c>
      <c r="AZ87" s="24" t="s">
        <v>105</v>
      </c>
    </row>
    <row r="88" spans="1:53" x14ac:dyDescent="0.3">
      <c r="A88" s="24" t="s">
        <v>202</v>
      </c>
      <c r="B88" s="24" t="s">
        <v>201</v>
      </c>
      <c r="C88" s="45">
        <v>45742.416666666664</v>
      </c>
      <c r="D88" s="39"/>
      <c r="E88" s="39"/>
      <c r="F88" s="24" t="s">
        <v>82</v>
      </c>
      <c r="G88" s="24">
        <v>10.364800000000001</v>
      </c>
      <c r="H88" s="24" t="s">
        <v>83</v>
      </c>
      <c r="I88" s="24">
        <v>1059.7</v>
      </c>
      <c r="J88" s="24" t="s">
        <v>84</v>
      </c>
      <c r="K88" s="24">
        <v>15.1</v>
      </c>
      <c r="L88" s="24" t="s">
        <v>85</v>
      </c>
      <c r="M88" s="24">
        <v>25.12</v>
      </c>
      <c r="N88" s="24" t="s">
        <v>86</v>
      </c>
      <c r="O88" s="24">
        <v>14.52</v>
      </c>
      <c r="P88" s="24" t="s">
        <v>87</v>
      </c>
      <c r="Q88" s="24">
        <v>18.04</v>
      </c>
      <c r="R88" s="24" t="s">
        <v>88</v>
      </c>
      <c r="T88" s="24" t="s">
        <v>89</v>
      </c>
      <c r="V88" s="24" t="s">
        <v>90</v>
      </c>
      <c r="W88" s="24">
        <v>2.88</v>
      </c>
      <c r="X88" s="24" t="s">
        <v>91</v>
      </c>
      <c r="Y88" s="24">
        <v>93</v>
      </c>
      <c r="Z88" s="24" t="s">
        <v>92</v>
      </c>
      <c r="AA88" s="24">
        <v>35</v>
      </c>
      <c r="AB88" s="24" t="s">
        <v>93</v>
      </c>
      <c r="AC88" s="24">
        <v>64</v>
      </c>
      <c r="AD88" s="24" t="s">
        <v>95</v>
      </c>
      <c r="AE88" s="24">
        <v>28</v>
      </c>
      <c r="AF88" s="24" t="s">
        <v>100</v>
      </c>
      <c r="AG88" s="24">
        <v>3.02</v>
      </c>
      <c r="AH88" s="24" t="s">
        <v>97</v>
      </c>
      <c r="AI88" s="24">
        <f>11.218-G88</f>
        <v>0.85319999999999929</v>
      </c>
      <c r="AJ88" s="24" t="s">
        <v>98</v>
      </c>
      <c r="AK88" s="24">
        <f>10.5153-G88</f>
        <v>0.15049999999999919</v>
      </c>
      <c r="AL88" s="24" t="s">
        <v>99</v>
      </c>
      <c r="AM88" s="24">
        <v>0.85</v>
      </c>
      <c r="AN88" s="24" t="s">
        <v>180</v>
      </c>
      <c r="AO88" s="24">
        <v>149</v>
      </c>
    </row>
    <row r="89" spans="1:53" x14ac:dyDescent="0.3">
      <c r="A89" s="24" t="s">
        <v>203</v>
      </c>
      <c r="B89" s="24" t="s">
        <v>201</v>
      </c>
      <c r="C89" s="45">
        <v>45746.6875</v>
      </c>
      <c r="D89" s="39"/>
      <c r="E89" s="39"/>
      <c r="F89" s="24" t="s">
        <v>82</v>
      </c>
      <c r="G89" s="24">
        <v>10.275</v>
      </c>
      <c r="H89" s="24" t="s">
        <v>83</v>
      </c>
      <c r="I89" s="24">
        <v>1011.7</v>
      </c>
      <c r="J89" s="24" t="s">
        <v>84</v>
      </c>
      <c r="K89" s="24">
        <v>3.5</v>
      </c>
      <c r="L89" s="24" t="s">
        <v>85</v>
      </c>
      <c r="M89" s="24">
        <v>74.650000000000006</v>
      </c>
      <c r="N89" s="24" t="s">
        <v>86</v>
      </c>
      <c r="O89" s="24">
        <v>63.44</v>
      </c>
      <c r="P89" s="24" t="s">
        <v>87</v>
      </c>
      <c r="Q89" s="24">
        <v>14.61</v>
      </c>
      <c r="R89" s="24" t="s">
        <v>88</v>
      </c>
      <c r="S89" s="24">
        <v>31.15</v>
      </c>
      <c r="T89" s="24" t="s">
        <v>89</v>
      </c>
      <c r="U89" s="24">
        <v>7.25</v>
      </c>
      <c r="V89" s="24" t="s">
        <v>90</v>
      </c>
      <c r="W89" s="24">
        <v>6.41</v>
      </c>
      <c r="X89" s="24" t="s">
        <v>91</v>
      </c>
      <c r="Z89" s="24" t="s">
        <v>92</v>
      </c>
      <c r="AB89" s="24" t="s">
        <v>93</v>
      </c>
      <c r="AD89" s="24" t="s">
        <v>95</v>
      </c>
      <c r="AE89" s="24">
        <v>57</v>
      </c>
      <c r="AF89" s="24" t="s">
        <v>100</v>
      </c>
      <c r="AG89" s="24">
        <v>2.5299999999999998</v>
      </c>
      <c r="AH89" s="24" t="s">
        <v>97</v>
      </c>
      <c r="AI89" s="24">
        <f>12.0745-G89</f>
        <v>1.7995000000000001</v>
      </c>
      <c r="AJ89" s="24" t="s">
        <v>98</v>
      </c>
      <c r="AK89" s="24">
        <f>10.5556-G89</f>
        <v>0.28059999999999974</v>
      </c>
      <c r="AL89" s="24" t="s">
        <v>99</v>
      </c>
      <c r="AM89" s="24">
        <v>5</v>
      </c>
      <c r="AN89" s="24" t="s">
        <v>180</v>
      </c>
      <c r="AO89" s="24">
        <v>189</v>
      </c>
    </row>
    <row r="90" spans="1:53" x14ac:dyDescent="0.3">
      <c r="A90" s="24" t="s">
        <v>204</v>
      </c>
      <c r="B90" s="24" t="s">
        <v>201</v>
      </c>
      <c r="C90" s="45">
        <v>45747.416666666664</v>
      </c>
      <c r="D90" s="39"/>
      <c r="E90" s="39"/>
      <c r="F90" s="24" t="s">
        <v>82</v>
      </c>
      <c r="G90" s="24">
        <v>10.582700000000001</v>
      </c>
      <c r="H90" s="24" t="s">
        <v>83</v>
      </c>
      <c r="I90" s="24">
        <v>1006.8</v>
      </c>
      <c r="J90" s="24" t="s">
        <v>84</v>
      </c>
      <c r="K90" s="24">
        <v>2.2999999999999998</v>
      </c>
      <c r="L90" s="24" t="s">
        <v>85</v>
      </c>
      <c r="M90" s="24">
        <v>61.44</v>
      </c>
      <c r="N90" s="24" t="s">
        <v>86</v>
      </c>
      <c r="O90" s="24">
        <v>58.45</v>
      </c>
      <c r="P90" s="24" t="s">
        <v>87</v>
      </c>
      <c r="Q90" s="24">
        <v>14.25</v>
      </c>
      <c r="R90" s="24" t="s">
        <v>88</v>
      </c>
      <c r="T90" s="24" t="s">
        <v>89</v>
      </c>
      <c r="V90" s="24" t="s">
        <v>90</v>
      </c>
      <c r="W90" s="24">
        <v>6.35</v>
      </c>
      <c r="X90" s="24" t="s">
        <v>91</v>
      </c>
      <c r="Y90" s="24">
        <v>13</v>
      </c>
      <c r="Z90" s="24" t="s">
        <v>92</v>
      </c>
      <c r="AA90" s="24">
        <v>2</v>
      </c>
      <c r="AB90" s="24" t="s">
        <v>93</v>
      </c>
      <c r="AC90" s="24">
        <v>11</v>
      </c>
      <c r="AD90" s="24" t="s">
        <v>95</v>
      </c>
      <c r="AE90" s="24">
        <v>64</v>
      </c>
      <c r="AF90" s="24" t="s">
        <v>100</v>
      </c>
      <c r="AG90" s="24">
        <v>2.6</v>
      </c>
      <c r="AH90" s="24" t="s">
        <v>97</v>
      </c>
      <c r="AI90" s="24">
        <f>11.4882-G90</f>
        <v>0.90549999999999997</v>
      </c>
      <c r="AJ90" s="24" t="s">
        <v>98</v>
      </c>
      <c r="AK90" s="24">
        <f>10.752-G90</f>
        <v>0.16929999999999978</v>
      </c>
      <c r="AL90" s="24" t="s">
        <v>99</v>
      </c>
      <c r="AM90" s="24">
        <v>8.6499999999999986</v>
      </c>
      <c r="AN90" s="24" t="s">
        <v>180</v>
      </c>
      <c r="AO90" s="24">
        <v>177</v>
      </c>
    </row>
    <row r="91" spans="1:53" x14ac:dyDescent="0.3">
      <c r="A91" s="24" t="s">
        <v>205</v>
      </c>
      <c r="B91" s="24" t="s">
        <v>201</v>
      </c>
      <c r="C91" s="45">
        <v>45747.680555555555</v>
      </c>
      <c r="D91" s="39">
        <v>35.4</v>
      </c>
      <c r="E91" s="39">
        <v>21.2</v>
      </c>
      <c r="F91" s="24" t="s">
        <v>82</v>
      </c>
      <c r="G91" s="24">
        <v>10.385899999999999</v>
      </c>
      <c r="H91" s="24" t="s">
        <v>83</v>
      </c>
      <c r="I91" s="24">
        <v>1005.1</v>
      </c>
      <c r="J91" s="24" t="s">
        <v>84</v>
      </c>
      <c r="K91" s="24">
        <v>1.9</v>
      </c>
      <c r="L91" s="24" t="s">
        <v>85</v>
      </c>
      <c r="M91" s="24">
        <v>49.46</v>
      </c>
      <c r="N91" s="24" t="s">
        <v>86</v>
      </c>
      <c r="O91" s="24">
        <v>46.77</v>
      </c>
      <c r="P91" s="24" t="s">
        <v>87</v>
      </c>
      <c r="Q91" s="24">
        <v>16.3</v>
      </c>
      <c r="R91" s="24" t="s">
        <v>88</v>
      </c>
      <c r="T91" s="24" t="s">
        <v>89</v>
      </c>
      <c r="V91" s="24" t="s">
        <v>90</v>
      </c>
      <c r="W91" s="24">
        <v>6.48</v>
      </c>
      <c r="X91" s="24" t="s">
        <v>91</v>
      </c>
      <c r="Y91" s="24">
        <v>13</v>
      </c>
      <c r="Z91" s="24" t="s">
        <v>92</v>
      </c>
      <c r="AA91" s="24">
        <v>4</v>
      </c>
      <c r="AB91" s="24" t="s">
        <v>93</v>
      </c>
      <c r="AC91" s="24">
        <v>10</v>
      </c>
      <c r="AD91" s="24" t="s">
        <v>95</v>
      </c>
      <c r="AE91" s="24">
        <v>61</v>
      </c>
      <c r="AF91" s="24" t="s">
        <v>100</v>
      </c>
      <c r="AG91" s="24">
        <v>2.74</v>
      </c>
      <c r="AH91" s="24" t="s">
        <v>97</v>
      </c>
      <c r="AI91" s="24">
        <f>11.1068-G91</f>
        <v>0.72090000000000032</v>
      </c>
      <c r="AJ91" s="24" t="s">
        <v>98</v>
      </c>
      <c r="AK91" s="24">
        <f>10.4751-G91</f>
        <v>8.9199999999999946E-2</v>
      </c>
      <c r="AL91" s="24" t="s">
        <v>99</v>
      </c>
      <c r="AM91" s="24">
        <v>7.2</v>
      </c>
      <c r="AN91" s="24" t="s">
        <v>180</v>
      </c>
      <c r="AO91" s="24">
        <v>185</v>
      </c>
    </row>
    <row r="92" spans="1:53" x14ac:dyDescent="0.3">
      <c r="A92" s="24" t="s">
        <v>206</v>
      </c>
      <c r="B92" s="24" t="s">
        <v>201</v>
      </c>
      <c r="C92" s="45">
        <v>45748.375</v>
      </c>
      <c r="D92" s="39"/>
      <c r="E92" s="39"/>
      <c r="F92" s="24" t="s">
        <v>82</v>
      </c>
      <c r="G92" s="24">
        <v>10.729699999999999</v>
      </c>
      <c r="H92" s="24" t="s">
        <v>83</v>
      </c>
      <c r="I92" s="24">
        <v>1003.2</v>
      </c>
      <c r="J92" s="24" t="s">
        <v>84</v>
      </c>
      <c r="K92" s="24">
        <v>1.2</v>
      </c>
      <c r="L92" s="24" t="s">
        <v>85</v>
      </c>
      <c r="M92" s="24">
        <v>53.46</v>
      </c>
      <c r="N92" s="24" t="s">
        <v>86</v>
      </c>
      <c r="O92" s="24">
        <v>50.46</v>
      </c>
      <c r="P92" s="24" t="s">
        <v>87</v>
      </c>
      <c r="Q92" s="24">
        <v>18.25</v>
      </c>
      <c r="R92" s="24" t="s">
        <v>88</v>
      </c>
      <c r="T92" s="24" t="s">
        <v>89</v>
      </c>
      <c r="V92" s="24" t="s">
        <v>90</v>
      </c>
      <c r="W92" s="24">
        <v>6.38</v>
      </c>
      <c r="X92" s="24" t="s">
        <v>91</v>
      </c>
      <c r="Y92" s="24">
        <v>17</v>
      </c>
      <c r="Z92" s="24" t="s">
        <v>92</v>
      </c>
      <c r="AA92" s="24">
        <v>6</v>
      </c>
      <c r="AB92" s="24" t="s">
        <v>93</v>
      </c>
      <c r="AC92" s="24">
        <v>12</v>
      </c>
      <c r="AD92" s="24" t="s">
        <v>95</v>
      </c>
      <c r="AE92" s="24">
        <v>52</v>
      </c>
      <c r="AF92" s="24" t="s">
        <v>100</v>
      </c>
      <c r="AG92" s="24">
        <v>2.7</v>
      </c>
      <c r="AH92" s="24" t="s">
        <v>97</v>
      </c>
      <c r="AI92" s="24">
        <f>11.3713-G92</f>
        <v>0.64160000000000039</v>
      </c>
      <c r="AJ92" s="24" t="s">
        <v>98</v>
      </c>
      <c r="AK92" s="24">
        <f>10.7276-G92</f>
        <v>-2.0999999999986585E-3</v>
      </c>
      <c r="AL92" s="24" t="s">
        <v>99</v>
      </c>
      <c r="AM92" s="24">
        <v>8.35</v>
      </c>
      <c r="AN92" s="24" t="s">
        <v>180</v>
      </c>
      <c r="AO92" s="24">
        <v>184</v>
      </c>
    </row>
    <row r="93" spans="1:53" x14ac:dyDescent="0.3">
      <c r="A93" s="24" t="s">
        <v>207</v>
      </c>
      <c r="B93" s="24" t="s">
        <v>201</v>
      </c>
      <c r="C93" s="45">
        <v>45748.625</v>
      </c>
      <c r="D93" s="39"/>
      <c r="E93" s="39"/>
      <c r="F93" s="24" t="s">
        <v>82</v>
      </c>
      <c r="G93" s="24">
        <v>10.181100000000001</v>
      </c>
      <c r="H93" s="24" t="s">
        <v>83</v>
      </c>
      <c r="I93" s="24">
        <v>1001</v>
      </c>
      <c r="J93" s="24" t="s">
        <v>84</v>
      </c>
      <c r="K93" s="24">
        <v>0.9</v>
      </c>
      <c r="L93" s="24" t="s">
        <v>85</v>
      </c>
      <c r="M93" s="24">
        <v>43.55</v>
      </c>
      <c r="N93" s="24" t="s">
        <v>86</v>
      </c>
      <c r="O93" s="24">
        <v>43.01</v>
      </c>
      <c r="P93" s="24" t="s">
        <v>87</v>
      </c>
      <c r="Q93" s="24">
        <v>17.809999999999999</v>
      </c>
      <c r="R93" s="24" t="s">
        <v>88</v>
      </c>
      <c r="T93" s="24" t="s">
        <v>89</v>
      </c>
      <c r="V93" s="24" t="s">
        <v>90</v>
      </c>
      <c r="W93" s="24">
        <v>6.41</v>
      </c>
      <c r="X93" s="24" t="s">
        <v>91</v>
      </c>
      <c r="Y93" s="24">
        <v>19</v>
      </c>
      <c r="Z93" s="24" t="s">
        <v>92</v>
      </c>
      <c r="AA93" s="24">
        <v>11</v>
      </c>
      <c r="AB93" s="24" t="s">
        <v>93</v>
      </c>
      <c r="AC93" s="24">
        <v>11</v>
      </c>
      <c r="AD93" s="24" t="s">
        <v>95</v>
      </c>
      <c r="AE93" s="24">
        <v>52</v>
      </c>
      <c r="AF93" s="24" t="s">
        <v>100</v>
      </c>
      <c r="AG93" s="24">
        <v>2.61</v>
      </c>
      <c r="AH93" s="24" t="s">
        <v>97</v>
      </c>
      <c r="AI93" s="24">
        <f>11.064-G93</f>
        <v>0.88289999999999935</v>
      </c>
      <c r="AJ93" s="24" t="s">
        <v>98</v>
      </c>
      <c r="AK93" s="24">
        <f>10.5606-G93</f>
        <v>0.37950000000000017</v>
      </c>
      <c r="AL93" s="24" t="s">
        <v>99</v>
      </c>
      <c r="AM93" s="24">
        <v>7.75</v>
      </c>
      <c r="AN93" s="24" t="s">
        <v>180</v>
      </c>
      <c r="AO93" s="24">
        <v>188</v>
      </c>
    </row>
    <row r="94" spans="1:53" x14ac:dyDescent="0.3">
      <c r="A94" s="24" t="s">
        <v>208</v>
      </c>
      <c r="B94" s="24" t="s">
        <v>201</v>
      </c>
      <c r="C94" s="45">
        <v>45749.395833333336</v>
      </c>
      <c r="D94" s="39"/>
      <c r="E94" s="39"/>
      <c r="F94" s="24" t="s">
        <v>82</v>
      </c>
      <c r="G94" s="24">
        <v>10.2752</v>
      </c>
      <c r="H94" s="24" t="s">
        <v>83</v>
      </c>
      <c r="I94" s="24">
        <v>999.8</v>
      </c>
      <c r="J94" s="24" t="s">
        <v>84</v>
      </c>
      <c r="K94" s="24">
        <v>0.4</v>
      </c>
      <c r="L94" s="24" t="s">
        <v>85</v>
      </c>
      <c r="M94" s="24">
        <v>63.36</v>
      </c>
      <c r="N94" s="24" t="s">
        <v>86</v>
      </c>
      <c r="O94" s="24">
        <v>52.85</v>
      </c>
      <c r="P94" s="24" t="s">
        <v>87</v>
      </c>
      <c r="Q94" s="24">
        <v>10.67</v>
      </c>
      <c r="R94" s="24" t="s">
        <v>88</v>
      </c>
      <c r="S94" s="24">
        <v>12.53</v>
      </c>
      <c r="T94" s="24" t="s">
        <v>89</v>
      </c>
      <c r="U94" s="24">
        <v>0.71</v>
      </c>
      <c r="V94" s="24" t="s">
        <v>90</v>
      </c>
      <c r="W94" s="24">
        <v>6.52</v>
      </c>
      <c r="X94" s="24" t="s">
        <v>91</v>
      </c>
      <c r="Y94" s="24">
        <v>12</v>
      </c>
      <c r="Z94" s="24" t="s">
        <v>92</v>
      </c>
      <c r="AA94" s="24">
        <v>3</v>
      </c>
      <c r="AB94" s="24" t="s">
        <v>93</v>
      </c>
      <c r="AC94" s="24">
        <v>10</v>
      </c>
      <c r="AD94" s="24" t="s">
        <v>95</v>
      </c>
      <c r="AE94" s="24">
        <v>49</v>
      </c>
      <c r="AF94" s="24" t="s">
        <v>100</v>
      </c>
      <c r="AG94" s="24">
        <v>2.69</v>
      </c>
      <c r="AH94" s="24" t="s">
        <v>97</v>
      </c>
      <c r="AI94" s="24">
        <f>11.3663-G94</f>
        <v>1.0911000000000008</v>
      </c>
      <c r="AJ94" s="24" t="s">
        <v>98</v>
      </c>
      <c r="AK94" s="24">
        <f>10.5005-G94</f>
        <v>0.22530000000000072</v>
      </c>
      <c r="AL94" s="24" t="s">
        <v>99</v>
      </c>
      <c r="AM94" s="24">
        <v>10.150000000000002</v>
      </c>
      <c r="AN94" s="24" t="s">
        <v>180</v>
      </c>
      <c r="AO94" s="24">
        <v>178</v>
      </c>
    </row>
    <row r="95" spans="1:53" x14ac:dyDescent="0.3">
      <c r="A95" s="24" t="s">
        <v>209</v>
      </c>
      <c r="B95" s="24" t="s">
        <v>201</v>
      </c>
      <c r="C95" s="45">
        <v>45749.666666666664</v>
      </c>
      <c r="D95" s="39"/>
      <c r="E95" s="39"/>
      <c r="F95" s="24" t="s">
        <v>82</v>
      </c>
      <c r="G95" s="24">
        <v>11.3581</v>
      </c>
      <c r="H95" s="24" t="s">
        <v>83</v>
      </c>
      <c r="I95" s="24">
        <v>997.4</v>
      </c>
      <c r="J95" s="24" t="s">
        <v>84</v>
      </c>
      <c r="K95" s="24">
        <v>0</v>
      </c>
      <c r="L95" s="24" t="s">
        <v>85</v>
      </c>
      <c r="M95" s="24">
        <v>43.63</v>
      </c>
      <c r="N95" s="24" t="s">
        <v>86</v>
      </c>
      <c r="O95" s="24">
        <v>42.78</v>
      </c>
      <c r="P95" s="24" t="s">
        <v>87</v>
      </c>
      <c r="Q95" s="24">
        <v>16.2</v>
      </c>
      <c r="R95" s="24" t="s">
        <v>88</v>
      </c>
      <c r="S95" s="24">
        <v>11.09</v>
      </c>
      <c r="T95" s="24" t="s">
        <v>89</v>
      </c>
      <c r="U95" s="24">
        <v>0.25</v>
      </c>
      <c r="V95" s="24" t="s">
        <v>90</v>
      </c>
      <c r="W95" s="24">
        <v>6.56</v>
      </c>
      <c r="X95" s="24" t="s">
        <v>91</v>
      </c>
      <c r="Y95" s="24">
        <v>12</v>
      </c>
      <c r="Z95" s="24" t="s">
        <v>92</v>
      </c>
      <c r="AA95" s="24">
        <v>3</v>
      </c>
      <c r="AB95" s="24" t="s">
        <v>93</v>
      </c>
      <c r="AC95" s="24">
        <v>10</v>
      </c>
      <c r="AD95" s="24" t="s">
        <v>95</v>
      </c>
      <c r="AE95" s="24">
        <v>54</v>
      </c>
      <c r="AF95" s="24" t="s">
        <v>100</v>
      </c>
      <c r="AG95" s="24">
        <v>2.63</v>
      </c>
      <c r="AH95" s="24" t="s">
        <v>97</v>
      </c>
      <c r="AI95" s="24">
        <f>12.0191-G95</f>
        <v>0.66099999999999959</v>
      </c>
      <c r="AJ95" s="24" t="s">
        <v>98</v>
      </c>
      <c r="AK95" s="24">
        <f>11.5387-G95</f>
        <v>0.18060000000000009</v>
      </c>
      <c r="AL95" s="24" t="s">
        <v>99</v>
      </c>
      <c r="AM95" s="24">
        <v>9.5500000000000007</v>
      </c>
      <c r="AN95" s="24" t="s">
        <v>180</v>
      </c>
      <c r="AO95" s="24">
        <v>184</v>
      </c>
    </row>
    <row r="96" spans="1:53" x14ac:dyDescent="0.3">
      <c r="A96" s="24" t="s">
        <v>210</v>
      </c>
      <c r="B96" s="24" t="s">
        <v>201</v>
      </c>
      <c r="C96" s="45">
        <v>45750.416666666664</v>
      </c>
      <c r="D96" s="39"/>
      <c r="E96" s="39"/>
      <c r="F96" s="24" t="s">
        <v>82</v>
      </c>
      <c r="G96" s="24">
        <v>10.291600000000001</v>
      </c>
      <c r="H96" s="24" t="s">
        <v>83</v>
      </c>
      <c r="I96" s="24">
        <v>996.4</v>
      </c>
      <c r="J96" s="24" t="s">
        <v>84</v>
      </c>
      <c r="K96" s="24">
        <v>-0.4</v>
      </c>
      <c r="L96" s="24" t="s">
        <v>85</v>
      </c>
      <c r="M96" s="24">
        <v>41.55</v>
      </c>
      <c r="N96" s="24" t="s">
        <v>86</v>
      </c>
      <c r="O96" s="24">
        <v>40.86</v>
      </c>
      <c r="P96" s="24" t="s">
        <v>87</v>
      </c>
      <c r="Q96" s="24">
        <v>20.89</v>
      </c>
      <c r="R96" s="24" t="s">
        <v>88</v>
      </c>
      <c r="S96" s="24">
        <v>8.93</v>
      </c>
      <c r="T96" s="24" t="s">
        <v>89</v>
      </c>
      <c r="U96" s="24">
        <v>0.24</v>
      </c>
      <c r="V96" s="24" t="s">
        <v>90</v>
      </c>
      <c r="W96" s="24">
        <v>6.75</v>
      </c>
      <c r="X96" s="24" t="s">
        <v>91</v>
      </c>
      <c r="Z96" s="24" t="s">
        <v>92</v>
      </c>
      <c r="AB96" s="24" t="s">
        <v>93</v>
      </c>
      <c r="AD96" s="24" t="s">
        <v>95</v>
      </c>
      <c r="AE96" s="24">
        <v>56</v>
      </c>
      <c r="AF96" s="24" t="s">
        <v>100</v>
      </c>
      <c r="AG96" s="24">
        <v>2.69</v>
      </c>
      <c r="AH96" s="24" t="s">
        <v>97</v>
      </c>
      <c r="AI96" s="24">
        <f>11.041-G96</f>
        <v>0.74939999999999962</v>
      </c>
      <c r="AJ96" s="24" t="s">
        <v>98</v>
      </c>
      <c r="AK96" s="24">
        <f>10.4805-G96</f>
        <v>0.18889999999999851</v>
      </c>
      <c r="AL96" s="24" t="s">
        <v>99</v>
      </c>
      <c r="AM96" s="24">
        <v>8.35</v>
      </c>
      <c r="AN96" s="24" t="s">
        <v>180</v>
      </c>
      <c r="AO96" s="24">
        <v>181</v>
      </c>
    </row>
    <row r="97" spans="1:53" x14ac:dyDescent="0.3">
      <c r="A97" s="24" t="s">
        <v>211</v>
      </c>
      <c r="B97" s="24" t="s">
        <v>201</v>
      </c>
      <c r="C97" s="45">
        <v>45750.625</v>
      </c>
      <c r="D97" s="39"/>
      <c r="E97" s="39"/>
      <c r="F97" s="24" t="s">
        <v>82</v>
      </c>
      <c r="G97" s="24">
        <v>10.1967</v>
      </c>
      <c r="H97" s="24" t="s">
        <v>83</v>
      </c>
      <c r="I97" s="24">
        <v>994.8</v>
      </c>
      <c r="J97" s="24" t="s">
        <v>84</v>
      </c>
      <c r="K97" s="24">
        <v>-0.6</v>
      </c>
      <c r="L97" s="24" t="s">
        <v>85</v>
      </c>
      <c r="M97" s="24">
        <v>36.94</v>
      </c>
      <c r="N97" s="24" t="s">
        <v>86</v>
      </c>
      <c r="O97" s="24">
        <v>35.869999999999997</v>
      </c>
      <c r="P97" s="24" t="s">
        <v>87</v>
      </c>
      <c r="Q97" s="24">
        <v>15.38</v>
      </c>
      <c r="R97" s="24" t="s">
        <v>88</v>
      </c>
      <c r="S97" s="24">
        <v>8.2100000000000009</v>
      </c>
      <c r="T97" s="24" t="s">
        <v>89</v>
      </c>
      <c r="U97" s="24">
        <v>0.19</v>
      </c>
      <c r="V97" s="24" t="s">
        <v>90</v>
      </c>
      <c r="W97" s="24">
        <v>6.68</v>
      </c>
      <c r="X97" s="24" t="s">
        <v>91</v>
      </c>
      <c r="Z97" s="24" t="s">
        <v>92</v>
      </c>
      <c r="AB97" s="24" t="s">
        <v>93</v>
      </c>
      <c r="AD97" s="24" t="s">
        <v>95</v>
      </c>
      <c r="AE97" s="24">
        <v>58</v>
      </c>
      <c r="AF97" s="24" t="s">
        <v>100</v>
      </c>
      <c r="AG97" s="24">
        <v>2.65</v>
      </c>
      <c r="AH97" s="24" t="s">
        <v>97</v>
      </c>
      <c r="AI97" s="24">
        <f>10.9446-G97</f>
        <v>0.74789999999999957</v>
      </c>
      <c r="AJ97" s="24" t="s">
        <v>98</v>
      </c>
      <c r="AK97" s="24">
        <f>10.3887-G97</f>
        <v>0.19200000000000017</v>
      </c>
      <c r="AL97" s="24" t="s">
        <v>99</v>
      </c>
      <c r="AM97" s="24">
        <v>6.5</v>
      </c>
      <c r="AN97" s="24" t="s">
        <v>180</v>
      </c>
      <c r="AO97" s="24">
        <v>176</v>
      </c>
    </row>
    <row r="98" spans="1:53" x14ac:dyDescent="0.3">
      <c r="A98" s="24" t="s">
        <v>212</v>
      </c>
      <c r="B98" s="24" t="s">
        <v>201</v>
      </c>
      <c r="C98" s="45">
        <v>45742.625</v>
      </c>
      <c r="D98" s="39"/>
      <c r="E98" s="39"/>
      <c r="F98" s="24" t="s">
        <v>82</v>
      </c>
      <c r="H98" s="24" t="s">
        <v>83</v>
      </c>
      <c r="I98" s="24">
        <v>1056.0999999999999</v>
      </c>
      <c r="J98" s="24" t="s">
        <v>84</v>
      </c>
      <c r="K98" s="24">
        <v>14.7</v>
      </c>
      <c r="L98" s="24" t="s">
        <v>85</v>
      </c>
      <c r="M98" s="24">
        <v>24.58</v>
      </c>
      <c r="N98" s="24" t="s">
        <v>86</v>
      </c>
      <c r="O98" s="24">
        <v>16.28</v>
      </c>
      <c r="P98" s="24" t="s">
        <v>87</v>
      </c>
      <c r="Q98" s="24">
        <v>24.06</v>
      </c>
      <c r="R98" s="24" t="s">
        <v>88</v>
      </c>
      <c r="T98" s="24" t="s">
        <v>89</v>
      </c>
      <c r="V98" s="24" t="s">
        <v>90</v>
      </c>
      <c r="W98" s="24">
        <v>2.71</v>
      </c>
      <c r="X98" s="24" t="s">
        <v>91</v>
      </c>
      <c r="Y98" s="24">
        <v>82</v>
      </c>
      <c r="Z98" s="24" t="s">
        <v>92</v>
      </c>
      <c r="AA98" s="24">
        <v>28</v>
      </c>
      <c r="AB98" s="24" t="s">
        <v>93</v>
      </c>
      <c r="AC98" s="24">
        <v>60</v>
      </c>
      <c r="AD98" s="24" t="s">
        <v>95</v>
      </c>
      <c r="AE98" s="24">
        <v>43</v>
      </c>
      <c r="AF98" s="24" t="s">
        <v>100</v>
      </c>
      <c r="AG98" s="24">
        <v>2.96</v>
      </c>
      <c r="AH98" s="24" t="s">
        <v>97</v>
      </c>
      <c r="AI98" s="24">
        <f>11.0016-G98</f>
        <v>11.0016</v>
      </c>
      <c r="AJ98" s="24" t="s">
        <v>98</v>
      </c>
      <c r="AK98" s="24">
        <f>10.2573-G98</f>
        <v>10.257300000000001</v>
      </c>
      <c r="AL98" s="24" t="s">
        <v>99</v>
      </c>
      <c r="AM98" s="24">
        <v>1.1500000000000001</v>
      </c>
      <c r="AN98" s="24" t="s">
        <v>180</v>
      </c>
      <c r="AO98" s="24">
        <v>156</v>
      </c>
    </row>
    <row r="99" spans="1:53" x14ac:dyDescent="0.3">
      <c r="A99" s="24" t="s">
        <v>213</v>
      </c>
      <c r="B99" s="24" t="s">
        <v>201</v>
      </c>
      <c r="C99" s="45">
        <v>45742.75</v>
      </c>
      <c r="D99" s="39"/>
      <c r="E99" s="39"/>
      <c r="F99" s="24" t="s">
        <v>82</v>
      </c>
      <c r="G99" s="24">
        <v>10.3079</v>
      </c>
      <c r="H99" s="24" t="s">
        <v>83</v>
      </c>
      <c r="I99" s="24">
        <v>1056.0999999999999</v>
      </c>
      <c r="J99" s="24" t="s">
        <v>84</v>
      </c>
      <c r="K99" s="24">
        <v>14.4</v>
      </c>
      <c r="L99" s="24" t="s">
        <v>85</v>
      </c>
      <c r="M99" s="24">
        <v>34.479999999999997</v>
      </c>
      <c r="N99" s="24" t="s">
        <v>86</v>
      </c>
      <c r="O99" s="24">
        <v>24.27</v>
      </c>
      <c r="P99" s="24" t="s">
        <v>87</v>
      </c>
      <c r="Q99" s="24">
        <v>22.95</v>
      </c>
      <c r="R99" s="24" t="s">
        <v>88</v>
      </c>
      <c r="T99" s="24" t="s">
        <v>89</v>
      </c>
      <c r="V99" s="24" t="s">
        <v>90</v>
      </c>
      <c r="W99" s="24">
        <v>2.62</v>
      </c>
      <c r="X99" s="24" t="s">
        <v>91</v>
      </c>
      <c r="Y99" s="24">
        <v>74</v>
      </c>
      <c r="Z99" s="24" t="s">
        <v>92</v>
      </c>
      <c r="AA99" s="24">
        <v>24</v>
      </c>
      <c r="AB99" s="24" t="s">
        <v>93</v>
      </c>
      <c r="AC99" s="24">
        <v>55</v>
      </c>
      <c r="AD99" s="24" t="s">
        <v>95</v>
      </c>
      <c r="AE99" s="24">
        <v>46</v>
      </c>
      <c r="AF99" s="24" t="s">
        <v>100</v>
      </c>
      <c r="AG99" s="24">
        <v>2.89</v>
      </c>
      <c r="AH99" s="24" t="s">
        <v>97</v>
      </c>
      <c r="AI99" s="24">
        <f>10.6468-G99</f>
        <v>0.33890000000000065</v>
      </c>
      <c r="AJ99" s="24" t="s">
        <v>98</v>
      </c>
      <c r="AK99" s="24">
        <f>10.3412-G99</f>
        <v>3.3300000000000551E-2</v>
      </c>
      <c r="AL99" s="24" t="s">
        <v>99</v>
      </c>
      <c r="AM99" s="24">
        <v>1.4</v>
      </c>
      <c r="AN99" s="24" t="s">
        <v>180</v>
      </c>
      <c r="AO99" s="24">
        <v>175</v>
      </c>
    </row>
    <row r="100" spans="1:53" x14ac:dyDescent="0.3">
      <c r="A100" s="24" t="s">
        <v>214</v>
      </c>
      <c r="B100" s="24" t="s">
        <v>201</v>
      </c>
      <c r="C100" s="45">
        <v>45743.416666666664</v>
      </c>
      <c r="D100" s="39"/>
      <c r="E100" s="39"/>
      <c r="F100" s="24" t="s">
        <v>82</v>
      </c>
      <c r="G100" s="24">
        <v>10.5518</v>
      </c>
      <c r="H100" s="24" t="s">
        <v>83</v>
      </c>
      <c r="I100" s="24">
        <v>1051.9000000000001</v>
      </c>
      <c r="J100" s="24" t="s">
        <v>84</v>
      </c>
      <c r="K100" s="24">
        <v>13.3</v>
      </c>
      <c r="L100" s="24" t="s">
        <v>85</v>
      </c>
      <c r="M100" s="24">
        <v>28.65</v>
      </c>
      <c r="N100" s="24" t="s">
        <v>86</v>
      </c>
      <c r="O100" s="24">
        <v>25.42</v>
      </c>
      <c r="P100" s="24" t="s">
        <v>87</v>
      </c>
      <c r="Q100" s="24">
        <v>30.83</v>
      </c>
      <c r="R100" s="24" t="s">
        <v>88</v>
      </c>
      <c r="S100" s="24">
        <v>68.260000000000005</v>
      </c>
      <c r="T100" s="24" t="s">
        <v>89</v>
      </c>
      <c r="U100" s="24">
        <v>53.09</v>
      </c>
      <c r="V100" s="24" t="s">
        <v>90</v>
      </c>
      <c r="W100" s="24">
        <v>3.34</v>
      </c>
      <c r="X100" s="24" t="s">
        <v>91</v>
      </c>
      <c r="Y100" s="24">
        <v>36</v>
      </c>
      <c r="Z100" s="24" t="s">
        <v>92</v>
      </c>
      <c r="AA100" s="24">
        <v>3</v>
      </c>
      <c r="AB100" s="24" t="s">
        <v>93</v>
      </c>
      <c r="AC100" s="24">
        <v>33</v>
      </c>
      <c r="AD100" s="24" t="s">
        <v>95</v>
      </c>
      <c r="AE100" s="24">
        <v>61</v>
      </c>
      <c r="AF100" s="24" t="s">
        <v>100</v>
      </c>
      <c r="AG100" s="24">
        <v>2.94</v>
      </c>
      <c r="AH100" s="24" t="s">
        <v>97</v>
      </c>
      <c r="AI100" s="24">
        <f>11.0456-G100</f>
        <v>0.49380000000000024</v>
      </c>
      <c r="AJ100" s="24" t="s">
        <v>98</v>
      </c>
      <c r="AK100" s="24">
        <f>10.6063-G100</f>
        <v>5.4499999999999105E-2</v>
      </c>
      <c r="AL100" s="24" t="s">
        <v>99</v>
      </c>
      <c r="AM100" s="24">
        <v>2</v>
      </c>
      <c r="AN100" s="24" t="s">
        <v>180</v>
      </c>
      <c r="AO100" s="24">
        <v>129</v>
      </c>
    </row>
    <row r="101" spans="1:53" x14ac:dyDescent="0.3">
      <c r="A101" s="24" t="s">
        <v>215</v>
      </c>
      <c r="B101" s="24" t="s">
        <v>201</v>
      </c>
      <c r="C101" s="45">
        <v>45743.604166666664</v>
      </c>
      <c r="D101" s="39"/>
      <c r="E101" s="39"/>
      <c r="F101" s="24" t="s">
        <v>82</v>
      </c>
      <c r="G101" s="24">
        <v>10.549200000000001</v>
      </c>
      <c r="H101" s="24" t="s">
        <v>83</v>
      </c>
      <c r="I101" s="24">
        <v>1048.5999999999999</v>
      </c>
      <c r="J101" s="24" t="s">
        <v>84</v>
      </c>
      <c r="K101" s="24">
        <v>12.8</v>
      </c>
      <c r="L101" s="24" t="s">
        <v>85</v>
      </c>
      <c r="M101" s="24">
        <v>35.869999999999997</v>
      </c>
      <c r="N101" s="24" t="s">
        <v>86</v>
      </c>
      <c r="O101" s="24">
        <v>30.41</v>
      </c>
      <c r="P101" s="24" t="s">
        <v>87</v>
      </c>
      <c r="Q101" s="24">
        <v>30.84</v>
      </c>
      <c r="R101" s="24" t="s">
        <v>88</v>
      </c>
      <c r="S101" s="24">
        <v>58.53</v>
      </c>
      <c r="T101" s="24" t="s">
        <v>89</v>
      </c>
      <c r="U101" s="24">
        <v>54.71</v>
      </c>
      <c r="V101" s="24" t="s">
        <v>90</v>
      </c>
      <c r="W101" s="24">
        <v>3.33</v>
      </c>
      <c r="X101" s="24" t="s">
        <v>91</v>
      </c>
      <c r="Y101" s="24">
        <v>26</v>
      </c>
      <c r="Z101" s="24" t="s">
        <v>92</v>
      </c>
      <c r="AA101" s="24">
        <v>0</v>
      </c>
      <c r="AB101" s="24" t="s">
        <v>93</v>
      </c>
      <c r="AC101" s="24">
        <v>26</v>
      </c>
      <c r="AD101" s="24" t="s">
        <v>95</v>
      </c>
      <c r="AE101" s="24">
        <v>72</v>
      </c>
      <c r="AF101" s="24" t="s">
        <v>100</v>
      </c>
      <c r="AG101" s="24">
        <v>2.88</v>
      </c>
      <c r="AH101" s="24" t="s">
        <v>97</v>
      </c>
      <c r="AI101" s="24">
        <f>11.064-G101</f>
        <v>0.51479999999999926</v>
      </c>
      <c r="AJ101" s="24" t="s">
        <v>98</v>
      </c>
      <c r="AK101" s="24">
        <f>10.6182-G101</f>
        <v>6.8999999999999062E-2</v>
      </c>
      <c r="AL101" s="24" t="s">
        <v>99</v>
      </c>
      <c r="AM101" s="24">
        <v>1.2500000000000004</v>
      </c>
      <c r="AN101" s="24" t="s">
        <v>180</v>
      </c>
      <c r="AO101" s="24">
        <v>206</v>
      </c>
    </row>
    <row r="102" spans="1:53" x14ac:dyDescent="0.3">
      <c r="A102" s="24" t="s">
        <v>216</v>
      </c>
      <c r="B102" s="24" t="s">
        <v>201</v>
      </c>
      <c r="C102" s="45">
        <v>45743.611111111109</v>
      </c>
      <c r="D102" s="39"/>
      <c r="E102" s="39"/>
      <c r="F102" s="24" t="s">
        <v>82</v>
      </c>
      <c r="G102" s="24">
        <v>10.537000000000001</v>
      </c>
      <c r="H102" s="24" t="s">
        <v>83</v>
      </c>
      <c r="I102" s="24">
        <v>1047.9000000000001</v>
      </c>
      <c r="J102" s="24" t="s">
        <v>84</v>
      </c>
      <c r="K102" s="24">
        <v>12.6</v>
      </c>
      <c r="L102" s="24" t="s">
        <v>85</v>
      </c>
      <c r="M102" s="24">
        <v>26.11</v>
      </c>
      <c r="N102" s="24" t="s">
        <v>86</v>
      </c>
      <c r="O102" s="24">
        <v>22.96</v>
      </c>
      <c r="P102" s="24" t="s">
        <v>87</v>
      </c>
      <c r="Q102" s="24">
        <v>24.71</v>
      </c>
      <c r="R102" s="24" t="s">
        <v>88</v>
      </c>
      <c r="S102" s="24">
        <v>62.63</v>
      </c>
      <c r="T102" s="24" t="s">
        <v>89</v>
      </c>
      <c r="U102" s="24">
        <v>47.64</v>
      </c>
      <c r="V102" s="24" t="s">
        <v>90</v>
      </c>
      <c r="W102" s="24">
        <v>3.32</v>
      </c>
      <c r="X102" s="24" t="s">
        <v>91</v>
      </c>
      <c r="Y102" s="24">
        <v>75</v>
      </c>
      <c r="Z102" s="24" t="s">
        <v>92</v>
      </c>
      <c r="AA102" s="24">
        <v>47</v>
      </c>
      <c r="AB102" s="24" t="s">
        <v>93</v>
      </c>
      <c r="AC102" s="24">
        <v>37</v>
      </c>
      <c r="AD102" s="24" t="s">
        <v>95</v>
      </c>
      <c r="AE102" s="24">
        <v>70</v>
      </c>
      <c r="AF102" s="24" t="s">
        <v>100</v>
      </c>
      <c r="AG102" s="24">
        <v>2.84</v>
      </c>
      <c r="AH102" s="24" t="s">
        <v>97</v>
      </c>
      <c r="AI102" s="24">
        <f>11.0888-G102</f>
        <v>0.55180000000000007</v>
      </c>
      <c r="AJ102" s="24" t="s">
        <v>98</v>
      </c>
      <c r="AK102" s="24">
        <f>10.6124-G102</f>
        <v>7.5399999999998357E-2</v>
      </c>
      <c r="AL102" s="24" t="s">
        <v>99</v>
      </c>
      <c r="AM102" s="24">
        <v>2.0499999999999998</v>
      </c>
      <c r="AN102" s="24" t="s">
        <v>180</v>
      </c>
      <c r="AO102" s="24">
        <v>210</v>
      </c>
    </row>
    <row r="103" spans="1:53" x14ac:dyDescent="0.3">
      <c r="A103" s="24" t="s">
        <v>217</v>
      </c>
      <c r="B103" s="24" t="s">
        <v>201</v>
      </c>
      <c r="C103" s="45">
        <v>45744.416666666664</v>
      </c>
      <c r="D103" s="39">
        <v>35.799999999999997</v>
      </c>
      <c r="E103" s="39">
        <v>15.4</v>
      </c>
      <c r="F103" s="24" t="s">
        <v>82</v>
      </c>
      <c r="G103" s="24">
        <v>10.4246</v>
      </c>
      <c r="H103" s="24" t="s">
        <v>83</v>
      </c>
      <c r="I103" s="24">
        <v>1036.7</v>
      </c>
      <c r="J103" s="24" t="s">
        <v>84</v>
      </c>
      <c r="K103" s="24">
        <v>9.6999999999999993</v>
      </c>
      <c r="L103" s="24" t="s">
        <v>85</v>
      </c>
      <c r="M103" s="24">
        <v>49.62</v>
      </c>
      <c r="N103" s="24" t="s">
        <v>86</v>
      </c>
      <c r="O103" s="24">
        <v>46.85</v>
      </c>
      <c r="P103" s="24" t="s">
        <v>87</v>
      </c>
      <c r="Q103" s="24">
        <v>25.08</v>
      </c>
      <c r="R103" s="24" t="s">
        <v>88</v>
      </c>
      <c r="T103" s="24" t="s">
        <v>89</v>
      </c>
      <c r="V103" s="24" t="s">
        <v>90</v>
      </c>
      <c r="W103" s="24">
        <v>4.68</v>
      </c>
      <c r="X103" s="24" t="s">
        <v>91</v>
      </c>
      <c r="Y103" s="24">
        <v>25</v>
      </c>
      <c r="Z103" s="24" t="s">
        <v>92</v>
      </c>
      <c r="AA103" s="24">
        <v>3</v>
      </c>
      <c r="AB103" s="24" t="s">
        <v>93</v>
      </c>
      <c r="AC103" s="24">
        <v>23</v>
      </c>
      <c r="AD103" s="24" t="s">
        <v>95</v>
      </c>
      <c r="AE103" s="24">
        <v>74</v>
      </c>
      <c r="AF103" s="24" t="s">
        <v>100</v>
      </c>
      <c r="AG103" s="24">
        <v>2.64</v>
      </c>
      <c r="AH103" s="24" t="s">
        <v>97</v>
      </c>
      <c r="AI103" s="24">
        <f>11.2035-G103</f>
        <v>0.77890000000000015</v>
      </c>
      <c r="AJ103" s="24" t="s">
        <v>98</v>
      </c>
      <c r="AK103" s="24">
        <f>10.5956-G103</f>
        <v>0.17099999999999937</v>
      </c>
      <c r="AL103" s="24" t="s">
        <v>99</v>
      </c>
      <c r="AM103" s="24">
        <v>3.45</v>
      </c>
      <c r="AN103" s="24" t="s">
        <v>180</v>
      </c>
      <c r="AO103" s="24">
        <v>200</v>
      </c>
    </row>
    <row r="104" spans="1:53" x14ac:dyDescent="0.3">
      <c r="A104" s="24" t="s">
        <v>218</v>
      </c>
      <c r="B104" s="24" t="s">
        <v>201</v>
      </c>
      <c r="C104" s="45">
        <v>45744.604166666664</v>
      </c>
      <c r="D104" s="39"/>
      <c r="E104" s="39"/>
      <c r="F104" s="24" t="s">
        <v>82</v>
      </c>
      <c r="G104" s="24">
        <v>10.576700000000001</v>
      </c>
      <c r="H104" s="24" t="s">
        <v>83</v>
      </c>
      <c r="I104" s="24">
        <v>1031.8</v>
      </c>
      <c r="J104" s="24" t="s">
        <v>84</v>
      </c>
      <c r="K104" s="24">
        <v>8.6</v>
      </c>
      <c r="L104" s="24" t="s">
        <v>85</v>
      </c>
      <c r="M104" s="24">
        <v>70.28</v>
      </c>
      <c r="N104" s="24" t="s">
        <v>86</v>
      </c>
      <c r="O104" s="24">
        <v>61.98</v>
      </c>
      <c r="P104" s="24" t="s">
        <v>87</v>
      </c>
      <c r="Q104" s="24">
        <v>23.93</v>
      </c>
      <c r="R104" s="24" t="s">
        <v>88</v>
      </c>
      <c r="T104" s="24" t="s">
        <v>89</v>
      </c>
      <c r="V104" s="24" t="s">
        <v>90</v>
      </c>
      <c r="W104" s="24">
        <v>5.2</v>
      </c>
      <c r="X104" s="24" t="s">
        <v>91</v>
      </c>
      <c r="Y104" s="24">
        <v>19</v>
      </c>
      <c r="Z104" s="24" t="s">
        <v>92</v>
      </c>
      <c r="AA104" s="24">
        <v>4</v>
      </c>
      <c r="AB104" s="24" t="s">
        <v>93</v>
      </c>
      <c r="AC104" s="24">
        <v>15</v>
      </c>
      <c r="AD104" s="24" t="s">
        <v>95</v>
      </c>
      <c r="AE104" s="24">
        <v>77</v>
      </c>
      <c r="AF104" s="24" t="s">
        <v>100</v>
      </c>
      <c r="AG104" s="24">
        <v>2.66</v>
      </c>
      <c r="AH104" s="24" t="s">
        <v>97</v>
      </c>
      <c r="AI104" s="24">
        <f>12.0815-G104</f>
        <v>1.5047999999999995</v>
      </c>
      <c r="AJ104" s="24" t="s">
        <v>98</v>
      </c>
      <c r="AK104" s="24">
        <f>10.7419-G104</f>
        <v>0.16519999999999868</v>
      </c>
      <c r="AL104" s="24" t="s">
        <v>99</v>
      </c>
      <c r="AM104" s="24">
        <v>2.9000000000000004</v>
      </c>
      <c r="AN104" s="24" t="s">
        <v>180</v>
      </c>
      <c r="AO104" s="24">
        <v>208</v>
      </c>
    </row>
    <row r="105" spans="1:53" x14ac:dyDescent="0.3">
      <c r="A105" s="24" t="s">
        <v>219</v>
      </c>
      <c r="B105" s="24" t="s">
        <v>201</v>
      </c>
      <c r="C105" s="45">
        <v>45745.5</v>
      </c>
      <c r="D105" s="39">
        <v>0</v>
      </c>
      <c r="E105" s="39">
        <v>0</v>
      </c>
      <c r="F105" s="24" t="s">
        <v>82</v>
      </c>
      <c r="G105" s="24">
        <v>10.5153</v>
      </c>
      <c r="H105" s="24" t="s">
        <v>83</v>
      </c>
      <c r="I105" s="24">
        <v>1022.8</v>
      </c>
      <c r="J105" s="24" t="s">
        <v>84</v>
      </c>
      <c r="K105" s="24">
        <v>6.2</v>
      </c>
      <c r="L105" s="24" t="s">
        <v>85</v>
      </c>
      <c r="M105" s="24">
        <v>69.66</v>
      </c>
      <c r="N105" s="24" t="s">
        <v>86</v>
      </c>
      <c r="O105" s="24">
        <v>56.76</v>
      </c>
      <c r="P105" s="24" t="s">
        <v>87</v>
      </c>
      <c r="Q105" s="24">
        <v>14.11</v>
      </c>
      <c r="R105" s="24" t="s">
        <v>88</v>
      </c>
      <c r="T105" s="24" t="s">
        <v>89</v>
      </c>
      <c r="V105" s="24" t="s">
        <v>90</v>
      </c>
      <c r="W105" s="24">
        <v>5.58</v>
      </c>
      <c r="X105" s="24" t="s">
        <v>91</v>
      </c>
      <c r="Z105" s="24" t="s">
        <v>92</v>
      </c>
      <c r="AB105" s="24" t="s">
        <v>93</v>
      </c>
      <c r="AD105" s="24" t="s">
        <v>95</v>
      </c>
      <c r="AE105" s="24">
        <v>70</v>
      </c>
      <c r="AF105" s="24" t="s">
        <v>100</v>
      </c>
      <c r="AG105" s="24">
        <v>2.6</v>
      </c>
      <c r="AH105" s="24" t="s">
        <v>97</v>
      </c>
      <c r="AI105" s="24">
        <f>11.8671-G105</f>
        <v>1.3518000000000008</v>
      </c>
      <c r="AJ105" s="24" t="s">
        <v>98</v>
      </c>
      <c r="AK105" s="24">
        <f>10.7482-G105</f>
        <v>0.23290000000000077</v>
      </c>
      <c r="AL105" s="24" t="s">
        <v>99</v>
      </c>
      <c r="AM105" s="24">
        <v>5</v>
      </c>
      <c r="AN105" s="24" t="s">
        <v>180</v>
      </c>
      <c r="AO105" s="24">
        <v>193</v>
      </c>
    </row>
    <row r="106" spans="1:53" x14ac:dyDescent="0.3">
      <c r="A106" s="24" t="s">
        <v>220</v>
      </c>
      <c r="B106" s="24" t="s">
        <v>201</v>
      </c>
      <c r="C106" s="45">
        <v>45751.375</v>
      </c>
      <c r="D106" s="39">
        <v>19.3</v>
      </c>
      <c r="E106" s="39">
        <v>17.100000000000001</v>
      </c>
      <c r="F106" s="24" t="s">
        <v>82</v>
      </c>
      <c r="G106" s="24">
        <v>10.1251</v>
      </c>
      <c r="H106" s="24" t="s">
        <v>83</v>
      </c>
      <c r="I106" s="24">
        <v>995.1</v>
      </c>
      <c r="J106" s="24" t="s">
        <v>84</v>
      </c>
      <c r="K106" s="24">
        <v>-0.8</v>
      </c>
      <c r="L106" s="24" t="s">
        <v>85</v>
      </c>
      <c r="M106" s="24">
        <v>38.630000000000003</v>
      </c>
      <c r="N106" s="24" t="s">
        <v>86</v>
      </c>
      <c r="O106" s="24">
        <v>37.94</v>
      </c>
      <c r="P106" s="24" t="s">
        <v>87</v>
      </c>
      <c r="Q106" s="24">
        <v>16.899999999999999</v>
      </c>
      <c r="R106" s="24" t="s">
        <v>88</v>
      </c>
      <c r="S106" s="24">
        <v>5.22</v>
      </c>
      <c r="T106" s="24" t="s">
        <v>89</v>
      </c>
      <c r="U106" s="24">
        <v>0.06</v>
      </c>
      <c r="V106" s="24" t="s">
        <v>90</v>
      </c>
      <c r="W106" s="24">
        <v>7.62</v>
      </c>
      <c r="X106" s="24" t="s">
        <v>91</v>
      </c>
      <c r="Y106" s="24">
        <v>17</v>
      </c>
      <c r="Z106" s="24" t="s">
        <v>92</v>
      </c>
      <c r="AA106" s="24">
        <v>9</v>
      </c>
      <c r="AB106" s="24" t="s">
        <v>93</v>
      </c>
      <c r="AC106" s="24">
        <v>10</v>
      </c>
      <c r="AD106" s="24" t="s">
        <v>94</v>
      </c>
      <c r="AE106" s="24">
        <v>0.55000000000000004</v>
      </c>
      <c r="AF106" s="24" t="s">
        <v>95</v>
      </c>
      <c r="AG106" s="24">
        <v>67</v>
      </c>
      <c r="AH106" s="24" t="s">
        <v>97</v>
      </c>
      <c r="AI106" s="24">
        <f>10.8502-G106</f>
        <v>0.72509999999999941</v>
      </c>
      <c r="AJ106" s="24" t="s">
        <v>98</v>
      </c>
      <c r="AK106" s="24">
        <f>10.3191-G106</f>
        <v>0.19400000000000084</v>
      </c>
      <c r="AL106" s="24" t="s">
        <v>99</v>
      </c>
      <c r="AM106" s="24">
        <v>5.85</v>
      </c>
      <c r="AN106" s="24" t="s">
        <v>180</v>
      </c>
      <c r="AO106" s="24">
        <v>170</v>
      </c>
      <c r="AP106" s="24" t="s">
        <v>102</v>
      </c>
      <c r="AQ106" s="24">
        <v>228</v>
      </c>
      <c r="AR106" s="24" t="s">
        <v>100</v>
      </c>
      <c r="AS106" s="24">
        <v>2.7</v>
      </c>
      <c r="AT106" s="24" t="s">
        <v>101</v>
      </c>
      <c r="AU106" s="24">
        <v>1.05</v>
      </c>
      <c r="AV106" s="24" t="s">
        <v>103</v>
      </c>
      <c r="AW106" s="24">
        <v>3.1</v>
      </c>
      <c r="AX106" s="24" t="s">
        <v>104</v>
      </c>
      <c r="AY106" s="24">
        <v>2</v>
      </c>
      <c r="AZ106" s="24" t="s">
        <v>105</v>
      </c>
      <c r="BA106" s="24">
        <v>193</v>
      </c>
    </row>
    <row r="107" spans="1:53" x14ac:dyDescent="0.3">
      <c r="A107" s="24" t="s">
        <v>221</v>
      </c>
      <c r="B107" s="24" t="s">
        <v>201</v>
      </c>
      <c r="C107" s="45">
        <v>45741.75</v>
      </c>
      <c r="D107" s="39"/>
      <c r="E107" s="39"/>
      <c r="F107" s="24" t="s">
        <v>82</v>
      </c>
      <c r="G107" s="24">
        <v>10.457100000000001</v>
      </c>
      <c r="H107" s="24" t="s">
        <v>83</v>
      </c>
      <c r="I107" s="24">
        <v>1061.9000000000001</v>
      </c>
      <c r="J107" s="24" t="s">
        <v>84</v>
      </c>
      <c r="K107" s="24">
        <v>15.5</v>
      </c>
      <c r="L107" s="24" t="s">
        <v>85</v>
      </c>
      <c r="M107" s="24">
        <v>11.29</v>
      </c>
      <c r="N107" s="24" t="s">
        <v>86</v>
      </c>
      <c r="O107" s="24">
        <v>0.69</v>
      </c>
      <c r="P107" s="24" t="s">
        <v>87</v>
      </c>
      <c r="Q107" s="24">
        <v>25.17</v>
      </c>
      <c r="R107" s="24" t="s">
        <v>88</v>
      </c>
      <c r="T107" s="24" t="s">
        <v>89</v>
      </c>
      <c r="V107" s="24" t="s">
        <v>90</v>
      </c>
      <c r="W107" s="24">
        <v>2.52</v>
      </c>
      <c r="X107" s="24" t="s">
        <v>91</v>
      </c>
      <c r="Y107" s="24">
        <v>99</v>
      </c>
      <c r="Z107" s="24" t="s">
        <v>92</v>
      </c>
      <c r="AA107" s="24">
        <v>39</v>
      </c>
      <c r="AB107" s="24" t="s">
        <v>93</v>
      </c>
      <c r="AC107" s="24">
        <v>67</v>
      </c>
      <c r="AD107" s="24" t="s">
        <v>94</v>
      </c>
      <c r="AE107" s="24">
        <v>0.27</v>
      </c>
      <c r="AF107" s="24" t="s">
        <v>95</v>
      </c>
      <c r="AG107" s="24">
        <v>18</v>
      </c>
      <c r="AH107" s="24" t="s">
        <v>97</v>
      </c>
      <c r="AI107" s="24">
        <f>11.3267-G107</f>
        <v>0.86960000000000015</v>
      </c>
      <c r="AJ107" s="24" t="s">
        <v>98</v>
      </c>
      <c r="AK107" s="24">
        <f>10.5856-G107</f>
        <v>0.12849999999999895</v>
      </c>
      <c r="AL107" s="24" t="s">
        <v>99</v>
      </c>
      <c r="AM107" s="24">
        <v>0.9</v>
      </c>
      <c r="AN107" s="24" t="s">
        <v>180</v>
      </c>
      <c r="AP107" s="24" t="s">
        <v>102</v>
      </c>
      <c r="AQ107" s="24">
        <v>369</v>
      </c>
      <c r="AR107" s="24" t="s">
        <v>100</v>
      </c>
      <c r="AS107" s="24">
        <v>3.06</v>
      </c>
      <c r="AT107" s="24" t="s">
        <v>101</v>
      </c>
      <c r="AU107" s="24">
        <v>3.22</v>
      </c>
      <c r="AV107" s="24" t="s">
        <v>103</v>
      </c>
      <c r="AW107" s="24">
        <v>2.8</v>
      </c>
      <c r="AX107" s="24" t="s">
        <v>104</v>
      </c>
      <c r="AY107" s="24">
        <v>7</v>
      </c>
      <c r="AZ107" s="24" t="s">
        <v>105</v>
      </c>
      <c r="BA107" s="24">
        <v>267</v>
      </c>
    </row>
    <row r="108" spans="1:53" x14ac:dyDescent="0.3">
      <c r="A108" s="24" t="s">
        <v>222</v>
      </c>
      <c r="B108" s="24" t="s">
        <v>223</v>
      </c>
      <c r="C108" s="45">
        <v>45755.75</v>
      </c>
      <c r="D108" s="39"/>
      <c r="E108" s="39"/>
      <c r="F108" s="24" t="s">
        <v>82</v>
      </c>
      <c r="G108" s="24">
        <v>10.2401</v>
      </c>
      <c r="H108" s="24" t="s">
        <v>83</v>
      </c>
      <c r="I108" s="24">
        <v>1058.9000000000001</v>
      </c>
      <c r="J108" s="24" t="s">
        <v>84</v>
      </c>
      <c r="K108" s="24">
        <v>15.1</v>
      </c>
      <c r="L108" s="24" t="s">
        <v>85</v>
      </c>
      <c r="M108" s="24">
        <v>29.1</v>
      </c>
      <c r="N108" s="24" t="s">
        <v>86</v>
      </c>
      <c r="O108" s="24">
        <v>23.68</v>
      </c>
      <c r="P108" s="24" t="s">
        <v>87</v>
      </c>
      <c r="Q108" s="24">
        <v>17.46</v>
      </c>
      <c r="R108" s="24" t="s">
        <v>88</v>
      </c>
      <c r="S108" s="24" t="s">
        <v>224</v>
      </c>
      <c r="T108" s="24" t="s">
        <v>89</v>
      </c>
      <c r="U108" s="24" t="s">
        <v>224</v>
      </c>
      <c r="V108" s="24" t="s">
        <v>90</v>
      </c>
      <c r="W108" s="24">
        <v>2.35</v>
      </c>
      <c r="X108" s="24" t="s">
        <v>91</v>
      </c>
      <c r="Y108" s="24">
        <v>107</v>
      </c>
      <c r="Z108" s="24" t="s">
        <v>92</v>
      </c>
      <c r="AA108" s="24">
        <v>39</v>
      </c>
      <c r="AB108" s="24" t="s">
        <v>93</v>
      </c>
      <c r="AC108" s="24">
        <v>75</v>
      </c>
      <c r="AD108" s="24" t="s">
        <v>94</v>
      </c>
      <c r="AE108" s="24">
        <v>0.22</v>
      </c>
      <c r="AF108" s="24" t="s">
        <v>95</v>
      </c>
      <c r="AG108" s="24">
        <v>24</v>
      </c>
      <c r="AH108" s="24" t="s">
        <v>97</v>
      </c>
      <c r="AI108" s="24">
        <f>10.3513-G108</f>
        <v>0.11120000000000019</v>
      </c>
      <c r="AJ108" s="24" t="s">
        <v>98</v>
      </c>
      <c r="AK108" s="24">
        <f>10.1647-G108</f>
        <v>-7.5400000000000134E-2</v>
      </c>
      <c r="AL108" s="24" t="s">
        <v>99</v>
      </c>
      <c r="AM108" s="24">
        <v>1.2500000000000004</v>
      </c>
      <c r="AN108" s="24" t="s">
        <v>180</v>
      </c>
      <c r="AO108" s="24">
        <v>168</v>
      </c>
      <c r="AP108" s="24" t="s">
        <v>102</v>
      </c>
      <c r="AQ108" s="24">
        <v>352</v>
      </c>
      <c r="AR108" s="24" t="s">
        <v>100</v>
      </c>
      <c r="AS108" s="24">
        <v>2.92</v>
      </c>
      <c r="AT108" s="24" t="s">
        <v>101</v>
      </c>
      <c r="AU108" s="24">
        <v>0.51</v>
      </c>
      <c r="AV108" s="24" t="s">
        <v>103</v>
      </c>
      <c r="AW108" s="24">
        <v>2.9</v>
      </c>
      <c r="AX108" s="24" t="s">
        <v>104</v>
      </c>
      <c r="AY108" s="24">
        <v>4</v>
      </c>
      <c r="AZ108" s="24" t="s">
        <v>105</v>
      </c>
      <c r="BA108" s="24">
        <v>249</v>
      </c>
    </row>
    <row r="109" spans="1:53" x14ac:dyDescent="0.3">
      <c r="A109" s="24" t="s">
        <v>225</v>
      </c>
      <c r="B109" s="24" t="s">
        <v>223</v>
      </c>
      <c r="C109" s="45">
        <v>45756.375</v>
      </c>
      <c r="D109" s="39"/>
      <c r="E109" s="39"/>
      <c r="F109" s="24" t="s">
        <v>82</v>
      </c>
      <c r="G109" s="24">
        <v>10.345000000000001</v>
      </c>
      <c r="H109" s="24" t="s">
        <v>83</v>
      </c>
      <c r="I109" s="24">
        <v>1058.2</v>
      </c>
      <c r="J109" s="24" t="s">
        <v>84</v>
      </c>
      <c r="K109" s="24">
        <v>14.7</v>
      </c>
      <c r="L109" s="24" t="s">
        <v>85</v>
      </c>
      <c r="M109" s="24">
        <v>14.36</v>
      </c>
      <c r="N109" s="24" t="s">
        <v>86</v>
      </c>
      <c r="O109" s="24">
        <v>12.37</v>
      </c>
      <c r="P109" s="24" t="s">
        <v>87</v>
      </c>
      <c r="Q109" s="24">
        <v>11.76</v>
      </c>
      <c r="R109" s="24" t="s">
        <v>88</v>
      </c>
      <c r="S109" s="24">
        <v>67.569999999999993</v>
      </c>
      <c r="T109" s="24" t="s">
        <v>89</v>
      </c>
      <c r="U109" s="24">
        <v>65.069999999999993</v>
      </c>
      <c r="V109" s="24" t="s">
        <v>90</v>
      </c>
      <c r="W109" s="24">
        <v>2.68</v>
      </c>
      <c r="X109" s="24" t="s">
        <v>91</v>
      </c>
      <c r="Y109" s="24">
        <v>94</v>
      </c>
      <c r="Z109" s="24" t="s">
        <v>92</v>
      </c>
      <c r="AA109" s="24">
        <v>32</v>
      </c>
      <c r="AB109" s="24" t="s">
        <v>93</v>
      </c>
      <c r="AC109" s="24">
        <v>68</v>
      </c>
      <c r="AD109" s="24" t="s">
        <v>95</v>
      </c>
      <c r="AE109" s="24">
        <v>34</v>
      </c>
      <c r="AF109" s="24" t="s">
        <v>100</v>
      </c>
      <c r="AG109" s="24">
        <v>3.05</v>
      </c>
      <c r="AH109" s="24" t="s">
        <v>97</v>
      </c>
      <c r="AI109" s="24">
        <f>10.5581-G109</f>
        <v>0.21309999999999896</v>
      </c>
      <c r="AJ109" s="24" t="s">
        <v>98</v>
      </c>
      <c r="AK109" s="24">
        <f>10.3799-G109</f>
        <v>3.4899999999998599E-2</v>
      </c>
      <c r="AL109" s="24" t="s">
        <v>99</v>
      </c>
      <c r="AM109" s="24">
        <v>2.1</v>
      </c>
      <c r="AN109" s="24" t="s">
        <v>180</v>
      </c>
      <c r="AO109" s="24">
        <v>210</v>
      </c>
    </row>
    <row r="110" spans="1:53" x14ac:dyDescent="0.3">
      <c r="A110" s="26" t="s">
        <v>226</v>
      </c>
      <c r="B110" s="26" t="s">
        <v>223</v>
      </c>
      <c r="C110" s="45">
        <v>45761.375</v>
      </c>
      <c r="D110" s="39"/>
      <c r="E110" s="39"/>
      <c r="F110" s="24" t="s">
        <v>82</v>
      </c>
      <c r="G110" s="24">
        <v>10.2781</v>
      </c>
      <c r="H110" s="24" t="s">
        <v>83</v>
      </c>
      <c r="I110" s="24">
        <v>999.7</v>
      </c>
      <c r="J110" s="24" t="s">
        <v>84</v>
      </c>
      <c r="K110" s="24">
        <v>0.4</v>
      </c>
      <c r="L110" s="24" t="s">
        <v>85</v>
      </c>
      <c r="M110" s="24">
        <v>50.77</v>
      </c>
      <c r="N110" s="24" t="s">
        <v>86</v>
      </c>
      <c r="O110" s="24">
        <v>50.31</v>
      </c>
      <c r="P110" s="24" t="s">
        <v>87</v>
      </c>
      <c r="Q110" s="24">
        <v>13.16</v>
      </c>
      <c r="R110" s="24" t="s">
        <v>88</v>
      </c>
      <c r="S110" s="24">
        <v>16.38</v>
      </c>
      <c r="T110" s="24" t="s">
        <v>89</v>
      </c>
      <c r="U110" s="24">
        <v>0.79</v>
      </c>
      <c r="V110" s="24" t="s">
        <v>90</v>
      </c>
      <c r="W110" s="24">
        <v>6.33</v>
      </c>
      <c r="X110" s="24" t="s">
        <v>91</v>
      </c>
      <c r="Z110" s="24" t="s">
        <v>92</v>
      </c>
      <c r="AB110" s="24" t="s">
        <v>93</v>
      </c>
      <c r="AD110" s="24" t="s">
        <v>95</v>
      </c>
      <c r="AE110" s="24">
        <v>56</v>
      </c>
      <c r="AF110" s="24" t="s">
        <v>100</v>
      </c>
      <c r="AG110" s="24">
        <v>2.63</v>
      </c>
      <c r="AH110" s="24" t="s">
        <v>97</v>
      </c>
      <c r="AI110" s="24">
        <f>11.1846-G110</f>
        <v>0.90649999999999942</v>
      </c>
      <c r="AJ110" s="24" t="s">
        <v>98</v>
      </c>
      <c r="AK110" s="24">
        <f>10.5468-G110</f>
        <v>0.26869999999999905</v>
      </c>
      <c r="AL110" s="24" t="s">
        <v>99</v>
      </c>
      <c r="AM110" s="24">
        <v>9.7999999999999989</v>
      </c>
      <c r="AN110" s="24" t="s">
        <v>180</v>
      </c>
      <c r="AO110" s="24">
        <v>184</v>
      </c>
    </row>
    <row r="111" spans="1:53" x14ac:dyDescent="0.3">
      <c r="A111" s="24" t="s">
        <v>227</v>
      </c>
      <c r="B111" s="24" t="s">
        <v>223</v>
      </c>
      <c r="C111" s="45">
        <v>45761.625</v>
      </c>
      <c r="D111" s="39">
        <v>11</v>
      </c>
      <c r="E111" s="39">
        <v>6.8</v>
      </c>
      <c r="F111" s="24" t="s">
        <v>82</v>
      </c>
      <c r="G111" s="24">
        <v>10.441800000000001</v>
      </c>
      <c r="H111" s="24" t="s">
        <v>83</v>
      </c>
      <c r="I111" s="24">
        <v>997.7</v>
      </c>
      <c r="J111" s="24" t="s">
        <v>84</v>
      </c>
      <c r="K111" s="24">
        <v>0.1</v>
      </c>
      <c r="L111" s="24" t="s">
        <v>85</v>
      </c>
      <c r="M111" s="24">
        <v>79.8</v>
      </c>
      <c r="N111" s="24" t="s">
        <v>86</v>
      </c>
      <c r="O111" s="24">
        <v>69.510000000000005</v>
      </c>
      <c r="P111" s="24" t="s">
        <v>87</v>
      </c>
      <c r="Q111" s="24">
        <v>7.22</v>
      </c>
      <c r="R111" s="24" t="s">
        <v>88</v>
      </c>
      <c r="S111" s="24">
        <v>14.19</v>
      </c>
      <c r="T111" s="24" t="s">
        <v>89</v>
      </c>
      <c r="U111" s="24">
        <v>0.56000000000000005</v>
      </c>
      <c r="V111" s="24" t="s">
        <v>90</v>
      </c>
      <c r="W111" s="24">
        <v>6.55</v>
      </c>
      <c r="X111" s="24" t="s">
        <v>91</v>
      </c>
      <c r="Z111" s="24" t="s">
        <v>92</v>
      </c>
      <c r="AB111" s="24" t="s">
        <v>93</v>
      </c>
      <c r="AD111" s="24" t="s">
        <v>95</v>
      </c>
      <c r="AE111" s="24">
        <v>58</v>
      </c>
      <c r="AF111" s="24" t="s">
        <v>100</v>
      </c>
      <c r="AG111" s="24">
        <v>2.59</v>
      </c>
      <c r="AH111" s="24" t="s">
        <v>97</v>
      </c>
      <c r="AI111" s="24">
        <f>11.6131-G111</f>
        <v>1.1712999999999987</v>
      </c>
      <c r="AJ111" s="24" t="s">
        <v>98</v>
      </c>
      <c r="AK111" s="24">
        <f>10.6363-G111</f>
        <v>0.19449999999999967</v>
      </c>
      <c r="AL111" s="24" t="s">
        <v>99</v>
      </c>
      <c r="AM111" s="24">
        <v>4.7</v>
      </c>
      <c r="AN111" s="24" t="s">
        <v>180</v>
      </c>
      <c r="AO111" s="24">
        <v>188</v>
      </c>
    </row>
    <row r="112" spans="1:53" x14ac:dyDescent="0.3">
      <c r="A112" s="24" t="s">
        <v>228</v>
      </c>
      <c r="B112" s="24" t="s">
        <v>223</v>
      </c>
      <c r="C112" s="45">
        <v>45762.375</v>
      </c>
      <c r="D112" s="39"/>
      <c r="E112" s="39"/>
      <c r="F112" s="24" t="s">
        <v>82</v>
      </c>
      <c r="G112" s="24">
        <v>9.8492999999999995</v>
      </c>
      <c r="H112" s="24" t="s">
        <v>83</v>
      </c>
      <c r="I112" s="24">
        <v>996.3</v>
      </c>
      <c r="J112" s="24" t="s">
        <v>84</v>
      </c>
      <c r="K112" s="24">
        <v>-0.6</v>
      </c>
      <c r="L112" s="24" t="s">
        <v>85</v>
      </c>
      <c r="M112" s="24">
        <v>57.58</v>
      </c>
      <c r="N112" s="24" t="s">
        <v>86</v>
      </c>
      <c r="O112" s="24">
        <v>57.53</v>
      </c>
      <c r="P112" s="24" t="s">
        <v>87</v>
      </c>
      <c r="Q112" s="24">
        <v>18.91</v>
      </c>
      <c r="R112" s="24" t="s">
        <v>88</v>
      </c>
      <c r="S112" s="24">
        <v>6.99</v>
      </c>
      <c r="T112" s="24" t="s">
        <v>89</v>
      </c>
      <c r="U112" s="24">
        <v>0.19</v>
      </c>
      <c r="V112" s="24" t="s">
        <v>90</v>
      </c>
      <c r="W112" s="24">
        <v>6.71</v>
      </c>
      <c r="X112" s="24" t="s">
        <v>91</v>
      </c>
      <c r="Z112" s="24" t="s">
        <v>92</v>
      </c>
      <c r="AB112" s="24" t="s">
        <v>93</v>
      </c>
      <c r="AD112" s="24" t="s">
        <v>95</v>
      </c>
      <c r="AE112" s="24">
        <v>55</v>
      </c>
      <c r="AF112" s="24" t="s">
        <v>100</v>
      </c>
      <c r="AG112" s="24">
        <v>2.63</v>
      </c>
      <c r="AH112" s="24" t="s">
        <v>97</v>
      </c>
      <c r="AI112" s="24">
        <f>10.706-G112</f>
        <v>0.85670000000000002</v>
      </c>
      <c r="AJ112" s="24" t="s">
        <v>98</v>
      </c>
      <c r="AK112" s="24">
        <f>10.0594-G112</f>
        <v>0.21010000000000062</v>
      </c>
      <c r="AL112" s="24" t="s">
        <v>99</v>
      </c>
      <c r="AM112" s="24">
        <v>9.4</v>
      </c>
      <c r="AN112" s="24" t="s">
        <v>180</v>
      </c>
      <c r="AO112" s="24">
        <v>183</v>
      </c>
    </row>
    <row r="113" spans="1:53" x14ac:dyDescent="0.3">
      <c r="A113" s="24" t="s">
        <v>229</v>
      </c>
      <c r="B113" s="24" t="s">
        <v>223</v>
      </c>
      <c r="C113" s="45">
        <v>45762.625</v>
      </c>
      <c r="D113" s="39">
        <v>4.5</v>
      </c>
      <c r="E113" s="39">
        <v>5.8</v>
      </c>
      <c r="F113" s="24" t="s">
        <v>82</v>
      </c>
      <c r="G113" s="24">
        <v>9.7882999999999996</v>
      </c>
      <c r="H113" s="24" t="s">
        <v>83</v>
      </c>
      <c r="I113" s="24">
        <v>994.3</v>
      </c>
      <c r="J113" s="24" t="s">
        <v>84</v>
      </c>
      <c r="K113" s="24">
        <v>-0.8</v>
      </c>
      <c r="L113" s="24" t="s">
        <v>85</v>
      </c>
      <c r="M113" s="24">
        <v>60.91</v>
      </c>
      <c r="N113" s="24" t="s">
        <v>86</v>
      </c>
      <c r="O113" s="24">
        <v>59.45</v>
      </c>
      <c r="P113" s="24" t="s">
        <v>87</v>
      </c>
      <c r="Q113" s="24">
        <v>18.16</v>
      </c>
      <c r="R113" s="24" t="s">
        <v>88</v>
      </c>
      <c r="S113" s="24">
        <v>5.57</v>
      </c>
      <c r="T113" s="24" t="s">
        <v>89</v>
      </c>
      <c r="U113" s="24">
        <v>0.43</v>
      </c>
      <c r="V113" s="24" t="s">
        <v>90</v>
      </c>
      <c r="W113" s="24">
        <v>6.42</v>
      </c>
      <c r="X113" s="24" t="s">
        <v>91</v>
      </c>
      <c r="Z113" s="24" t="s">
        <v>92</v>
      </c>
      <c r="AB113" s="24" t="s">
        <v>93</v>
      </c>
      <c r="AD113" s="24" t="s">
        <v>95</v>
      </c>
      <c r="AE113" s="24">
        <v>62</v>
      </c>
      <c r="AF113" s="24" t="s">
        <v>100</v>
      </c>
      <c r="AG113" s="24">
        <v>2.5499999999999998</v>
      </c>
      <c r="AH113" s="24" t="s">
        <v>97</v>
      </c>
      <c r="AI113" s="24">
        <f>10.6433-G113</f>
        <v>0.85500000000000043</v>
      </c>
      <c r="AJ113" s="24" t="s">
        <v>98</v>
      </c>
      <c r="AK113" s="24">
        <f>10.0431-G113</f>
        <v>0.25480000000000125</v>
      </c>
      <c r="AL113" s="24" t="s">
        <v>99</v>
      </c>
      <c r="AM113" s="24">
        <v>8.8000000000000007</v>
      </c>
      <c r="AN113" s="24" t="s">
        <v>180</v>
      </c>
      <c r="AO113" s="24">
        <v>186</v>
      </c>
    </row>
    <row r="114" spans="1:53" x14ac:dyDescent="0.3">
      <c r="A114" s="24" t="s">
        <v>230</v>
      </c>
      <c r="B114" s="24" t="s">
        <v>223</v>
      </c>
      <c r="C114" s="45">
        <v>45763.375</v>
      </c>
      <c r="D114" s="39"/>
      <c r="E114" s="39"/>
      <c r="F114" s="24" t="s">
        <v>82</v>
      </c>
      <c r="G114" s="24">
        <v>9.8400999999999996</v>
      </c>
      <c r="H114" s="24" t="s">
        <v>83</v>
      </c>
      <c r="I114" s="24">
        <v>993.8</v>
      </c>
      <c r="J114" s="24" t="s">
        <v>84</v>
      </c>
      <c r="K114" s="24">
        <v>-1.2</v>
      </c>
      <c r="L114" s="24" t="s">
        <v>85</v>
      </c>
      <c r="M114" s="24">
        <v>39.479999999999997</v>
      </c>
      <c r="N114" s="24" t="s">
        <v>86</v>
      </c>
      <c r="O114" s="24">
        <v>38.79</v>
      </c>
      <c r="P114" s="24" t="s">
        <v>87</v>
      </c>
      <c r="Q114" s="24">
        <v>20.62</v>
      </c>
      <c r="R114" s="24" t="s">
        <v>88</v>
      </c>
      <c r="S114" s="24">
        <v>2.31</v>
      </c>
      <c r="T114" s="24" t="s">
        <v>89</v>
      </c>
      <c r="U114" s="24">
        <v>0.08</v>
      </c>
      <c r="V114" s="24" t="s">
        <v>90</v>
      </c>
      <c r="W114" s="24">
        <v>6.78</v>
      </c>
      <c r="X114" s="24" t="s">
        <v>91</v>
      </c>
      <c r="Z114" s="24" t="s">
        <v>92</v>
      </c>
      <c r="AB114" s="24" t="s">
        <v>93</v>
      </c>
      <c r="AD114" s="24" t="s">
        <v>95</v>
      </c>
      <c r="AE114" s="24">
        <v>47</v>
      </c>
      <c r="AF114" s="24" t="s">
        <v>100</v>
      </c>
      <c r="AG114" s="24">
        <v>2.58</v>
      </c>
      <c r="AH114" s="24" t="s">
        <v>97</v>
      </c>
      <c r="AJ114" s="24" t="s">
        <v>98</v>
      </c>
      <c r="AL114" s="24" t="s">
        <v>99</v>
      </c>
      <c r="AM114" s="24">
        <v>10.3</v>
      </c>
      <c r="AN114" s="24" t="s">
        <v>180</v>
      </c>
      <c r="AO114" s="24">
        <v>177</v>
      </c>
    </row>
    <row r="115" spans="1:53" x14ac:dyDescent="0.3">
      <c r="A115" s="24" t="s">
        <v>231</v>
      </c>
      <c r="B115" s="24" t="s">
        <v>223</v>
      </c>
      <c r="C115" s="45">
        <v>45756.625</v>
      </c>
      <c r="D115" s="39"/>
      <c r="E115" s="39"/>
      <c r="F115" s="24" t="s">
        <v>82</v>
      </c>
      <c r="G115" s="24">
        <v>10.2026</v>
      </c>
      <c r="H115" s="24" t="s">
        <v>83</v>
      </c>
      <c r="I115" s="24">
        <v>1056.5</v>
      </c>
      <c r="J115" s="24" t="s">
        <v>84</v>
      </c>
      <c r="K115" s="24">
        <v>14.4</v>
      </c>
      <c r="L115" s="24" t="s">
        <v>85</v>
      </c>
      <c r="M115" s="24">
        <v>18.89</v>
      </c>
      <c r="N115" s="24" t="s">
        <v>86</v>
      </c>
      <c r="O115" s="24">
        <v>16.510000000000002</v>
      </c>
      <c r="P115" s="24" t="s">
        <v>87</v>
      </c>
      <c r="Q115" s="24">
        <v>25.61</v>
      </c>
      <c r="R115" s="24" t="s">
        <v>88</v>
      </c>
      <c r="S115" s="24">
        <v>69.02</v>
      </c>
      <c r="T115" s="24" t="s">
        <v>89</v>
      </c>
      <c r="U115" s="24">
        <v>68.180000000000007</v>
      </c>
      <c r="V115" s="24" t="s">
        <v>90</v>
      </c>
      <c r="W115" s="24">
        <v>2.89</v>
      </c>
      <c r="X115" s="24" t="s">
        <v>91</v>
      </c>
      <c r="Y115" s="24">
        <v>81</v>
      </c>
      <c r="Z115" s="24" t="s">
        <v>92</v>
      </c>
      <c r="AA115" s="24">
        <v>24</v>
      </c>
      <c r="AB115" s="24" t="s">
        <v>93</v>
      </c>
      <c r="AC115" s="24">
        <v>61</v>
      </c>
      <c r="AD115" s="24" t="s">
        <v>95</v>
      </c>
      <c r="AE115" s="24">
        <v>37</v>
      </c>
      <c r="AF115" s="24" t="s">
        <v>100</v>
      </c>
      <c r="AG115" s="24">
        <v>3.07</v>
      </c>
      <c r="AH115" s="24" t="s">
        <v>97</v>
      </c>
      <c r="AI115" s="24">
        <f>10.4893-G115</f>
        <v>0.28669999999999973</v>
      </c>
      <c r="AJ115" s="24" t="s">
        <v>98</v>
      </c>
      <c r="AK115" s="24">
        <f>10.2558-G115</f>
        <v>5.3200000000000358E-2</v>
      </c>
      <c r="AL115" s="24" t="s">
        <v>99</v>
      </c>
      <c r="AM115" s="24">
        <v>2.25</v>
      </c>
      <c r="AN115" s="24" t="s">
        <v>180</v>
      </c>
      <c r="AO115" s="24">
        <v>236</v>
      </c>
    </row>
    <row r="116" spans="1:53" x14ac:dyDescent="0.3">
      <c r="A116" s="24" t="s">
        <v>232</v>
      </c>
      <c r="B116" s="24" t="s">
        <v>223</v>
      </c>
      <c r="C116" s="45">
        <v>45757.375</v>
      </c>
      <c r="D116" s="39"/>
      <c r="E116" s="39"/>
      <c r="F116" s="24" t="s">
        <v>82</v>
      </c>
      <c r="G116" s="24">
        <v>10.3119</v>
      </c>
      <c r="H116" s="24" t="s">
        <v>83</v>
      </c>
      <c r="I116" s="24">
        <v>1047.3</v>
      </c>
      <c r="J116" s="24" t="s">
        <v>84</v>
      </c>
      <c r="K116" s="24">
        <v>12.2</v>
      </c>
      <c r="L116" s="24" t="s">
        <v>85</v>
      </c>
      <c r="M116" s="24">
        <v>29.8</v>
      </c>
      <c r="N116" s="24" t="s">
        <v>86</v>
      </c>
      <c r="O116" s="24">
        <v>29.42</v>
      </c>
      <c r="P116" s="24" t="s">
        <v>87</v>
      </c>
      <c r="Q116" s="24">
        <v>20.36</v>
      </c>
      <c r="R116" s="24" t="s">
        <v>88</v>
      </c>
      <c r="S116" s="24">
        <v>57.25</v>
      </c>
      <c r="T116" s="24" t="s">
        <v>89</v>
      </c>
      <c r="U116" s="24">
        <v>49.04</v>
      </c>
      <c r="V116" s="24" t="s">
        <v>90</v>
      </c>
      <c r="W116" s="24">
        <v>3.78</v>
      </c>
      <c r="X116" s="24" t="s">
        <v>91</v>
      </c>
      <c r="Y116" s="24">
        <v>21</v>
      </c>
      <c r="Z116" s="24" t="s">
        <v>92</v>
      </c>
      <c r="AA116" s="24">
        <v>3</v>
      </c>
      <c r="AB116" s="24" t="s">
        <v>93</v>
      </c>
      <c r="AC116" s="24">
        <v>18</v>
      </c>
      <c r="AD116" s="24" t="s">
        <v>95</v>
      </c>
      <c r="AE116" s="24">
        <v>76</v>
      </c>
      <c r="AF116" s="24" t="s">
        <v>100</v>
      </c>
      <c r="AG116" s="24">
        <v>2.96</v>
      </c>
      <c r="AH116" s="24" t="s">
        <v>97</v>
      </c>
      <c r="AI116" s="24">
        <f>10.8289-G116</f>
        <v>0.51700000000000124</v>
      </c>
      <c r="AJ116" s="24" t="s">
        <v>98</v>
      </c>
      <c r="AK116" s="24">
        <f>10.4017-G116</f>
        <v>8.9800000000000324E-2</v>
      </c>
      <c r="AL116" s="24" t="s">
        <v>99</v>
      </c>
      <c r="AM116" s="24">
        <v>2.95</v>
      </c>
      <c r="AN116" s="24" t="s">
        <v>180</v>
      </c>
      <c r="AO116" s="24">
        <v>235</v>
      </c>
    </row>
    <row r="117" spans="1:53" x14ac:dyDescent="0.3">
      <c r="A117" s="24" t="s">
        <v>233</v>
      </c>
      <c r="B117" s="24" t="s">
        <v>223</v>
      </c>
      <c r="C117" s="45">
        <v>45757.5</v>
      </c>
      <c r="D117" s="39">
        <v>22</v>
      </c>
      <c r="E117" s="39">
        <v>11.5</v>
      </c>
      <c r="F117" s="24" t="s">
        <v>82</v>
      </c>
      <c r="G117" s="24">
        <v>10.169600000000001</v>
      </c>
      <c r="H117" s="24" t="s">
        <v>83</v>
      </c>
      <c r="I117" s="24">
        <v>1044.9000000000001</v>
      </c>
      <c r="J117" s="24" t="s">
        <v>84</v>
      </c>
      <c r="K117" s="24">
        <v>11.7</v>
      </c>
      <c r="L117" s="24" t="s">
        <v>85</v>
      </c>
      <c r="M117" s="24">
        <v>42.24</v>
      </c>
      <c r="N117" s="24" t="s">
        <v>86</v>
      </c>
      <c r="O117" s="24">
        <v>40.090000000000003</v>
      </c>
      <c r="P117" s="24" t="s">
        <v>87</v>
      </c>
      <c r="Q117" s="24">
        <v>24.18</v>
      </c>
      <c r="R117" s="24" t="s">
        <v>88</v>
      </c>
      <c r="S117" s="24">
        <v>59.36</v>
      </c>
      <c r="T117" s="24" t="s">
        <v>89</v>
      </c>
      <c r="U117" s="24">
        <v>48.75</v>
      </c>
      <c r="V117" s="24" t="s">
        <v>90</v>
      </c>
      <c r="W117" s="24">
        <v>4.07</v>
      </c>
      <c r="X117" s="24" t="s">
        <v>91</v>
      </c>
      <c r="Y117" s="24">
        <v>61</v>
      </c>
      <c r="Z117" s="24" t="s">
        <v>92</v>
      </c>
      <c r="AA117" s="24">
        <v>36</v>
      </c>
      <c r="AB117" s="24" t="s">
        <v>93</v>
      </c>
      <c r="AC117" s="24">
        <v>31</v>
      </c>
      <c r="AD117" s="24" t="s">
        <v>95</v>
      </c>
      <c r="AE117" s="24">
        <v>84</v>
      </c>
      <c r="AF117" s="24" t="s">
        <v>100</v>
      </c>
      <c r="AG117" s="24">
        <v>2.9</v>
      </c>
      <c r="AH117" s="24" t="s">
        <v>97</v>
      </c>
      <c r="AI117" s="24">
        <f>10.8002-G117</f>
        <v>0.63059999999999938</v>
      </c>
      <c r="AJ117" s="24" t="s">
        <v>98</v>
      </c>
      <c r="AK117" s="24">
        <f>10.2767-G117</f>
        <v>0.10709999999999908</v>
      </c>
      <c r="AL117" s="24" t="s">
        <v>99</v>
      </c>
      <c r="AM117" s="24">
        <v>3.0500000000000003</v>
      </c>
      <c r="AN117" s="24" t="s">
        <v>180</v>
      </c>
      <c r="AO117" s="24">
        <v>232</v>
      </c>
    </row>
    <row r="118" spans="1:53" x14ac:dyDescent="0.3">
      <c r="A118" s="24" t="s">
        <v>234</v>
      </c>
      <c r="B118" s="24" t="s">
        <v>223</v>
      </c>
      <c r="C118" s="45">
        <v>45757.5</v>
      </c>
      <c r="D118" s="39"/>
      <c r="E118" s="39"/>
      <c r="F118" s="24" t="s">
        <v>82</v>
      </c>
      <c r="G118" s="24">
        <v>10.325900000000001</v>
      </c>
      <c r="H118" s="24" t="s">
        <v>83</v>
      </c>
      <c r="I118" s="24">
        <v>1043.5999999999999</v>
      </c>
      <c r="J118" s="24" t="s">
        <v>84</v>
      </c>
      <c r="K118" s="24">
        <v>11.4</v>
      </c>
      <c r="L118" s="24" t="s">
        <v>85</v>
      </c>
      <c r="M118" s="24">
        <v>40.78</v>
      </c>
      <c r="N118" s="24" t="s">
        <v>86</v>
      </c>
      <c r="O118" s="24">
        <v>38.25</v>
      </c>
      <c r="P118" s="24" t="s">
        <v>87</v>
      </c>
      <c r="Q118" s="24">
        <v>23.73</v>
      </c>
      <c r="R118" s="24" t="s">
        <v>88</v>
      </c>
      <c r="S118" s="24">
        <v>63.42</v>
      </c>
      <c r="T118" s="24" t="s">
        <v>89</v>
      </c>
      <c r="U118" s="24">
        <v>42.99</v>
      </c>
      <c r="V118" s="24" t="s">
        <v>90</v>
      </c>
      <c r="W118" s="24">
        <v>4.16</v>
      </c>
      <c r="X118" s="24" t="s">
        <v>91</v>
      </c>
      <c r="Y118" s="24">
        <v>59</v>
      </c>
      <c r="Z118" s="24" t="s">
        <v>92</v>
      </c>
      <c r="AA118" s="24">
        <v>41</v>
      </c>
      <c r="AB118" s="24" t="s">
        <v>93</v>
      </c>
      <c r="AC118" s="24">
        <v>26</v>
      </c>
      <c r="AD118" s="24" t="s">
        <v>95</v>
      </c>
      <c r="AE118" s="24">
        <v>82</v>
      </c>
      <c r="AF118" s="24" t="s">
        <v>100</v>
      </c>
      <c r="AG118" s="24">
        <v>2.93</v>
      </c>
      <c r="AH118" s="24" t="s">
        <v>97</v>
      </c>
      <c r="AI118" s="24">
        <f>10.912-G118</f>
        <v>0.58610000000000007</v>
      </c>
      <c r="AJ118" s="24" t="s">
        <v>98</v>
      </c>
      <c r="AK118" s="24">
        <f>10.4223-G118</f>
        <v>9.6399999999999153E-2</v>
      </c>
      <c r="AL118" s="24" t="s">
        <v>99</v>
      </c>
      <c r="AM118" s="24">
        <v>2.25</v>
      </c>
      <c r="AN118" s="24" t="s">
        <v>180</v>
      </c>
      <c r="AO118" s="24">
        <v>233</v>
      </c>
    </row>
    <row r="119" spans="1:53" x14ac:dyDescent="0.3">
      <c r="A119" s="24" t="s">
        <v>235</v>
      </c>
      <c r="B119" s="24" t="s">
        <v>223</v>
      </c>
      <c r="C119" s="45">
        <v>45757.645833333336</v>
      </c>
      <c r="D119" s="39"/>
      <c r="E119" s="39"/>
      <c r="F119" s="24" t="s">
        <v>82</v>
      </c>
      <c r="G119" s="24">
        <v>10.5006</v>
      </c>
      <c r="H119" s="24" t="s">
        <v>83</v>
      </c>
      <c r="I119" s="24">
        <v>1041.7</v>
      </c>
      <c r="J119" s="24" t="s">
        <v>84</v>
      </c>
      <c r="K119" s="24">
        <v>10.8</v>
      </c>
      <c r="L119" s="24" t="s">
        <v>85</v>
      </c>
      <c r="M119" s="24">
        <v>41.17</v>
      </c>
      <c r="N119" s="24" t="s">
        <v>86</v>
      </c>
      <c r="O119" s="24">
        <v>40.549999999999997</v>
      </c>
      <c r="P119" s="24" t="s">
        <v>87</v>
      </c>
      <c r="Q119" s="24">
        <v>25.93</v>
      </c>
      <c r="R119" s="24" t="s">
        <v>88</v>
      </c>
      <c r="S119" s="24">
        <v>55.99</v>
      </c>
      <c r="T119" s="24" t="s">
        <v>89</v>
      </c>
      <c r="U119" s="24">
        <v>43.14</v>
      </c>
      <c r="V119" s="24" t="s">
        <v>90</v>
      </c>
      <c r="W119" s="24">
        <v>4.2</v>
      </c>
      <c r="X119" s="24" t="s">
        <v>91</v>
      </c>
      <c r="Y119" s="24">
        <v>40</v>
      </c>
      <c r="Z119" s="24" t="s">
        <v>92</v>
      </c>
      <c r="AA119" s="24">
        <v>20</v>
      </c>
      <c r="AB119" s="24" t="s">
        <v>93</v>
      </c>
      <c r="AC119" s="24">
        <v>24</v>
      </c>
      <c r="AD119" s="24" t="s">
        <v>95</v>
      </c>
      <c r="AE119" s="24">
        <v>89</v>
      </c>
      <c r="AF119" s="24" t="s">
        <v>100</v>
      </c>
      <c r="AG119" s="24">
        <v>2.84</v>
      </c>
      <c r="AH119" s="24" t="s">
        <v>97</v>
      </c>
      <c r="AI119" s="24">
        <f>11.1064-G119</f>
        <v>0.60580000000000034</v>
      </c>
      <c r="AJ119" s="24" t="s">
        <v>98</v>
      </c>
      <c r="AK119" s="24">
        <f>10.5294-G119</f>
        <v>2.8800000000000381E-2</v>
      </c>
      <c r="AL119" s="24" t="s">
        <v>99</v>
      </c>
      <c r="AM119" s="24">
        <v>4.3999999999999995</v>
      </c>
      <c r="AN119" s="24" t="s">
        <v>180</v>
      </c>
      <c r="AO119" s="24">
        <v>230</v>
      </c>
    </row>
    <row r="120" spans="1:53" x14ac:dyDescent="0.3">
      <c r="A120" s="24" t="s">
        <v>236</v>
      </c>
      <c r="B120" s="24" t="s">
        <v>223</v>
      </c>
      <c r="C120" s="45">
        <v>45758.375</v>
      </c>
      <c r="D120" s="39">
        <v>32</v>
      </c>
      <c r="E120" s="39">
        <v>19.8</v>
      </c>
      <c r="F120" s="24" t="s">
        <v>82</v>
      </c>
      <c r="G120" s="24">
        <v>10.2904</v>
      </c>
      <c r="H120" s="24" t="s">
        <v>83</v>
      </c>
      <c r="I120" s="24">
        <v>1025.9000000000001</v>
      </c>
      <c r="J120" s="24" t="s">
        <v>84</v>
      </c>
      <c r="K120" s="24">
        <v>7.1</v>
      </c>
      <c r="L120" s="24" t="s">
        <v>85</v>
      </c>
      <c r="M120" s="24">
        <v>41.71</v>
      </c>
      <c r="N120" s="24" t="s">
        <v>86</v>
      </c>
      <c r="O120" s="24">
        <v>41.55</v>
      </c>
      <c r="P120" s="24" t="s">
        <v>87</v>
      </c>
      <c r="Q120" s="24">
        <v>19.89</v>
      </c>
      <c r="R120" s="24" t="s">
        <v>88</v>
      </c>
      <c r="S120" s="24">
        <v>43.84</v>
      </c>
      <c r="T120" s="24" t="s">
        <v>89</v>
      </c>
      <c r="U120" s="24">
        <v>23.88</v>
      </c>
      <c r="V120" s="24" t="s">
        <v>90</v>
      </c>
      <c r="W120" s="24">
        <v>5.45</v>
      </c>
      <c r="X120" s="24" t="s">
        <v>91</v>
      </c>
      <c r="Y120" s="24">
        <v>14</v>
      </c>
      <c r="Z120" s="24" t="s">
        <v>92</v>
      </c>
      <c r="AA120" s="24">
        <v>4</v>
      </c>
      <c r="AB120" s="24" t="s">
        <v>93</v>
      </c>
      <c r="AC120" s="24">
        <v>11</v>
      </c>
      <c r="AD120" s="24" t="s">
        <v>95</v>
      </c>
      <c r="AF120" s="24" t="s">
        <v>100</v>
      </c>
      <c r="AG120" s="24">
        <v>2.76</v>
      </c>
      <c r="AH120" s="24" t="s">
        <v>97</v>
      </c>
      <c r="AI120" s="24">
        <f>11.1956-G120</f>
        <v>0.90520000000000067</v>
      </c>
      <c r="AJ120" s="24" t="s">
        <v>98</v>
      </c>
      <c r="AK120" s="24">
        <f>10.5223-G120</f>
        <v>0.23189999999999955</v>
      </c>
      <c r="AL120" s="24" t="s">
        <v>99</v>
      </c>
      <c r="AM120" s="24">
        <v>5.7499999999999991</v>
      </c>
      <c r="AN120" s="24" t="s">
        <v>180</v>
      </c>
      <c r="AO120" s="24">
        <v>210</v>
      </c>
    </row>
    <row r="121" spans="1:53" x14ac:dyDescent="0.3">
      <c r="A121" s="24" t="s">
        <v>237</v>
      </c>
      <c r="B121" s="24" t="s">
        <v>223</v>
      </c>
      <c r="C121" s="45">
        <v>45758.604166666664</v>
      </c>
      <c r="D121" s="39"/>
      <c r="E121" s="39"/>
      <c r="F121" s="24" t="s">
        <v>82</v>
      </c>
      <c r="G121" s="24">
        <v>10.4147</v>
      </c>
      <c r="H121" s="24" t="s">
        <v>83</v>
      </c>
      <c r="I121" s="24">
        <v>1023.2</v>
      </c>
      <c r="J121" s="24" t="s">
        <v>84</v>
      </c>
      <c r="K121" s="24">
        <v>6.4</v>
      </c>
      <c r="L121" s="24" t="s">
        <v>85</v>
      </c>
      <c r="M121" s="24">
        <v>83.49</v>
      </c>
      <c r="N121" s="24" t="s">
        <v>86</v>
      </c>
      <c r="O121" s="24">
        <v>72.349999999999994</v>
      </c>
      <c r="P121" s="24" t="s">
        <v>87</v>
      </c>
      <c r="Q121" s="24">
        <v>18.22</v>
      </c>
      <c r="R121" s="24" t="s">
        <v>88</v>
      </c>
      <c r="S121" s="24">
        <v>45.26</v>
      </c>
      <c r="T121" s="24" t="s">
        <v>89</v>
      </c>
      <c r="U121" s="24">
        <v>17.350000000000001</v>
      </c>
      <c r="V121" s="24" t="s">
        <v>90</v>
      </c>
      <c r="W121" s="24">
        <v>5.84</v>
      </c>
      <c r="X121" s="24" t="s">
        <v>91</v>
      </c>
      <c r="Y121" s="24">
        <v>13</v>
      </c>
      <c r="Z121" s="24" t="s">
        <v>92</v>
      </c>
      <c r="AA121" s="24">
        <v>3</v>
      </c>
      <c r="AB121" s="24" t="s">
        <v>93</v>
      </c>
      <c r="AC121" s="24">
        <v>11</v>
      </c>
      <c r="AD121" s="24" t="s">
        <v>95</v>
      </c>
      <c r="AE121" s="24">
        <v>77</v>
      </c>
      <c r="AF121" s="24" t="s">
        <v>100</v>
      </c>
      <c r="AG121" s="24">
        <v>2.79</v>
      </c>
      <c r="AH121" s="24" t="s">
        <v>97</v>
      </c>
      <c r="AI121" s="24">
        <f>11.3624-G121</f>
        <v>0.94769999999999932</v>
      </c>
      <c r="AJ121" s="24" t="s">
        <v>98</v>
      </c>
      <c r="AK121" s="24">
        <f>10.6334-G121</f>
        <v>0.21870000000000012</v>
      </c>
      <c r="AL121" s="24" t="s">
        <v>99</v>
      </c>
      <c r="AM121" s="24">
        <v>6.85</v>
      </c>
      <c r="AN121" s="24" t="s">
        <v>180</v>
      </c>
      <c r="AO121" s="24">
        <v>213</v>
      </c>
    </row>
    <row r="122" spans="1:53" x14ac:dyDescent="0.3">
      <c r="A122" s="26" t="s">
        <v>238</v>
      </c>
      <c r="B122" s="24" t="s">
        <v>223</v>
      </c>
      <c r="C122" s="45">
        <v>45759.416666666664</v>
      </c>
      <c r="D122" s="39">
        <v>25</v>
      </c>
      <c r="E122" s="39">
        <v>15</v>
      </c>
      <c r="F122" s="24" t="s">
        <v>82</v>
      </c>
      <c r="G122" s="24">
        <v>10.367699999999999</v>
      </c>
      <c r="H122" s="24" t="s">
        <v>83</v>
      </c>
      <c r="I122" s="24">
        <v>1013.3</v>
      </c>
      <c r="J122" s="24" t="s">
        <v>84</v>
      </c>
      <c r="K122" s="24">
        <v>3.8</v>
      </c>
      <c r="L122" s="24" t="s">
        <v>85</v>
      </c>
      <c r="M122" s="24">
        <v>49.16</v>
      </c>
      <c r="N122" s="24" t="s">
        <v>86</v>
      </c>
      <c r="O122" s="24">
        <v>48.77</v>
      </c>
      <c r="P122" s="24" t="s">
        <v>87</v>
      </c>
      <c r="Q122" s="24">
        <v>21.88</v>
      </c>
      <c r="R122" s="24" t="s">
        <v>88</v>
      </c>
      <c r="S122" s="24">
        <v>29.35</v>
      </c>
      <c r="T122" s="24" t="s">
        <v>89</v>
      </c>
      <c r="U122" s="24">
        <v>10.87</v>
      </c>
      <c r="V122" s="24" t="s">
        <v>90</v>
      </c>
      <c r="W122" s="24">
        <v>6.33</v>
      </c>
      <c r="X122" s="24" t="s">
        <v>91</v>
      </c>
      <c r="Y122" s="24">
        <v>12</v>
      </c>
      <c r="Z122" s="24" t="s">
        <v>92</v>
      </c>
      <c r="AA122" s="24">
        <v>3</v>
      </c>
      <c r="AB122" s="24" t="s">
        <v>93</v>
      </c>
      <c r="AC122" s="24">
        <v>10</v>
      </c>
      <c r="AD122" s="24" t="s">
        <v>95</v>
      </c>
      <c r="AE122" s="24">
        <v>76</v>
      </c>
      <c r="AF122" s="24" t="s">
        <v>100</v>
      </c>
      <c r="AG122" s="24">
        <v>2.65</v>
      </c>
      <c r="AH122" s="24" t="s">
        <v>97</v>
      </c>
      <c r="AI122" s="24">
        <f>11.203-G122</f>
        <v>0.83530000000000015</v>
      </c>
      <c r="AJ122" s="24" t="s">
        <v>98</v>
      </c>
      <c r="AK122" s="24">
        <f>10.5709-G122</f>
        <v>0.20320000000000071</v>
      </c>
      <c r="AL122" s="24" t="s">
        <v>99</v>
      </c>
      <c r="AM122" s="24">
        <v>5.3999999999999995</v>
      </c>
      <c r="AN122" s="24" t="s">
        <v>180</v>
      </c>
      <c r="AO122" s="24">
        <v>199</v>
      </c>
    </row>
    <row r="123" spans="1:53" x14ac:dyDescent="0.3">
      <c r="A123" s="24" t="s">
        <v>239</v>
      </c>
      <c r="B123" s="26" t="s">
        <v>223</v>
      </c>
      <c r="C123" s="45">
        <v>45760.708333333336</v>
      </c>
      <c r="D123" s="39">
        <v>23</v>
      </c>
      <c r="E123" s="39">
        <v>15</v>
      </c>
      <c r="F123" s="24" t="s">
        <v>82</v>
      </c>
      <c r="G123" s="24">
        <v>10.0815</v>
      </c>
      <c r="H123" s="24" t="s">
        <v>83</v>
      </c>
      <c r="I123" s="24">
        <v>1003.7</v>
      </c>
      <c r="J123" s="24" t="s">
        <v>84</v>
      </c>
      <c r="K123" s="24">
        <v>1.4</v>
      </c>
      <c r="L123" s="24" t="s">
        <v>85</v>
      </c>
      <c r="M123" s="24">
        <v>80.03</v>
      </c>
      <c r="N123" s="24" t="s">
        <v>86</v>
      </c>
      <c r="O123" s="24">
        <v>68.97</v>
      </c>
      <c r="P123" s="24" t="s">
        <v>87</v>
      </c>
      <c r="Q123" s="24">
        <v>10.36</v>
      </c>
      <c r="R123" s="24" t="s">
        <v>88</v>
      </c>
      <c r="S123" s="24">
        <v>16.399999999999999</v>
      </c>
      <c r="T123" s="24" t="s">
        <v>89</v>
      </c>
      <c r="U123" s="24">
        <v>4.8899999999999997</v>
      </c>
      <c r="V123" s="24" t="s">
        <v>90</v>
      </c>
      <c r="W123" s="24">
        <v>6.83</v>
      </c>
      <c r="X123" s="24" t="s">
        <v>91</v>
      </c>
      <c r="Y123" s="24">
        <v>13</v>
      </c>
      <c r="Z123" s="24" t="s">
        <v>92</v>
      </c>
      <c r="AA123" s="24">
        <v>4</v>
      </c>
      <c r="AB123" s="24" t="s">
        <v>93</v>
      </c>
      <c r="AC123" s="24">
        <v>10</v>
      </c>
      <c r="AD123" s="24" t="s">
        <v>95</v>
      </c>
      <c r="AE123" s="24">
        <v>80</v>
      </c>
      <c r="AF123" s="24" t="s">
        <v>100</v>
      </c>
      <c r="AG123" s="24">
        <v>2.7</v>
      </c>
      <c r="AH123" s="24" t="s">
        <v>97</v>
      </c>
      <c r="AI123" s="24">
        <f>11.8081-G123</f>
        <v>1.7265999999999995</v>
      </c>
      <c r="AJ123" s="24" t="s">
        <v>98</v>
      </c>
      <c r="AK123" s="24">
        <f>10.4101-G123</f>
        <v>0.32859999999999978</v>
      </c>
      <c r="AL123" s="24" t="s">
        <v>99</v>
      </c>
      <c r="AM123" s="24">
        <v>10.050000000000001</v>
      </c>
      <c r="AN123" s="24" t="s">
        <v>180</v>
      </c>
      <c r="AO123" s="24">
        <v>185</v>
      </c>
    </row>
    <row r="124" spans="1:53" x14ac:dyDescent="0.3">
      <c r="A124" s="24" t="s">
        <v>240</v>
      </c>
      <c r="B124" s="24" t="s">
        <v>241</v>
      </c>
      <c r="C124" s="45">
        <v>45763.625</v>
      </c>
      <c r="D124" s="39">
        <v>4.0999999999999996</v>
      </c>
      <c r="E124" s="39">
        <v>4</v>
      </c>
      <c r="F124" s="24" t="s">
        <v>82</v>
      </c>
      <c r="G124" s="24">
        <v>9.7966999999999995</v>
      </c>
      <c r="H124" s="24" t="s">
        <v>83</v>
      </c>
      <c r="I124" s="24">
        <v>991.8</v>
      </c>
      <c r="J124" s="24" t="s">
        <v>84</v>
      </c>
      <c r="K124" s="24">
        <v>-1.4</v>
      </c>
      <c r="L124" s="24" t="s">
        <v>85</v>
      </c>
      <c r="M124" s="24">
        <v>48</v>
      </c>
      <c r="N124" s="24" t="s">
        <v>86</v>
      </c>
      <c r="O124" s="24">
        <v>47.16</v>
      </c>
      <c r="P124" s="24" t="s">
        <v>87</v>
      </c>
      <c r="Q124" s="24">
        <v>18.72</v>
      </c>
      <c r="R124" s="24" t="s">
        <v>88</v>
      </c>
      <c r="S124" s="24">
        <v>1.57</v>
      </c>
      <c r="T124" s="24" t="s">
        <v>89</v>
      </c>
      <c r="U124" s="24">
        <v>0.08</v>
      </c>
      <c r="V124" s="24" t="s">
        <v>90</v>
      </c>
      <c r="W124" s="24">
        <v>6.57</v>
      </c>
      <c r="X124" s="24" t="s">
        <v>91</v>
      </c>
      <c r="Y124" s="24">
        <v>14</v>
      </c>
      <c r="Z124" s="24" t="s">
        <v>92</v>
      </c>
      <c r="AA124" s="24">
        <v>5</v>
      </c>
      <c r="AB124" s="24" t="s">
        <v>93</v>
      </c>
      <c r="AC124" s="24">
        <v>10</v>
      </c>
      <c r="AD124" s="24" t="s">
        <v>94</v>
      </c>
      <c r="AE124" s="24">
        <v>0.34</v>
      </c>
      <c r="AF124" s="24" t="s">
        <v>95</v>
      </c>
      <c r="AG124" s="24">
        <v>49</v>
      </c>
      <c r="AH124" s="24" t="s">
        <v>97</v>
      </c>
      <c r="AI124" s="24">
        <f>10.587-G124</f>
        <v>0.79030000000000022</v>
      </c>
      <c r="AJ124" s="24" t="s">
        <v>98</v>
      </c>
      <c r="AK124" s="24">
        <f>10.0184-G124</f>
        <v>0.22170000000000023</v>
      </c>
      <c r="AL124" s="24" t="s">
        <v>99</v>
      </c>
      <c r="AM124" s="24">
        <v>1.75</v>
      </c>
      <c r="AN124" s="24" t="s">
        <v>180</v>
      </c>
      <c r="AO124" s="24">
        <v>185</v>
      </c>
      <c r="AP124" s="24" t="s">
        <v>102</v>
      </c>
      <c r="AQ124" s="24">
        <v>229</v>
      </c>
      <c r="AR124" s="24" t="s">
        <v>100</v>
      </c>
      <c r="AS124" s="24">
        <v>2.57</v>
      </c>
      <c r="AT124" s="24" t="s">
        <v>101</v>
      </c>
      <c r="AU124" s="24">
        <v>2.9</v>
      </c>
      <c r="AV124" s="24" t="s">
        <v>103</v>
      </c>
      <c r="AW124" s="24">
        <v>3.2</v>
      </c>
      <c r="AX124" s="24" t="s">
        <v>104</v>
      </c>
      <c r="AY124" s="24">
        <v>5</v>
      </c>
      <c r="AZ124" s="24" t="s">
        <v>105</v>
      </c>
      <c r="BA124" s="24">
        <v>256</v>
      </c>
    </row>
    <row r="125" spans="1:53" x14ac:dyDescent="0.3">
      <c r="A125" s="24" t="s">
        <v>242</v>
      </c>
      <c r="B125" s="24" t="s">
        <v>241</v>
      </c>
      <c r="C125" s="45">
        <v>45755.75</v>
      </c>
      <c r="D125" s="39"/>
      <c r="E125" s="39"/>
      <c r="F125" s="24" t="s">
        <v>82</v>
      </c>
      <c r="G125" s="24">
        <v>10.4656</v>
      </c>
      <c r="H125" s="24" t="s">
        <v>83</v>
      </c>
      <c r="I125" s="24">
        <v>1059.0999999999999</v>
      </c>
      <c r="J125" s="24" t="s">
        <v>84</v>
      </c>
      <c r="K125" s="24">
        <v>15.1</v>
      </c>
      <c r="L125" s="24" t="s">
        <v>85</v>
      </c>
      <c r="M125" s="24">
        <v>24.2</v>
      </c>
      <c r="N125" s="24" t="s">
        <v>86</v>
      </c>
      <c r="O125" s="24">
        <v>20.12</v>
      </c>
      <c r="P125" s="24" t="s">
        <v>87</v>
      </c>
      <c r="Q125" s="24">
        <v>21.35</v>
      </c>
      <c r="R125" s="24" t="s">
        <v>88</v>
      </c>
      <c r="S125" s="24" t="s">
        <v>224</v>
      </c>
      <c r="T125" s="24" t="s">
        <v>89</v>
      </c>
      <c r="U125" s="24" t="s">
        <v>224</v>
      </c>
      <c r="V125" s="24" t="s">
        <v>90</v>
      </c>
      <c r="W125" s="24">
        <v>3.42</v>
      </c>
      <c r="X125" s="24" t="s">
        <v>91</v>
      </c>
      <c r="Y125" s="24">
        <v>105</v>
      </c>
      <c r="Z125" s="24" t="s">
        <v>92</v>
      </c>
      <c r="AA125" s="24">
        <v>39</v>
      </c>
      <c r="AB125" s="24" t="s">
        <v>93</v>
      </c>
      <c r="AC125" s="24">
        <v>73</v>
      </c>
      <c r="AD125" s="24" t="s">
        <v>94</v>
      </c>
      <c r="AE125" s="24">
        <v>0.19</v>
      </c>
      <c r="AF125" s="24" t="s">
        <v>95</v>
      </c>
      <c r="AG125" s="24">
        <v>26</v>
      </c>
      <c r="AH125" s="24" t="s">
        <v>97</v>
      </c>
      <c r="AI125" s="24">
        <f>10.4982-G125</f>
        <v>3.2600000000000406E-2</v>
      </c>
      <c r="AJ125" s="24" t="s">
        <v>98</v>
      </c>
      <c r="AK125" s="24">
        <f>10.3171-G125</f>
        <v>-0.1485000000000003</v>
      </c>
      <c r="AL125" s="24" t="s">
        <v>99</v>
      </c>
      <c r="AM125" s="24">
        <v>1.3499999999999999</v>
      </c>
      <c r="AN125" s="24" t="s">
        <v>180</v>
      </c>
      <c r="AO125" s="24">
        <v>172</v>
      </c>
      <c r="AP125" s="24" t="s">
        <v>102</v>
      </c>
      <c r="AQ125" s="24">
        <v>359</v>
      </c>
      <c r="AR125" s="24" t="s">
        <v>100</v>
      </c>
      <c r="AS125" s="24">
        <v>3.15</v>
      </c>
      <c r="AT125" s="24" t="s">
        <v>101</v>
      </c>
      <c r="AU125" s="24">
        <v>0.48</v>
      </c>
      <c r="AV125" s="24" t="s">
        <v>103</v>
      </c>
      <c r="AW125" s="24">
        <v>2.9</v>
      </c>
      <c r="AX125" s="24" t="s">
        <v>104</v>
      </c>
      <c r="AY125" s="24">
        <v>4</v>
      </c>
      <c r="AZ125" s="24" t="s">
        <v>105</v>
      </c>
      <c r="BA125" s="24">
        <v>289</v>
      </c>
    </row>
    <row r="126" spans="1:53" x14ac:dyDescent="0.3">
      <c r="A126" s="26" t="s">
        <v>243</v>
      </c>
      <c r="B126" s="24" t="s">
        <v>241</v>
      </c>
      <c r="C126" s="45">
        <v>45756.375</v>
      </c>
      <c r="D126" s="39"/>
      <c r="E126" s="39"/>
      <c r="F126" s="24" t="s">
        <v>82</v>
      </c>
      <c r="G126" s="24">
        <v>10.3911</v>
      </c>
      <c r="H126" s="24" t="s">
        <v>83</v>
      </c>
      <c r="I126" s="24">
        <v>1058.4000000000001</v>
      </c>
      <c r="J126" s="24" t="s">
        <v>84</v>
      </c>
      <c r="K126" s="24">
        <v>14.8</v>
      </c>
      <c r="L126" s="24" t="s">
        <v>85</v>
      </c>
      <c r="M126" s="24">
        <v>24.23</v>
      </c>
      <c r="N126" s="24" t="s">
        <v>86</v>
      </c>
      <c r="O126" s="24">
        <v>21.16</v>
      </c>
      <c r="P126" s="24" t="s">
        <v>87</v>
      </c>
      <c r="Q126" s="24">
        <v>21.24</v>
      </c>
      <c r="R126" s="24" t="s">
        <v>88</v>
      </c>
      <c r="S126" s="24">
        <v>73.599999999999994</v>
      </c>
      <c r="T126" s="24" t="s">
        <v>89</v>
      </c>
      <c r="U126" s="24">
        <v>63.2</v>
      </c>
      <c r="V126" s="24" t="s">
        <v>90</v>
      </c>
      <c r="W126" s="24">
        <v>2.87</v>
      </c>
      <c r="X126" s="24" t="s">
        <v>91</v>
      </c>
      <c r="Y126" s="24">
        <v>91</v>
      </c>
      <c r="Z126" s="24" t="s">
        <v>92</v>
      </c>
      <c r="AA126" s="24">
        <v>29</v>
      </c>
      <c r="AB126" s="24" t="s">
        <v>93</v>
      </c>
      <c r="AC126" s="24">
        <v>67</v>
      </c>
      <c r="AD126" s="24" t="s">
        <v>95</v>
      </c>
      <c r="AE126" s="24">
        <v>43</v>
      </c>
      <c r="AF126" s="24" t="s">
        <v>100</v>
      </c>
      <c r="AG126" s="24">
        <v>3.21</v>
      </c>
      <c r="AH126" s="24" t="s">
        <v>97</v>
      </c>
      <c r="AI126" s="24">
        <f>10.6371-G126</f>
        <v>0.24600000000000044</v>
      </c>
      <c r="AJ126" s="24" t="s">
        <v>98</v>
      </c>
      <c r="AK126" s="24">
        <f>10.4083-G126</f>
        <v>1.720000000000077E-2</v>
      </c>
      <c r="AL126" s="24" t="s">
        <v>99</v>
      </c>
      <c r="AM126" s="24">
        <v>3.85</v>
      </c>
      <c r="AN126" s="24" t="s">
        <v>180</v>
      </c>
      <c r="AO126" s="24">
        <v>217</v>
      </c>
    </row>
    <row r="127" spans="1:53" x14ac:dyDescent="0.3">
      <c r="A127" s="24" t="s">
        <v>244</v>
      </c>
      <c r="B127" s="26" t="s">
        <v>241</v>
      </c>
      <c r="C127" s="45">
        <v>45761.375</v>
      </c>
      <c r="D127" s="39"/>
      <c r="E127" s="39"/>
      <c r="F127" s="24" t="s">
        <v>82</v>
      </c>
      <c r="G127" s="24">
        <v>10.370100000000001</v>
      </c>
      <c r="H127" s="24" t="s">
        <v>83</v>
      </c>
      <c r="I127" s="24">
        <v>998.8</v>
      </c>
      <c r="J127" s="24" t="s">
        <v>84</v>
      </c>
      <c r="K127" s="24">
        <v>0.2</v>
      </c>
      <c r="L127" s="24" t="s">
        <v>85</v>
      </c>
      <c r="M127" s="24">
        <v>59.96</v>
      </c>
      <c r="N127" s="24" t="s">
        <v>86</v>
      </c>
      <c r="O127" s="24">
        <v>57.99</v>
      </c>
      <c r="P127" s="24" t="s">
        <v>87</v>
      </c>
      <c r="Q127" s="24">
        <v>18.34</v>
      </c>
      <c r="R127" s="24" t="s">
        <v>88</v>
      </c>
      <c r="S127" s="24">
        <v>15.4</v>
      </c>
      <c r="T127" s="24" t="s">
        <v>89</v>
      </c>
      <c r="U127" s="24">
        <v>0.66</v>
      </c>
      <c r="V127" s="24" t="s">
        <v>90</v>
      </c>
      <c r="W127" s="24">
        <v>6.7</v>
      </c>
      <c r="X127" s="24" t="s">
        <v>91</v>
      </c>
      <c r="Z127" s="24" t="s">
        <v>92</v>
      </c>
      <c r="AB127" s="24" t="s">
        <v>93</v>
      </c>
      <c r="AD127" s="24" t="s">
        <v>95</v>
      </c>
      <c r="AE127" s="24">
        <v>59</v>
      </c>
      <c r="AF127" s="24" t="s">
        <v>100</v>
      </c>
      <c r="AG127" s="24">
        <v>2.57</v>
      </c>
      <c r="AH127" s="24" t="s">
        <v>97</v>
      </c>
      <c r="AI127" s="24">
        <f>11.2416-G127</f>
        <v>0.87149999999999928</v>
      </c>
      <c r="AJ127" s="24" t="s">
        <v>98</v>
      </c>
      <c r="AK127" s="24">
        <f>10.61-G127</f>
        <v>0.23989999999999867</v>
      </c>
      <c r="AL127" s="24" t="s">
        <v>99</v>
      </c>
      <c r="AM127" s="24">
        <v>4.4999999999999991</v>
      </c>
      <c r="AN127" s="24" t="s">
        <v>180</v>
      </c>
      <c r="AO127" s="24">
        <v>187</v>
      </c>
    </row>
    <row r="128" spans="1:53" x14ac:dyDescent="0.3">
      <c r="A128" s="24" t="s">
        <v>245</v>
      </c>
      <c r="B128" s="24" t="s">
        <v>241</v>
      </c>
      <c r="C128" s="45">
        <v>45761.625</v>
      </c>
      <c r="D128" s="39">
        <v>9</v>
      </c>
      <c r="E128" s="39">
        <v>6.8</v>
      </c>
      <c r="F128" s="24" t="s">
        <v>82</v>
      </c>
      <c r="G128" s="24">
        <v>10.540900000000001</v>
      </c>
      <c r="H128" s="24" t="s">
        <v>83</v>
      </c>
      <c r="I128" s="24">
        <v>997.3</v>
      </c>
      <c r="J128" s="24" t="s">
        <v>84</v>
      </c>
      <c r="K128" s="24">
        <v>0</v>
      </c>
      <c r="L128" s="24" t="s">
        <v>85</v>
      </c>
      <c r="M128" s="24">
        <v>103.46</v>
      </c>
      <c r="N128" s="24" t="s">
        <v>86</v>
      </c>
      <c r="O128" s="24">
        <v>90.94</v>
      </c>
      <c r="P128" s="24" t="s">
        <v>87</v>
      </c>
      <c r="Q128" s="24">
        <v>6.01</v>
      </c>
      <c r="R128" s="24" t="s">
        <v>88</v>
      </c>
      <c r="S128" s="24">
        <v>13.47</v>
      </c>
      <c r="T128" s="24" t="s">
        <v>89</v>
      </c>
      <c r="U128" s="24">
        <v>0.47</v>
      </c>
      <c r="V128" s="24" t="s">
        <v>90</v>
      </c>
      <c r="W128" s="24">
        <v>6.49</v>
      </c>
      <c r="X128" s="24" t="s">
        <v>91</v>
      </c>
      <c r="Z128" s="24" t="s">
        <v>92</v>
      </c>
      <c r="AB128" s="24" t="s">
        <v>93</v>
      </c>
      <c r="AD128" s="24" t="s">
        <v>95</v>
      </c>
      <c r="AE128" s="24">
        <v>65</v>
      </c>
      <c r="AF128" s="24" t="s">
        <v>100</v>
      </c>
      <c r="AG128" s="24">
        <v>2.58</v>
      </c>
      <c r="AH128" s="24" t="s">
        <v>97</v>
      </c>
      <c r="AI128" s="24">
        <f>11.5905-G128</f>
        <v>1.0495999999999999</v>
      </c>
      <c r="AJ128" s="24" t="s">
        <v>98</v>
      </c>
      <c r="AK128" s="24">
        <f>10.7691-G128</f>
        <v>0.22819999999999929</v>
      </c>
      <c r="AL128" s="24" t="s">
        <v>99</v>
      </c>
      <c r="AM128" s="24">
        <v>5.85</v>
      </c>
      <c r="AN128" s="24" t="s">
        <v>180</v>
      </c>
      <c r="AO128" s="24">
        <v>181</v>
      </c>
    </row>
    <row r="129" spans="1:53" x14ac:dyDescent="0.3">
      <c r="A129" s="24" t="s">
        <v>246</v>
      </c>
      <c r="B129" s="24" t="s">
        <v>241</v>
      </c>
      <c r="C129" s="45">
        <v>45762.375</v>
      </c>
      <c r="D129" s="39"/>
      <c r="E129" s="39"/>
      <c r="F129" s="24" t="s">
        <v>82</v>
      </c>
      <c r="G129" s="24">
        <v>9.8524999999999991</v>
      </c>
      <c r="H129" s="24" t="s">
        <v>83</v>
      </c>
      <c r="I129" s="24">
        <v>996</v>
      </c>
      <c r="J129" s="24" t="s">
        <v>84</v>
      </c>
      <c r="K129" s="24">
        <v>-0.6</v>
      </c>
      <c r="L129" s="24" t="s">
        <v>85</v>
      </c>
      <c r="M129" s="24">
        <v>42.4</v>
      </c>
      <c r="N129" s="24" t="s">
        <v>86</v>
      </c>
      <c r="O129" s="24">
        <v>42.09</v>
      </c>
      <c r="P129" s="24" t="s">
        <v>87</v>
      </c>
      <c r="Q129" s="24">
        <v>21.01</v>
      </c>
      <c r="R129" s="24" t="s">
        <v>88</v>
      </c>
      <c r="S129" s="24">
        <v>6.13</v>
      </c>
      <c r="T129" s="24" t="s">
        <v>89</v>
      </c>
      <c r="U129" s="24">
        <v>0.16</v>
      </c>
      <c r="V129" s="24" t="s">
        <v>90</v>
      </c>
      <c r="W129" s="24">
        <v>7</v>
      </c>
      <c r="X129" s="24" t="s">
        <v>91</v>
      </c>
      <c r="Z129" s="24" t="s">
        <v>92</v>
      </c>
      <c r="AB129" s="24" t="s">
        <v>93</v>
      </c>
      <c r="AD129" s="24" t="s">
        <v>95</v>
      </c>
      <c r="AE129" s="24">
        <v>62</v>
      </c>
      <c r="AF129" s="24" t="s">
        <v>100</v>
      </c>
      <c r="AG129" s="24">
        <v>2.59</v>
      </c>
      <c r="AH129" s="24" t="s">
        <v>97</v>
      </c>
      <c r="AI129" s="24">
        <f>10.6956-G129</f>
        <v>0.84310000000000151</v>
      </c>
      <c r="AJ129" s="24" t="s">
        <v>98</v>
      </c>
      <c r="AK129" s="24">
        <f>10.0723-G129</f>
        <v>0.21980000000000111</v>
      </c>
      <c r="AL129" s="24" t="s">
        <v>99</v>
      </c>
      <c r="AM129" s="24">
        <v>8.1</v>
      </c>
      <c r="AN129" s="24" t="s">
        <v>180</v>
      </c>
      <c r="AO129" s="24">
        <v>180</v>
      </c>
    </row>
    <row r="130" spans="1:53" x14ac:dyDescent="0.3">
      <c r="A130" s="24" t="s">
        <v>247</v>
      </c>
      <c r="B130" s="24" t="s">
        <v>241</v>
      </c>
      <c r="C130" s="45">
        <v>45762.625</v>
      </c>
      <c r="D130" s="39">
        <v>6.8</v>
      </c>
      <c r="E130" s="39">
        <v>6.1</v>
      </c>
      <c r="F130" s="24" t="s">
        <v>82</v>
      </c>
      <c r="G130" s="24">
        <v>9.7876999999999992</v>
      </c>
      <c r="H130" s="24" t="s">
        <v>83</v>
      </c>
      <c r="I130" s="24">
        <v>993.3</v>
      </c>
      <c r="J130" s="24" t="s">
        <v>84</v>
      </c>
      <c r="K130" s="24">
        <v>-1.1000000000000001</v>
      </c>
      <c r="L130" s="24" t="s">
        <v>85</v>
      </c>
      <c r="M130" s="24">
        <v>58.37</v>
      </c>
      <c r="N130" s="24" t="s">
        <v>86</v>
      </c>
      <c r="O130" s="24">
        <v>54.92</v>
      </c>
      <c r="P130" s="24" t="s">
        <v>87</v>
      </c>
      <c r="Q130" s="24">
        <v>15.66</v>
      </c>
      <c r="R130" s="24" t="s">
        <v>88</v>
      </c>
      <c r="S130" s="24">
        <v>4.83</v>
      </c>
      <c r="T130" s="24" t="s">
        <v>89</v>
      </c>
      <c r="U130" s="24">
        <v>0.11</v>
      </c>
      <c r="V130" s="24" t="s">
        <v>90</v>
      </c>
      <c r="W130" s="24">
        <v>6.62</v>
      </c>
      <c r="X130" s="24" t="s">
        <v>91</v>
      </c>
      <c r="Z130" s="24" t="s">
        <v>92</v>
      </c>
      <c r="AB130" s="24" t="s">
        <v>93</v>
      </c>
      <c r="AD130" s="24" t="s">
        <v>95</v>
      </c>
      <c r="AE130" s="24">
        <v>56</v>
      </c>
      <c r="AF130" s="24" t="s">
        <v>100</v>
      </c>
      <c r="AG130" s="24">
        <v>2.57</v>
      </c>
      <c r="AH130" s="24" t="s">
        <v>97</v>
      </c>
      <c r="AI130" s="24">
        <f>10.7016-G130</f>
        <v>0.91389999999999993</v>
      </c>
      <c r="AJ130" s="24" t="s">
        <v>98</v>
      </c>
      <c r="AK130" s="24">
        <f>10.0511-G130</f>
        <v>0.26340000000000074</v>
      </c>
      <c r="AL130" s="24" t="s">
        <v>99</v>
      </c>
      <c r="AM130" s="24">
        <v>8.0500000000000007</v>
      </c>
      <c r="AN130" s="24" t="s">
        <v>180</v>
      </c>
      <c r="AO130" s="24">
        <v>177</v>
      </c>
    </row>
    <row r="131" spans="1:53" x14ac:dyDescent="0.3">
      <c r="A131" s="24" t="s">
        <v>248</v>
      </c>
      <c r="B131" s="24" t="s">
        <v>241</v>
      </c>
      <c r="C131" s="45">
        <v>45763.375</v>
      </c>
      <c r="D131" s="39"/>
      <c r="E131" s="39"/>
      <c r="F131" s="24" t="s">
        <v>82</v>
      </c>
      <c r="G131" s="24">
        <v>9.8034999999999997</v>
      </c>
      <c r="H131" s="24" t="s">
        <v>83</v>
      </c>
      <c r="I131" s="24">
        <v>993.3</v>
      </c>
      <c r="J131" s="24" t="s">
        <v>84</v>
      </c>
      <c r="K131" s="24">
        <v>-1.3</v>
      </c>
      <c r="L131" s="24" t="s">
        <v>85</v>
      </c>
      <c r="M131" s="24">
        <v>37.56</v>
      </c>
      <c r="N131" s="24" t="s">
        <v>86</v>
      </c>
      <c r="O131" s="24">
        <v>37.25</v>
      </c>
      <c r="P131" s="24" t="s">
        <v>87</v>
      </c>
      <c r="Q131" s="24">
        <v>15.75</v>
      </c>
      <c r="R131" s="24" t="s">
        <v>88</v>
      </c>
      <c r="S131" s="24">
        <v>1.7</v>
      </c>
      <c r="T131" s="24" t="s">
        <v>89</v>
      </c>
      <c r="U131" s="24">
        <v>0.08</v>
      </c>
      <c r="V131" s="24" t="s">
        <v>90</v>
      </c>
      <c r="W131" s="24">
        <v>7.3</v>
      </c>
      <c r="X131" s="24" t="s">
        <v>91</v>
      </c>
      <c r="Z131" s="24" t="s">
        <v>92</v>
      </c>
      <c r="AB131" s="24" t="s">
        <v>93</v>
      </c>
      <c r="AD131" s="24" t="s">
        <v>95</v>
      </c>
      <c r="AE131" s="24">
        <v>56</v>
      </c>
      <c r="AF131" s="24" t="s">
        <v>100</v>
      </c>
      <c r="AG131" s="24">
        <v>2.52</v>
      </c>
      <c r="AH131" s="24" t="s">
        <v>97</v>
      </c>
      <c r="AI131" s="24">
        <f>10.5973-G131</f>
        <v>0.79380000000000095</v>
      </c>
      <c r="AJ131" s="24" t="s">
        <v>98</v>
      </c>
      <c r="AK131" s="24">
        <f>10.0157-G131</f>
        <v>0.21220000000000105</v>
      </c>
      <c r="AL131" s="24" t="s">
        <v>99</v>
      </c>
      <c r="AM131" s="24">
        <v>1.55</v>
      </c>
      <c r="AN131" s="24" t="s">
        <v>180</v>
      </c>
      <c r="AO131" s="24">
        <v>178</v>
      </c>
    </row>
    <row r="132" spans="1:53" x14ac:dyDescent="0.3">
      <c r="A132" s="24" t="s">
        <v>249</v>
      </c>
      <c r="B132" s="24" t="s">
        <v>241</v>
      </c>
      <c r="C132" s="45">
        <v>45756.625</v>
      </c>
      <c r="D132" s="39"/>
      <c r="E132" s="39"/>
      <c r="F132" s="24" t="s">
        <v>82</v>
      </c>
      <c r="G132" s="24">
        <v>10.379300000000001</v>
      </c>
      <c r="H132" s="24" t="s">
        <v>83</v>
      </c>
      <c r="I132" s="24">
        <v>1056.4000000000001</v>
      </c>
      <c r="J132" s="24" t="s">
        <v>84</v>
      </c>
      <c r="K132" s="24">
        <v>14.4</v>
      </c>
      <c r="L132" s="24" t="s">
        <v>85</v>
      </c>
      <c r="M132" s="24">
        <v>18.36</v>
      </c>
      <c r="N132" s="24" t="s">
        <v>86</v>
      </c>
      <c r="O132" s="24">
        <v>15.67</v>
      </c>
      <c r="P132" s="24" t="s">
        <v>87</v>
      </c>
      <c r="Q132" s="24">
        <v>20.92</v>
      </c>
      <c r="R132" s="24" t="s">
        <v>88</v>
      </c>
      <c r="S132" s="24">
        <v>73.38</v>
      </c>
      <c r="T132" s="24" t="s">
        <v>89</v>
      </c>
      <c r="U132" s="24">
        <v>63.03</v>
      </c>
      <c r="V132" s="24" t="s">
        <v>90</v>
      </c>
      <c r="W132" s="24">
        <v>3.09</v>
      </c>
      <c r="X132" s="24" t="s">
        <v>91</v>
      </c>
      <c r="Y132" s="24">
        <v>80</v>
      </c>
      <c r="Z132" s="24" t="s">
        <v>92</v>
      </c>
      <c r="AA132" s="24">
        <v>25</v>
      </c>
      <c r="AB132" s="24" t="s">
        <v>93</v>
      </c>
      <c r="AC132" s="24">
        <v>60</v>
      </c>
      <c r="AD132" s="24" t="s">
        <v>95</v>
      </c>
      <c r="AE132" s="24">
        <v>54</v>
      </c>
      <c r="AF132" s="24" t="s">
        <v>100</v>
      </c>
      <c r="AG132" s="24">
        <v>3.05</v>
      </c>
      <c r="AH132" s="24" t="s">
        <v>97</v>
      </c>
      <c r="AI132" s="24">
        <f>10.6497-G132</f>
        <v>0.27039999999999864</v>
      </c>
      <c r="AJ132" s="24" t="s">
        <v>98</v>
      </c>
      <c r="AK132" s="24">
        <f>10.4197-G132</f>
        <v>4.0399999999999991E-2</v>
      </c>
      <c r="AL132" s="24" t="s">
        <v>99</v>
      </c>
      <c r="AM132" s="24">
        <v>3.7</v>
      </c>
      <c r="AN132" s="24" t="s">
        <v>180</v>
      </c>
      <c r="AO132" s="24">
        <v>236</v>
      </c>
    </row>
    <row r="133" spans="1:53" ht="15.75" customHeight="1" x14ac:dyDescent="0.3">
      <c r="A133" s="24" t="s">
        <v>250</v>
      </c>
      <c r="B133" s="24" t="s">
        <v>241</v>
      </c>
      <c r="C133" s="45">
        <v>45757.375</v>
      </c>
      <c r="D133" s="39">
        <v>22.5</v>
      </c>
      <c r="E133" s="39">
        <v>12.4</v>
      </c>
      <c r="F133" s="24" t="s">
        <v>82</v>
      </c>
      <c r="G133" s="24">
        <v>10.3513</v>
      </c>
      <c r="H133" s="24" t="s">
        <v>83</v>
      </c>
      <c r="I133" s="24">
        <v>1046.0999999999999</v>
      </c>
      <c r="J133" s="24" t="s">
        <v>84</v>
      </c>
      <c r="K133" s="24">
        <v>11.9</v>
      </c>
      <c r="L133" s="24" t="s">
        <v>85</v>
      </c>
      <c r="M133" s="24">
        <v>35.71</v>
      </c>
      <c r="N133" s="24" t="s">
        <v>86</v>
      </c>
      <c r="O133" s="24">
        <v>33.56</v>
      </c>
      <c r="P133" s="24" t="s">
        <v>87</v>
      </c>
      <c r="Q133" s="24">
        <v>21.72</v>
      </c>
      <c r="R133" s="24" t="s">
        <v>88</v>
      </c>
      <c r="S133" s="24">
        <v>64.98</v>
      </c>
      <c r="T133" s="24" t="s">
        <v>89</v>
      </c>
      <c r="U133" s="24">
        <v>46</v>
      </c>
      <c r="V133" s="24" t="s">
        <v>90</v>
      </c>
      <c r="W133" s="24">
        <v>3.92</v>
      </c>
      <c r="X133" s="24" t="s">
        <v>91</v>
      </c>
      <c r="Y133" s="24">
        <v>18</v>
      </c>
      <c r="Z133" s="24" t="s">
        <v>92</v>
      </c>
      <c r="AA133" s="24">
        <v>3</v>
      </c>
      <c r="AB133" s="24" t="s">
        <v>93</v>
      </c>
      <c r="AC133" s="24">
        <v>16</v>
      </c>
      <c r="AD133" s="24" t="s">
        <v>95</v>
      </c>
      <c r="AE133" s="24">
        <v>78</v>
      </c>
      <c r="AF133" s="24" t="s">
        <v>100</v>
      </c>
      <c r="AG133" s="24">
        <v>2.96</v>
      </c>
      <c r="AH133" s="24" t="s">
        <v>97</v>
      </c>
      <c r="AI133" s="24">
        <f>10.839-G133</f>
        <v>0.48770000000000024</v>
      </c>
      <c r="AJ133" s="24" t="s">
        <v>98</v>
      </c>
      <c r="AK133" s="24">
        <f>10.4423-G133</f>
        <v>9.0999999999999304E-2</v>
      </c>
      <c r="AL133" s="24" t="s">
        <v>99</v>
      </c>
      <c r="AM133" s="24">
        <v>2.65</v>
      </c>
      <c r="AN133" s="24" t="s">
        <v>180</v>
      </c>
      <c r="AO133" s="24">
        <v>235</v>
      </c>
    </row>
    <row r="134" spans="1:53" x14ac:dyDescent="0.3">
      <c r="A134" s="24" t="s">
        <v>251</v>
      </c>
      <c r="B134" s="24" t="s">
        <v>241</v>
      </c>
      <c r="C134" s="45">
        <v>45757.645833333336</v>
      </c>
      <c r="D134" s="39"/>
      <c r="E134" s="39"/>
      <c r="F134" s="24" t="s">
        <v>82</v>
      </c>
      <c r="G134" s="24">
        <v>10.4193</v>
      </c>
      <c r="H134" s="24" t="s">
        <v>83</v>
      </c>
      <c r="I134" s="24">
        <v>1040.5999999999999</v>
      </c>
      <c r="J134" s="24" t="s">
        <v>84</v>
      </c>
      <c r="K134" s="24">
        <v>10.6</v>
      </c>
      <c r="L134" s="24" t="s">
        <v>85</v>
      </c>
      <c r="M134" s="24">
        <v>32.18</v>
      </c>
      <c r="N134" s="24" t="s">
        <v>86</v>
      </c>
      <c r="O134" s="24">
        <v>31.49</v>
      </c>
      <c r="P134" s="24" t="s">
        <v>87</v>
      </c>
      <c r="Q134" s="24">
        <v>28.88</v>
      </c>
      <c r="R134" s="24" t="s">
        <v>88</v>
      </c>
      <c r="S134" s="24">
        <v>60.25</v>
      </c>
      <c r="T134" s="24" t="s">
        <v>89</v>
      </c>
      <c r="U134" s="24">
        <v>38.840000000000003</v>
      </c>
      <c r="V134" s="24" t="s">
        <v>90</v>
      </c>
      <c r="W134" s="24">
        <v>4.26</v>
      </c>
      <c r="X134" s="24" t="s">
        <v>91</v>
      </c>
      <c r="Y134" s="24">
        <v>35</v>
      </c>
      <c r="Z134" s="24" t="s">
        <v>92</v>
      </c>
      <c r="AA134" s="24">
        <v>19</v>
      </c>
      <c r="AB134" s="24" t="s">
        <v>93</v>
      </c>
      <c r="AC134" s="24">
        <v>19</v>
      </c>
      <c r="AD134" s="24" t="s">
        <v>95</v>
      </c>
      <c r="AE134" s="24">
        <v>98</v>
      </c>
      <c r="AF134" s="24" t="s">
        <v>100</v>
      </c>
      <c r="AG134" s="24">
        <v>2.87</v>
      </c>
      <c r="AH134" s="24" t="s">
        <v>97</v>
      </c>
      <c r="AI134" s="24">
        <f>11.0664-G134</f>
        <v>0.64710000000000001</v>
      </c>
      <c r="AJ134" s="24" t="s">
        <v>98</v>
      </c>
      <c r="AK134" s="24">
        <f>10.5205-G134</f>
        <v>0.1012000000000004</v>
      </c>
      <c r="AL134" s="24" t="s">
        <v>99</v>
      </c>
      <c r="AM134" s="24">
        <v>2.65</v>
      </c>
      <c r="AN134" s="24" t="s">
        <v>180</v>
      </c>
      <c r="AO134" s="24">
        <v>230</v>
      </c>
    </row>
    <row r="135" spans="1:53" x14ac:dyDescent="0.3">
      <c r="A135" s="24" t="s">
        <v>252</v>
      </c>
      <c r="B135" s="24" t="s">
        <v>241</v>
      </c>
      <c r="C135" s="45">
        <v>45758.375</v>
      </c>
      <c r="D135" s="39">
        <v>34</v>
      </c>
      <c r="E135" s="39">
        <v>19.899999999999999</v>
      </c>
      <c r="F135" s="24" t="s">
        <v>82</v>
      </c>
      <c r="G135" s="24">
        <v>10.1294</v>
      </c>
      <c r="H135" s="24" t="s">
        <v>83</v>
      </c>
      <c r="I135" s="24">
        <v>1024.8</v>
      </c>
      <c r="J135" s="24" t="s">
        <v>84</v>
      </c>
      <c r="K135" s="24">
        <v>6.8</v>
      </c>
      <c r="L135" s="24" t="s">
        <v>85</v>
      </c>
      <c r="M135" s="24">
        <v>40.090000000000003</v>
      </c>
      <c r="N135" s="24" t="s">
        <v>86</v>
      </c>
      <c r="O135" s="24">
        <v>40.090000000000003</v>
      </c>
      <c r="P135" s="24" t="s">
        <v>87</v>
      </c>
      <c r="Q135" s="24">
        <v>24.9</v>
      </c>
      <c r="R135" s="24" t="s">
        <v>88</v>
      </c>
      <c r="S135" s="24">
        <v>44.24</v>
      </c>
      <c r="T135" s="24" t="s">
        <v>89</v>
      </c>
      <c r="U135" s="24">
        <v>23.28</v>
      </c>
      <c r="V135" s="24" t="s">
        <v>90</v>
      </c>
      <c r="W135" s="24">
        <v>5.59</v>
      </c>
      <c r="X135" s="24" t="s">
        <v>91</v>
      </c>
      <c r="Y135" s="24">
        <v>13</v>
      </c>
      <c r="Z135" s="24" t="s">
        <v>92</v>
      </c>
      <c r="AA135" s="24">
        <v>3</v>
      </c>
      <c r="AB135" s="24" t="s">
        <v>93</v>
      </c>
      <c r="AC135" s="24">
        <v>10</v>
      </c>
      <c r="AD135" s="24" t="s">
        <v>95</v>
      </c>
      <c r="AF135" s="24" t="s">
        <v>100</v>
      </c>
      <c r="AG135" s="24">
        <v>2.71</v>
      </c>
      <c r="AH135" s="24" t="s">
        <v>97</v>
      </c>
      <c r="AI135" s="24">
        <f>11.0054-G135</f>
        <v>0.87599999999999945</v>
      </c>
      <c r="AJ135" s="24" t="s">
        <v>98</v>
      </c>
      <c r="AK135" s="24">
        <f>10.3238-G135</f>
        <v>0.19439999999999991</v>
      </c>
      <c r="AL135" s="24" t="s">
        <v>99</v>
      </c>
      <c r="AM135" s="24">
        <v>6.5</v>
      </c>
      <c r="AN135" s="24" t="s">
        <v>180</v>
      </c>
      <c r="AO135" s="24">
        <v>212</v>
      </c>
    </row>
    <row r="136" spans="1:53" x14ac:dyDescent="0.3">
      <c r="A136" s="24" t="s">
        <v>253</v>
      </c>
      <c r="B136" s="24" t="s">
        <v>241</v>
      </c>
      <c r="C136" s="45">
        <v>45758.604166666664</v>
      </c>
      <c r="D136" s="39"/>
      <c r="E136" s="39"/>
      <c r="F136" s="24" t="s">
        <v>82</v>
      </c>
      <c r="G136" s="24">
        <v>10.624000000000001</v>
      </c>
      <c r="H136" s="24" t="s">
        <v>83</v>
      </c>
      <c r="I136" s="24">
        <v>1022.7</v>
      </c>
      <c r="J136" s="24" t="s">
        <v>84</v>
      </c>
      <c r="K136" s="24">
        <v>6.3</v>
      </c>
      <c r="L136" s="24" t="s">
        <v>85</v>
      </c>
      <c r="M136" s="24">
        <v>85.48</v>
      </c>
      <c r="N136" s="24" t="s">
        <v>86</v>
      </c>
      <c r="O136" s="24">
        <v>74.42</v>
      </c>
      <c r="P136" s="24" t="s">
        <v>87</v>
      </c>
      <c r="Q136" s="24">
        <v>16.98</v>
      </c>
      <c r="R136" s="24" t="s">
        <v>88</v>
      </c>
      <c r="S136" s="24">
        <v>43.45</v>
      </c>
      <c r="T136" s="24" t="s">
        <v>89</v>
      </c>
      <c r="U136" s="24">
        <v>16.55</v>
      </c>
      <c r="V136" s="24" t="s">
        <v>90</v>
      </c>
      <c r="W136" s="24">
        <v>5.85</v>
      </c>
      <c r="X136" s="24" t="s">
        <v>91</v>
      </c>
      <c r="Y136" s="24">
        <v>18</v>
      </c>
      <c r="Z136" s="24" t="s">
        <v>92</v>
      </c>
      <c r="AA136" s="24">
        <v>10</v>
      </c>
      <c r="AB136" s="24" t="s">
        <v>93</v>
      </c>
      <c r="AC136" s="24">
        <v>10</v>
      </c>
      <c r="AD136" s="24" t="s">
        <v>95</v>
      </c>
      <c r="AE136" s="24">
        <v>81</v>
      </c>
      <c r="AF136" s="24" t="s">
        <v>100</v>
      </c>
      <c r="AG136" s="24">
        <v>2.74</v>
      </c>
      <c r="AH136" s="24" t="s">
        <v>97</v>
      </c>
      <c r="AI136" s="24">
        <f>11.4803-G136</f>
        <v>0.85629999999999917</v>
      </c>
      <c r="AJ136" s="24" t="s">
        <v>98</v>
      </c>
      <c r="AK136" s="24">
        <f>10.7922-G136</f>
        <v>0.16819999999999879</v>
      </c>
      <c r="AL136" s="24" t="s">
        <v>99</v>
      </c>
      <c r="AM136" s="24">
        <v>5.4499999999999993</v>
      </c>
      <c r="AN136" s="24" t="s">
        <v>180</v>
      </c>
      <c r="AO136" s="24">
        <v>201</v>
      </c>
    </row>
    <row r="137" spans="1:53" x14ac:dyDescent="0.3">
      <c r="A137" s="24" t="s">
        <v>254</v>
      </c>
      <c r="B137" s="24" t="s">
        <v>241</v>
      </c>
      <c r="C137" s="45">
        <v>45759.416666666664</v>
      </c>
      <c r="D137" s="39">
        <v>27.5</v>
      </c>
      <c r="E137" s="39">
        <v>17.5</v>
      </c>
      <c r="F137" s="24" t="s">
        <v>82</v>
      </c>
      <c r="G137" s="24">
        <v>10.3879</v>
      </c>
      <c r="H137" s="24" t="s">
        <v>83</v>
      </c>
      <c r="I137" s="24">
        <v>1012.7</v>
      </c>
      <c r="J137" s="24" t="s">
        <v>84</v>
      </c>
      <c r="K137" s="24">
        <v>3.7</v>
      </c>
      <c r="L137" s="24" t="s">
        <v>85</v>
      </c>
      <c r="M137" s="24">
        <v>56.84</v>
      </c>
      <c r="N137" s="24" t="s">
        <v>86</v>
      </c>
      <c r="O137" s="24">
        <v>55.99</v>
      </c>
      <c r="P137" s="24" t="s">
        <v>87</v>
      </c>
      <c r="Q137" s="24">
        <v>16.760000000000002</v>
      </c>
      <c r="R137" s="24" t="s">
        <v>88</v>
      </c>
      <c r="S137" s="24">
        <v>32.380000000000003</v>
      </c>
      <c r="T137" s="24" t="s">
        <v>89</v>
      </c>
      <c r="U137" s="24">
        <v>7.46</v>
      </c>
      <c r="V137" s="24" t="s">
        <v>90</v>
      </c>
      <c r="W137" s="24">
        <v>6.34</v>
      </c>
      <c r="X137" s="24" t="s">
        <v>91</v>
      </c>
      <c r="Y137" s="24">
        <v>13</v>
      </c>
      <c r="Z137" s="24" t="s">
        <v>92</v>
      </c>
      <c r="AA137" s="24">
        <v>4</v>
      </c>
      <c r="AB137" s="24" t="s">
        <v>93</v>
      </c>
      <c r="AC137" s="24">
        <v>10</v>
      </c>
      <c r="AD137" s="24" t="s">
        <v>95</v>
      </c>
      <c r="AE137" s="24">
        <v>65</v>
      </c>
      <c r="AF137" s="24" t="s">
        <v>100</v>
      </c>
      <c r="AG137" s="24">
        <v>2.66</v>
      </c>
      <c r="AH137" s="24" t="s">
        <v>97</v>
      </c>
      <c r="AI137" s="24">
        <f>11.1013-G137</f>
        <v>0.71340000000000003</v>
      </c>
      <c r="AJ137" s="24" t="s">
        <v>98</v>
      </c>
      <c r="AK137" s="24">
        <f>10.5513-G137</f>
        <v>0.16339999999999932</v>
      </c>
      <c r="AL137" s="24" t="s">
        <v>99</v>
      </c>
      <c r="AM137" s="24">
        <v>2.8500000000000005</v>
      </c>
      <c r="AN137" s="24" t="s">
        <v>180</v>
      </c>
      <c r="AO137" s="24">
        <v>198</v>
      </c>
    </row>
    <row r="138" spans="1:53" x14ac:dyDescent="0.3">
      <c r="A138" s="26" t="s">
        <v>255</v>
      </c>
      <c r="B138" s="26" t="s">
        <v>241</v>
      </c>
      <c r="C138" s="45">
        <v>45760.708333333336</v>
      </c>
      <c r="D138" s="39">
        <v>25</v>
      </c>
      <c r="E138" s="39">
        <v>16.5</v>
      </c>
      <c r="F138" s="24" t="s">
        <v>82</v>
      </c>
      <c r="G138" s="24">
        <v>10.4094</v>
      </c>
      <c r="H138" s="24" t="s">
        <v>83</v>
      </c>
      <c r="I138" s="24">
        <v>1002.4</v>
      </c>
      <c r="J138" s="24" t="s">
        <v>84</v>
      </c>
      <c r="K138" s="24">
        <v>1.1000000000000001</v>
      </c>
      <c r="L138" s="24" t="s">
        <v>85</v>
      </c>
      <c r="M138" s="24">
        <v>81.41</v>
      </c>
      <c r="N138" s="24" t="s">
        <v>86</v>
      </c>
      <c r="O138" s="24">
        <v>72.27</v>
      </c>
      <c r="P138" s="24" t="s">
        <v>87</v>
      </c>
      <c r="Q138" s="24">
        <v>9.15</v>
      </c>
      <c r="R138" s="24" t="s">
        <v>88</v>
      </c>
      <c r="S138" s="24">
        <v>16.96</v>
      </c>
      <c r="T138" s="24" t="s">
        <v>89</v>
      </c>
      <c r="U138" s="24">
        <v>1.55</v>
      </c>
      <c r="V138" s="24" t="s">
        <v>90</v>
      </c>
      <c r="W138" s="24">
        <v>6.8</v>
      </c>
      <c r="X138" s="24" t="s">
        <v>91</v>
      </c>
      <c r="Y138" s="24">
        <v>17</v>
      </c>
      <c r="Z138" s="24" t="s">
        <v>92</v>
      </c>
      <c r="AA138" s="24">
        <v>10</v>
      </c>
      <c r="AB138" s="24" t="s">
        <v>93</v>
      </c>
      <c r="AC138" s="24">
        <v>9</v>
      </c>
      <c r="AD138" s="24" t="s">
        <v>95</v>
      </c>
      <c r="AE138" s="24">
        <v>55</v>
      </c>
      <c r="AF138" s="24" t="s">
        <v>100</v>
      </c>
      <c r="AG138" s="24">
        <v>2.64</v>
      </c>
      <c r="AH138" s="24" t="s">
        <v>97</v>
      </c>
      <c r="AI138" s="24">
        <f>11.5732-G138</f>
        <v>1.1638000000000002</v>
      </c>
      <c r="AJ138" s="24" t="s">
        <v>98</v>
      </c>
      <c r="AK138" s="24">
        <f>10.6778-G138</f>
        <v>0.26839999999999975</v>
      </c>
      <c r="AL138" s="24" t="s">
        <v>99</v>
      </c>
      <c r="AM138" s="24">
        <v>7.05</v>
      </c>
      <c r="AN138" s="24" t="s">
        <v>180</v>
      </c>
      <c r="AO138" s="24">
        <v>189</v>
      </c>
    </row>
    <row r="139" spans="1:53" x14ac:dyDescent="0.3">
      <c r="A139" s="24" t="s">
        <v>256</v>
      </c>
      <c r="B139" s="24" t="s">
        <v>241</v>
      </c>
      <c r="C139" s="45">
        <v>45763.625</v>
      </c>
      <c r="D139" s="39">
        <v>4.2</v>
      </c>
      <c r="E139" s="39">
        <v>4.2</v>
      </c>
      <c r="F139" s="24" t="s">
        <v>82</v>
      </c>
      <c r="G139" s="24">
        <v>9.7881999999999998</v>
      </c>
      <c r="H139" s="24" t="s">
        <v>83</v>
      </c>
      <c r="I139" s="24">
        <v>991.1</v>
      </c>
      <c r="J139" s="24" t="s">
        <v>84</v>
      </c>
      <c r="K139" s="24">
        <v>-1.6</v>
      </c>
      <c r="L139" s="24" t="s">
        <v>85</v>
      </c>
      <c r="M139" s="24">
        <v>37.4</v>
      </c>
      <c r="N139" s="24" t="s">
        <v>86</v>
      </c>
      <c r="O139" s="24">
        <v>36.71</v>
      </c>
      <c r="P139" s="24" t="s">
        <v>87</v>
      </c>
      <c r="Q139" s="24">
        <v>20.12</v>
      </c>
      <c r="R139" s="24" t="s">
        <v>88</v>
      </c>
      <c r="S139" s="24">
        <v>1</v>
      </c>
      <c r="T139" s="24" t="s">
        <v>89</v>
      </c>
      <c r="U139" s="24">
        <v>7.0000000000000007E-2</v>
      </c>
      <c r="V139" s="24" t="s">
        <v>90</v>
      </c>
      <c r="W139" s="24">
        <v>7.98</v>
      </c>
      <c r="X139" s="24" t="s">
        <v>91</v>
      </c>
      <c r="Y139" s="24">
        <v>12</v>
      </c>
      <c r="Z139" s="24" t="s">
        <v>92</v>
      </c>
      <c r="AA139" s="24">
        <v>2</v>
      </c>
      <c r="AB139" s="24" t="s">
        <v>93</v>
      </c>
      <c r="AC139" s="24">
        <v>10</v>
      </c>
      <c r="AD139" s="24" t="s">
        <v>94</v>
      </c>
      <c r="AE139" s="24">
        <v>0.33</v>
      </c>
      <c r="AF139" s="24" t="s">
        <v>95</v>
      </c>
      <c r="AG139" s="24">
        <v>69</v>
      </c>
      <c r="AH139" s="24" t="s">
        <v>97</v>
      </c>
      <c r="AI139" s="24">
        <f>10.5734-G139</f>
        <v>0.78519999999999968</v>
      </c>
      <c r="AJ139" s="24" t="s">
        <v>98</v>
      </c>
      <c r="AK139" s="24">
        <f>10.0136-G139</f>
        <v>0.22540000000000049</v>
      </c>
      <c r="AL139" s="24" t="s">
        <v>99</v>
      </c>
      <c r="AM139" s="24">
        <v>5.3999999999999995</v>
      </c>
      <c r="AN139" s="24" t="s">
        <v>180</v>
      </c>
      <c r="AO139" s="24">
        <v>188</v>
      </c>
      <c r="AP139" s="24" t="s">
        <v>102</v>
      </c>
      <c r="AQ139" s="24">
        <v>225</v>
      </c>
      <c r="AR139" s="24" t="s">
        <v>100</v>
      </c>
      <c r="AS139" s="24">
        <v>2.67</v>
      </c>
      <c r="AT139" s="24" t="s">
        <v>101</v>
      </c>
      <c r="AU139" s="24">
        <v>2.9</v>
      </c>
      <c r="AV139" s="24" t="s">
        <v>103</v>
      </c>
      <c r="AW139" s="24">
        <v>3.2</v>
      </c>
      <c r="AX139" s="24" t="s">
        <v>104</v>
      </c>
      <c r="AY139" s="24">
        <v>5</v>
      </c>
      <c r="AZ139" s="24" t="s">
        <v>105</v>
      </c>
      <c r="BA139" s="24">
        <v>255</v>
      </c>
    </row>
    <row r="140" spans="1:53" x14ac:dyDescent="0.3">
      <c r="A140" s="24" t="s">
        <v>257</v>
      </c>
      <c r="B140" s="24" t="s">
        <v>258</v>
      </c>
      <c r="C140" s="45">
        <v>45768.833333333336</v>
      </c>
      <c r="D140" s="39"/>
      <c r="E140" s="39"/>
      <c r="F140" s="24" t="s">
        <v>82</v>
      </c>
      <c r="G140" s="24">
        <v>10.152100000000001</v>
      </c>
      <c r="H140" s="24" t="s">
        <v>83</v>
      </c>
      <c r="I140" s="24">
        <v>1059.7</v>
      </c>
      <c r="J140" s="24" t="s">
        <v>84</v>
      </c>
      <c r="K140" s="24">
        <v>15.1</v>
      </c>
      <c r="L140" s="24" t="s">
        <v>85</v>
      </c>
      <c r="M140" s="24">
        <v>16.05</v>
      </c>
      <c r="N140" s="24" t="s">
        <v>86</v>
      </c>
      <c r="O140" s="24">
        <v>13.75</v>
      </c>
      <c r="P140" s="24" t="s">
        <v>87</v>
      </c>
      <c r="Q140" s="24">
        <v>21.05</v>
      </c>
      <c r="R140" s="24" t="s">
        <v>88</v>
      </c>
      <c r="S140" s="24">
        <v>69.58</v>
      </c>
      <c r="T140" s="24" t="s">
        <v>89</v>
      </c>
      <c r="U140" s="24">
        <v>68.06</v>
      </c>
      <c r="V140" s="24" t="s">
        <v>90</v>
      </c>
      <c r="W140" s="24">
        <v>2.2999999999999998</v>
      </c>
      <c r="X140" s="24" t="s">
        <v>91</v>
      </c>
      <c r="Y140" s="24">
        <v>99</v>
      </c>
      <c r="Z140" s="24" t="s">
        <v>92</v>
      </c>
      <c r="AA140" s="24">
        <v>31</v>
      </c>
      <c r="AB140" s="24" t="s">
        <v>93</v>
      </c>
      <c r="AC140" s="24">
        <v>73</v>
      </c>
      <c r="AD140" s="24" t="s">
        <v>95</v>
      </c>
      <c r="AE140" s="24">
        <v>25</v>
      </c>
      <c r="AF140" s="24" t="s">
        <v>100</v>
      </c>
      <c r="AG140" s="24">
        <v>3.05</v>
      </c>
      <c r="AH140" s="24" t="s">
        <v>97</v>
      </c>
      <c r="AI140" s="24">
        <f>10.3871-G140</f>
        <v>0.23499999999999943</v>
      </c>
      <c r="AJ140" s="24" t="s">
        <v>98</v>
      </c>
      <c r="AK140" s="24">
        <f>10.2095-G140</f>
        <v>5.7399999999999451E-2</v>
      </c>
      <c r="AL140" s="24" t="s">
        <v>99</v>
      </c>
      <c r="AN140" s="24" t="s">
        <v>180</v>
      </c>
      <c r="AO140" s="24">
        <v>177</v>
      </c>
    </row>
    <row r="141" spans="1:53" x14ac:dyDescent="0.3">
      <c r="A141" s="24" t="s">
        <v>259</v>
      </c>
      <c r="B141" s="24" t="s">
        <v>258</v>
      </c>
      <c r="C141" s="45">
        <v>45773.40625</v>
      </c>
      <c r="D141" s="39">
        <v>12.6</v>
      </c>
      <c r="E141" s="39">
        <v>7.9</v>
      </c>
      <c r="F141" s="24" t="s">
        <v>82</v>
      </c>
      <c r="G141" s="24">
        <v>9.8539999999999992</v>
      </c>
      <c r="H141" s="24" t="s">
        <v>83</v>
      </c>
      <c r="I141" s="24">
        <v>1037</v>
      </c>
      <c r="J141" s="24" t="s">
        <v>84</v>
      </c>
      <c r="K141" s="24">
        <v>9.5</v>
      </c>
      <c r="L141" s="24" t="s">
        <v>85</v>
      </c>
      <c r="M141" s="24">
        <v>52.07</v>
      </c>
      <c r="N141" s="24" t="s">
        <v>86</v>
      </c>
      <c r="O141" s="24">
        <v>50.92</v>
      </c>
      <c r="P141" s="24" t="s">
        <v>87</v>
      </c>
      <c r="Q141" s="24">
        <v>22.71</v>
      </c>
      <c r="R141" s="24" t="s">
        <v>88</v>
      </c>
      <c r="S141" s="24">
        <v>65.66</v>
      </c>
      <c r="T141" s="24" t="s">
        <v>89</v>
      </c>
      <c r="U141" s="24">
        <v>57.62</v>
      </c>
      <c r="V141" s="24" t="s">
        <v>90</v>
      </c>
      <c r="W141" s="24">
        <v>3.05</v>
      </c>
      <c r="X141" s="24" t="s">
        <v>91</v>
      </c>
      <c r="Y141" s="24">
        <v>132</v>
      </c>
      <c r="Z141" s="24" t="s">
        <v>92</v>
      </c>
      <c r="AA141" s="24">
        <v>69</v>
      </c>
      <c r="AB141" s="24" t="s">
        <v>93</v>
      </c>
      <c r="AC141" s="24">
        <v>76</v>
      </c>
      <c r="AD141" s="24" t="s">
        <v>95</v>
      </c>
      <c r="AE141" s="24">
        <v>39</v>
      </c>
      <c r="AF141" s="24" t="s">
        <v>100</v>
      </c>
      <c r="AG141" s="24">
        <v>2.93</v>
      </c>
      <c r="AH141" s="24" t="s">
        <v>97</v>
      </c>
      <c r="AJ141" s="24" t="s">
        <v>98</v>
      </c>
      <c r="AL141" s="24" t="s">
        <v>99</v>
      </c>
      <c r="AN141" s="24" t="s">
        <v>180</v>
      </c>
      <c r="AO141" s="24">
        <v>284</v>
      </c>
    </row>
    <row r="142" spans="1:53" x14ac:dyDescent="0.3">
      <c r="A142" s="24" t="s">
        <v>260</v>
      </c>
      <c r="B142" s="24" t="s">
        <v>258</v>
      </c>
      <c r="C142" s="45">
        <v>45773.6875</v>
      </c>
      <c r="D142" s="39"/>
      <c r="E142" s="39"/>
      <c r="F142" s="24" t="s">
        <v>82</v>
      </c>
      <c r="G142" s="24">
        <v>9.8141999999999996</v>
      </c>
      <c r="H142" s="24" t="s">
        <v>83</v>
      </c>
      <c r="I142" s="24">
        <v>1033.4000000000001</v>
      </c>
      <c r="J142" s="24" t="s">
        <v>84</v>
      </c>
      <c r="K142" s="24">
        <v>8.9</v>
      </c>
      <c r="L142" s="24" t="s">
        <v>85</v>
      </c>
      <c r="M142" s="24">
        <v>34.56</v>
      </c>
      <c r="N142" s="24" t="s">
        <v>86</v>
      </c>
      <c r="O142" s="24">
        <v>34.1</v>
      </c>
      <c r="P142" s="24" t="s">
        <v>87</v>
      </c>
      <c r="Q142" s="24">
        <v>22.67</v>
      </c>
      <c r="R142" s="24" t="s">
        <v>88</v>
      </c>
      <c r="S142" s="24">
        <v>51.43</v>
      </c>
      <c r="T142" s="24" t="s">
        <v>89</v>
      </c>
      <c r="U142" s="24">
        <v>32.340000000000003</v>
      </c>
      <c r="V142" s="24" t="s">
        <v>90</v>
      </c>
      <c r="W142" s="24">
        <v>4.9800000000000004</v>
      </c>
      <c r="X142" s="24" t="s">
        <v>91</v>
      </c>
      <c r="Y142" s="24">
        <v>27</v>
      </c>
      <c r="Z142" s="24" t="s">
        <v>92</v>
      </c>
      <c r="AA142" s="24">
        <v>0</v>
      </c>
      <c r="AB142" s="24" t="s">
        <v>93</v>
      </c>
      <c r="AC142" s="24">
        <v>27</v>
      </c>
      <c r="AD142" s="24" t="s">
        <v>95</v>
      </c>
      <c r="AE142" s="24">
        <v>51</v>
      </c>
      <c r="AF142" s="24" t="s">
        <v>100</v>
      </c>
      <c r="AG142" s="24">
        <v>2.77</v>
      </c>
      <c r="AH142" s="24" t="s">
        <v>97</v>
      </c>
      <c r="AJ142" s="24" t="s">
        <v>98</v>
      </c>
      <c r="AL142" s="24" t="s">
        <v>99</v>
      </c>
      <c r="AN142" s="24" t="s">
        <v>180</v>
      </c>
      <c r="AO142" s="24">
        <v>261</v>
      </c>
    </row>
    <row r="143" spans="1:53" x14ac:dyDescent="0.3">
      <c r="A143" s="24" t="s">
        <v>261</v>
      </c>
      <c r="B143" s="24" t="s">
        <v>258</v>
      </c>
      <c r="C143" s="45">
        <v>45774.5625</v>
      </c>
      <c r="D143" s="39">
        <v>15</v>
      </c>
      <c r="E143" s="39">
        <v>9.6999999999999993</v>
      </c>
      <c r="F143" s="24" t="s">
        <v>82</v>
      </c>
      <c r="G143" s="24">
        <v>9.8238000000000003</v>
      </c>
      <c r="H143" s="24" t="s">
        <v>83</v>
      </c>
      <c r="I143" s="24">
        <v>1025.2</v>
      </c>
      <c r="J143" s="24" t="s">
        <v>84</v>
      </c>
      <c r="K143" s="24">
        <v>6.8</v>
      </c>
      <c r="L143" s="24" t="s">
        <v>85</v>
      </c>
      <c r="M143" s="24">
        <v>83.1</v>
      </c>
      <c r="N143" s="24" t="s">
        <v>86</v>
      </c>
      <c r="O143" s="24">
        <v>69.819999999999993</v>
      </c>
      <c r="P143" s="24" t="s">
        <v>87</v>
      </c>
      <c r="Q143" s="24">
        <v>15.25</v>
      </c>
      <c r="R143" s="24" t="s">
        <v>88</v>
      </c>
      <c r="S143" s="24">
        <v>49.44</v>
      </c>
      <c r="T143" s="24" t="s">
        <v>89</v>
      </c>
      <c r="U143" s="24">
        <v>19.54</v>
      </c>
      <c r="V143" s="24" t="s">
        <v>90</v>
      </c>
      <c r="W143" s="24">
        <v>5.54</v>
      </c>
      <c r="X143" s="24" t="s">
        <v>91</v>
      </c>
      <c r="Y143" s="24">
        <v>26</v>
      </c>
      <c r="Z143" s="24" t="s">
        <v>92</v>
      </c>
      <c r="AA143" s="24">
        <v>0</v>
      </c>
      <c r="AB143" s="24" t="s">
        <v>93</v>
      </c>
      <c r="AC143" s="24">
        <v>26</v>
      </c>
      <c r="AD143" s="24" t="s">
        <v>95</v>
      </c>
      <c r="AE143" s="24">
        <v>48</v>
      </c>
      <c r="AF143" s="24" t="s">
        <v>100</v>
      </c>
      <c r="AG143" s="24">
        <v>2.72</v>
      </c>
      <c r="AH143" s="24" t="s">
        <v>97</v>
      </c>
      <c r="AJ143" s="24" t="s">
        <v>98</v>
      </c>
      <c r="AL143" s="24" t="s">
        <v>99</v>
      </c>
      <c r="AN143" s="24" t="s">
        <v>180</v>
      </c>
      <c r="AO143" s="24">
        <v>245</v>
      </c>
    </row>
    <row r="144" spans="1:53" x14ac:dyDescent="0.3">
      <c r="A144" s="24" t="s">
        <v>262</v>
      </c>
      <c r="B144" s="24" t="s">
        <v>258</v>
      </c>
      <c r="C144" s="45">
        <v>45775.375</v>
      </c>
      <c r="D144" s="39">
        <v>11</v>
      </c>
      <c r="E144" s="39">
        <v>6</v>
      </c>
      <c r="F144" s="24" t="s">
        <v>82</v>
      </c>
      <c r="G144" s="24">
        <v>9.8106000000000009</v>
      </c>
      <c r="H144" s="24" t="s">
        <v>83</v>
      </c>
      <c r="I144" s="24">
        <v>1019.3</v>
      </c>
      <c r="J144" s="24" t="s">
        <v>84</v>
      </c>
      <c r="K144" s="24">
        <v>5.3</v>
      </c>
      <c r="L144" s="24" t="s">
        <v>85</v>
      </c>
      <c r="M144" s="24">
        <v>44.39</v>
      </c>
      <c r="N144" s="24" t="s">
        <v>86</v>
      </c>
      <c r="O144" s="24">
        <v>43.09</v>
      </c>
      <c r="P144" s="24" t="s">
        <v>87</v>
      </c>
      <c r="Q144" s="24">
        <v>20.93</v>
      </c>
      <c r="R144" s="24" t="s">
        <v>88</v>
      </c>
      <c r="S144" s="24">
        <v>39.54</v>
      </c>
      <c r="T144" s="24" t="s">
        <v>89</v>
      </c>
      <c r="U144" s="24">
        <v>17.88</v>
      </c>
      <c r="V144" s="24" t="s">
        <v>90</v>
      </c>
      <c r="W144" s="24">
        <v>5.84</v>
      </c>
      <c r="X144" s="24" t="s">
        <v>91</v>
      </c>
      <c r="Y144" s="24">
        <v>30</v>
      </c>
      <c r="Z144" s="24" t="s">
        <v>92</v>
      </c>
      <c r="AA144" s="24">
        <v>0</v>
      </c>
      <c r="AB144" s="24" t="s">
        <v>93</v>
      </c>
      <c r="AC144" s="24">
        <v>29</v>
      </c>
      <c r="AD144" s="24" t="s">
        <v>95</v>
      </c>
      <c r="AE144" s="24">
        <v>38</v>
      </c>
      <c r="AF144" s="24" t="s">
        <v>100</v>
      </c>
      <c r="AG144" s="24">
        <v>2.75</v>
      </c>
      <c r="AH144" s="24" t="s">
        <v>97</v>
      </c>
      <c r="AJ144" s="24" t="s">
        <v>98</v>
      </c>
      <c r="AL144" s="24" t="s">
        <v>99</v>
      </c>
      <c r="AN144" s="24" t="s">
        <v>180</v>
      </c>
      <c r="AO144" s="24">
        <v>229</v>
      </c>
    </row>
    <row r="145" spans="1:41" x14ac:dyDescent="0.3">
      <c r="A145" s="24" t="s">
        <v>263</v>
      </c>
      <c r="B145" s="24" t="s">
        <v>258</v>
      </c>
      <c r="C145" s="45">
        <v>45775.625</v>
      </c>
      <c r="D145" s="39"/>
      <c r="E145" s="39"/>
      <c r="F145" s="24" t="s">
        <v>82</v>
      </c>
      <c r="G145" s="24">
        <v>9.8168000000000006</v>
      </c>
      <c r="H145" s="24" t="s">
        <v>83</v>
      </c>
      <c r="I145" s="24">
        <v>1017.3</v>
      </c>
      <c r="J145" s="24" t="s">
        <v>84</v>
      </c>
      <c r="K145" s="24">
        <v>4.9000000000000004</v>
      </c>
      <c r="L145" s="24" t="s">
        <v>85</v>
      </c>
      <c r="M145" s="24">
        <v>40.4</v>
      </c>
      <c r="N145" s="24" t="s">
        <v>86</v>
      </c>
      <c r="O145" s="24">
        <v>40.020000000000003</v>
      </c>
      <c r="P145" s="24" t="s">
        <v>87</v>
      </c>
      <c r="Q145" s="24">
        <v>17.489999999999998</v>
      </c>
      <c r="R145" s="24" t="s">
        <v>88</v>
      </c>
      <c r="S145" s="24">
        <v>35.83</v>
      </c>
      <c r="T145" s="24" t="s">
        <v>89</v>
      </c>
      <c r="U145" s="24">
        <v>15.11</v>
      </c>
      <c r="V145" s="24" t="s">
        <v>90</v>
      </c>
      <c r="W145" s="24">
        <v>5.73</v>
      </c>
      <c r="X145" s="24" t="s">
        <v>91</v>
      </c>
      <c r="Y145" s="24">
        <v>29</v>
      </c>
      <c r="Z145" s="24" t="s">
        <v>92</v>
      </c>
      <c r="AA145" s="24">
        <v>8</v>
      </c>
      <c r="AB145" s="24" t="s">
        <v>93</v>
      </c>
      <c r="AC145" s="24">
        <v>22</v>
      </c>
      <c r="AD145" s="24" t="s">
        <v>95</v>
      </c>
      <c r="AE145" s="24">
        <v>40</v>
      </c>
      <c r="AF145" s="24" t="s">
        <v>100</v>
      </c>
      <c r="AG145" s="24">
        <v>2.66</v>
      </c>
      <c r="AH145" s="24" t="s">
        <v>97</v>
      </c>
      <c r="AJ145" s="24" t="s">
        <v>98</v>
      </c>
      <c r="AL145" s="24" t="s">
        <v>99</v>
      </c>
      <c r="AN145" s="24" t="s">
        <v>180</v>
      </c>
      <c r="AO145" s="24">
        <v>239</v>
      </c>
    </row>
    <row r="146" spans="1:41" x14ac:dyDescent="0.3">
      <c r="A146" s="24" t="s">
        <v>264</v>
      </c>
      <c r="B146" s="24" t="s">
        <v>258</v>
      </c>
      <c r="C146" s="45">
        <v>45776.4375</v>
      </c>
      <c r="D146" s="39">
        <v>10</v>
      </c>
      <c r="E146" s="39">
        <v>5.7</v>
      </c>
      <c r="F146" s="24" t="s">
        <v>82</v>
      </c>
      <c r="G146" s="24">
        <v>9.8170999999999999</v>
      </c>
      <c r="H146" s="24" t="s">
        <v>83</v>
      </c>
      <c r="I146" s="24">
        <v>1012.9</v>
      </c>
      <c r="J146" s="24" t="s">
        <v>84</v>
      </c>
      <c r="K146" s="24">
        <v>3.7</v>
      </c>
      <c r="L146" s="24" t="s">
        <v>85</v>
      </c>
      <c r="M146" s="24">
        <v>38.86</v>
      </c>
      <c r="N146" s="24" t="s">
        <v>86</v>
      </c>
      <c r="O146" s="24">
        <v>38.479999999999997</v>
      </c>
      <c r="P146" s="24" t="s">
        <v>87</v>
      </c>
      <c r="Q146" s="24">
        <v>14.82</v>
      </c>
      <c r="R146" s="24" t="s">
        <v>88</v>
      </c>
      <c r="S146" s="24">
        <v>32.04</v>
      </c>
      <c r="T146" s="24" t="s">
        <v>89</v>
      </c>
      <c r="U146" s="24">
        <v>11.12</v>
      </c>
      <c r="V146" s="24" t="s">
        <v>90</v>
      </c>
      <c r="W146" s="24">
        <v>5.79</v>
      </c>
      <c r="X146" s="24" t="s">
        <v>91</v>
      </c>
      <c r="Y146" s="24">
        <v>25</v>
      </c>
      <c r="Z146" s="24" t="s">
        <v>92</v>
      </c>
      <c r="AA146" s="24">
        <v>3</v>
      </c>
      <c r="AB146" s="24" t="s">
        <v>93</v>
      </c>
      <c r="AC146" s="24">
        <v>23</v>
      </c>
      <c r="AD146" s="24" t="s">
        <v>95</v>
      </c>
      <c r="AE146" s="24">
        <v>48</v>
      </c>
      <c r="AF146" s="24" t="s">
        <v>100</v>
      </c>
      <c r="AG146" s="24">
        <v>2.73</v>
      </c>
      <c r="AH146" s="24" t="s">
        <v>97</v>
      </c>
      <c r="AJ146" s="24" t="s">
        <v>98</v>
      </c>
      <c r="AL146" s="24" t="s">
        <v>99</v>
      </c>
      <c r="AN146" s="24" t="s">
        <v>180</v>
      </c>
      <c r="AO146" s="24">
        <v>230</v>
      </c>
    </row>
    <row r="147" spans="1:41" x14ac:dyDescent="0.3">
      <c r="A147" s="24" t="s">
        <v>265</v>
      </c>
      <c r="B147" s="24" t="s">
        <v>258</v>
      </c>
      <c r="C147" s="45">
        <v>45776.625</v>
      </c>
      <c r="D147" s="39"/>
      <c r="E147" s="39"/>
      <c r="F147" s="24" t="s">
        <v>82</v>
      </c>
      <c r="G147" s="24">
        <v>9.8361000000000001</v>
      </c>
      <c r="H147" s="24" t="s">
        <v>83</v>
      </c>
      <c r="I147" s="24">
        <v>1010.7</v>
      </c>
      <c r="J147" s="24" t="s">
        <v>84</v>
      </c>
      <c r="K147" s="24">
        <v>3.3</v>
      </c>
      <c r="L147" s="24" t="s">
        <v>85</v>
      </c>
      <c r="M147" s="24">
        <v>32.799999999999997</v>
      </c>
      <c r="N147" s="24" t="s">
        <v>86</v>
      </c>
      <c r="O147" s="24">
        <v>32.409999999999997</v>
      </c>
      <c r="P147" s="24" t="s">
        <v>87</v>
      </c>
      <c r="Q147" s="24">
        <v>19.440000000000001</v>
      </c>
      <c r="R147" s="24" t="s">
        <v>88</v>
      </c>
      <c r="S147" s="24">
        <v>29.68</v>
      </c>
      <c r="T147" s="24" t="s">
        <v>89</v>
      </c>
      <c r="U147" s="24">
        <v>11.07</v>
      </c>
      <c r="V147" s="24" t="s">
        <v>90</v>
      </c>
      <c r="W147" s="24">
        <v>6.34</v>
      </c>
      <c r="X147" s="24" t="s">
        <v>91</v>
      </c>
      <c r="Y147" s="24">
        <v>24</v>
      </c>
      <c r="Z147" s="24" t="s">
        <v>92</v>
      </c>
      <c r="AA147" s="24">
        <v>2</v>
      </c>
      <c r="AB147" s="24" t="s">
        <v>93</v>
      </c>
      <c r="AC147" s="24">
        <v>23</v>
      </c>
      <c r="AD147" s="24" t="s">
        <v>95</v>
      </c>
      <c r="AE147" s="24">
        <v>21</v>
      </c>
      <c r="AF147" s="24" t="s">
        <v>100</v>
      </c>
      <c r="AG147" s="24">
        <v>2.77</v>
      </c>
      <c r="AH147" s="24" t="s">
        <v>97</v>
      </c>
      <c r="AJ147" s="24" t="s">
        <v>98</v>
      </c>
      <c r="AL147" s="24" t="s">
        <v>99</v>
      </c>
      <c r="AN147" s="24" t="s">
        <v>180</v>
      </c>
      <c r="AO147" s="24">
        <v>241</v>
      </c>
    </row>
    <row r="148" spans="1:41" x14ac:dyDescent="0.3">
      <c r="A148" s="24" t="s">
        <v>266</v>
      </c>
      <c r="B148" s="24" t="s">
        <v>258</v>
      </c>
      <c r="C148" s="45">
        <v>45777.375</v>
      </c>
      <c r="D148" s="39">
        <v>8.5</v>
      </c>
      <c r="E148" s="39">
        <v>4.5</v>
      </c>
      <c r="F148" s="24" t="s">
        <v>82</v>
      </c>
      <c r="G148" s="24">
        <v>9.8203999999999994</v>
      </c>
      <c r="H148" s="24" t="s">
        <v>83</v>
      </c>
      <c r="I148" s="24">
        <v>1008.6</v>
      </c>
      <c r="J148" s="24" t="s">
        <v>84</v>
      </c>
      <c r="K148" s="24">
        <v>2.7</v>
      </c>
      <c r="L148" s="24" t="s">
        <v>85</v>
      </c>
      <c r="M148" s="24">
        <v>34.79</v>
      </c>
      <c r="N148" s="24" t="s">
        <v>86</v>
      </c>
      <c r="O148" s="24">
        <v>34.1</v>
      </c>
      <c r="P148" s="24" t="s">
        <v>87</v>
      </c>
      <c r="Q148" s="24">
        <v>11.04</v>
      </c>
      <c r="R148" s="24" t="s">
        <v>88</v>
      </c>
      <c r="S148" s="24">
        <v>26.92</v>
      </c>
      <c r="T148" s="24" t="s">
        <v>89</v>
      </c>
      <c r="U148" s="24">
        <v>7.79</v>
      </c>
      <c r="V148" s="24" t="s">
        <v>90</v>
      </c>
      <c r="W148" s="24">
        <v>6.36</v>
      </c>
      <c r="X148" s="24" t="s">
        <v>91</v>
      </c>
      <c r="Y148" s="24">
        <v>24</v>
      </c>
      <c r="Z148" s="24" t="s">
        <v>92</v>
      </c>
      <c r="AA148" s="24">
        <v>1</v>
      </c>
      <c r="AB148" s="24" t="s">
        <v>93</v>
      </c>
      <c r="AC148" s="24">
        <v>23</v>
      </c>
      <c r="AD148" s="24" t="s">
        <v>95</v>
      </c>
      <c r="AE148" s="24">
        <v>27</v>
      </c>
      <c r="AF148" s="24" t="s">
        <v>100</v>
      </c>
      <c r="AG148" s="24">
        <v>2.76</v>
      </c>
      <c r="AH148" s="24" t="s">
        <v>97</v>
      </c>
      <c r="AJ148" s="24" t="s">
        <v>98</v>
      </c>
      <c r="AL148" s="24" t="s">
        <v>99</v>
      </c>
      <c r="AN148" s="24" t="s">
        <v>180</v>
      </c>
      <c r="AO148" s="24">
        <v>245</v>
      </c>
    </row>
    <row r="149" spans="1:41" x14ac:dyDescent="0.3">
      <c r="A149" s="24" t="s">
        <v>267</v>
      </c>
      <c r="B149" s="24" t="s">
        <v>258</v>
      </c>
      <c r="C149" s="45">
        <v>45777.625</v>
      </c>
      <c r="D149" s="39"/>
      <c r="E149" s="39"/>
      <c r="F149" s="24" t="s">
        <v>82</v>
      </c>
      <c r="G149" s="24">
        <v>9.8386999999999993</v>
      </c>
      <c r="H149" s="24" t="s">
        <v>83</v>
      </c>
      <c r="I149" s="24">
        <v>1007</v>
      </c>
      <c r="J149" s="24" t="s">
        <v>84</v>
      </c>
      <c r="K149" s="24">
        <v>2.2999999999999998</v>
      </c>
      <c r="L149" s="24" t="s">
        <v>85</v>
      </c>
      <c r="M149" s="24">
        <v>40.71</v>
      </c>
      <c r="N149" s="24" t="s">
        <v>86</v>
      </c>
      <c r="O149" s="24">
        <v>39.479999999999997</v>
      </c>
      <c r="P149" s="24" t="s">
        <v>87</v>
      </c>
      <c r="Q149" s="24">
        <v>16.23</v>
      </c>
      <c r="R149" s="24" t="s">
        <v>88</v>
      </c>
      <c r="S149" s="24">
        <v>24.66</v>
      </c>
      <c r="T149" s="24" t="s">
        <v>89</v>
      </c>
      <c r="U149" s="24">
        <v>7.49</v>
      </c>
      <c r="V149" s="24" t="s">
        <v>90</v>
      </c>
      <c r="W149" s="24">
        <v>6.14</v>
      </c>
      <c r="X149" s="24" t="s">
        <v>91</v>
      </c>
      <c r="Y149" s="24">
        <v>24</v>
      </c>
      <c r="Z149" s="24" t="s">
        <v>92</v>
      </c>
      <c r="AA149" s="24">
        <v>1</v>
      </c>
      <c r="AB149" s="24" t="s">
        <v>93</v>
      </c>
      <c r="AC149" s="24">
        <v>23</v>
      </c>
      <c r="AD149" s="24" t="s">
        <v>95</v>
      </c>
      <c r="AF149" s="24" t="s">
        <v>100</v>
      </c>
      <c r="AH149" s="24" t="s">
        <v>97</v>
      </c>
      <c r="AJ149" s="24" t="s">
        <v>98</v>
      </c>
      <c r="AL149" s="24" t="s">
        <v>99</v>
      </c>
      <c r="AN149" s="24" t="s">
        <v>180</v>
      </c>
      <c r="AO149" s="24">
        <v>267</v>
      </c>
    </row>
    <row r="150" spans="1:41" x14ac:dyDescent="0.3">
      <c r="A150" s="24" t="s">
        <v>268</v>
      </c>
      <c r="B150" s="24" t="s">
        <v>258</v>
      </c>
      <c r="C150" s="45">
        <v>45778.729166666664</v>
      </c>
      <c r="D150" s="39">
        <v>9.5</v>
      </c>
      <c r="E150" s="39">
        <v>5</v>
      </c>
      <c r="F150" s="24" t="s">
        <v>82</v>
      </c>
      <c r="G150" s="24">
        <v>9.7914999999999992</v>
      </c>
      <c r="H150" s="24" t="s">
        <v>83</v>
      </c>
      <c r="I150" s="24">
        <v>1003.7</v>
      </c>
      <c r="J150" s="24" t="s">
        <v>84</v>
      </c>
      <c r="K150" s="24">
        <v>1.4</v>
      </c>
      <c r="L150" s="24" t="s">
        <v>85</v>
      </c>
      <c r="M150" s="24">
        <v>60.22</v>
      </c>
      <c r="N150" s="24" t="s">
        <v>86</v>
      </c>
      <c r="O150" s="24">
        <v>51.23</v>
      </c>
      <c r="P150" s="24" t="s">
        <v>87</v>
      </c>
      <c r="Q150" s="24">
        <v>10.08</v>
      </c>
      <c r="R150" s="24" t="s">
        <v>88</v>
      </c>
      <c r="T150" s="24" t="s">
        <v>89</v>
      </c>
      <c r="V150" s="24" t="s">
        <v>90</v>
      </c>
      <c r="X150" s="24" t="s">
        <v>91</v>
      </c>
      <c r="Z150" s="24" t="s">
        <v>92</v>
      </c>
      <c r="AB150" s="24" t="s">
        <v>93</v>
      </c>
      <c r="AD150" s="24" t="s">
        <v>95</v>
      </c>
      <c r="AF150" s="24" t="s">
        <v>100</v>
      </c>
      <c r="AH150" s="24" t="s">
        <v>97</v>
      </c>
      <c r="AJ150" s="24" t="s">
        <v>98</v>
      </c>
      <c r="AL150" s="24" t="s">
        <v>99</v>
      </c>
      <c r="AN150" s="24" t="s">
        <v>180</v>
      </c>
      <c r="AO150" s="24">
        <v>216</v>
      </c>
    </row>
    <row r="151" spans="1:41" x14ac:dyDescent="0.3">
      <c r="A151" s="24" t="s">
        <v>269</v>
      </c>
      <c r="B151" s="24" t="s">
        <v>258</v>
      </c>
      <c r="C151" s="45">
        <v>45769.375</v>
      </c>
      <c r="D151" s="39"/>
      <c r="E151" s="39"/>
      <c r="F151" s="24" t="s">
        <v>82</v>
      </c>
      <c r="G151" s="24">
        <v>10.3431</v>
      </c>
      <c r="H151" s="24" t="s">
        <v>83</v>
      </c>
      <c r="I151" s="24">
        <v>1059.3</v>
      </c>
      <c r="J151" s="24" t="s">
        <v>84</v>
      </c>
      <c r="K151" s="24">
        <v>15</v>
      </c>
      <c r="L151" s="24" t="s">
        <v>85</v>
      </c>
      <c r="M151" s="24">
        <v>12.83</v>
      </c>
      <c r="N151" s="24" t="s">
        <v>86</v>
      </c>
      <c r="O151" s="24">
        <v>10.29</v>
      </c>
      <c r="P151" s="24" t="s">
        <v>87</v>
      </c>
      <c r="Q151" s="24">
        <v>17.37</v>
      </c>
      <c r="R151" s="24" t="s">
        <v>88</v>
      </c>
      <c r="S151" s="24">
        <v>71.86</v>
      </c>
      <c r="T151" s="24" t="s">
        <v>89</v>
      </c>
      <c r="U151" s="24">
        <v>65.08</v>
      </c>
      <c r="V151" s="24" t="s">
        <v>90</v>
      </c>
      <c r="W151" s="24">
        <v>2.31</v>
      </c>
      <c r="X151" s="24" t="s">
        <v>91</v>
      </c>
      <c r="Y151" s="24">
        <v>103</v>
      </c>
      <c r="Z151" s="24" t="s">
        <v>92</v>
      </c>
      <c r="AA151" s="24">
        <v>35</v>
      </c>
      <c r="AB151" s="24" t="s">
        <v>93</v>
      </c>
      <c r="AC151" s="24">
        <v>74</v>
      </c>
      <c r="AD151" s="24" t="s">
        <v>95</v>
      </c>
      <c r="AE151" s="24">
        <v>38</v>
      </c>
      <c r="AF151" s="24" t="s">
        <v>100</v>
      </c>
      <c r="AG151" s="24">
        <v>3.06</v>
      </c>
      <c r="AH151" s="24" t="s">
        <v>97</v>
      </c>
      <c r="AI151" s="24">
        <f>10.5446-G151</f>
        <v>0.20150000000000112</v>
      </c>
      <c r="AJ151" s="24" t="s">
        <v>98</v>
      </c>
      <c r="AK151" s="24">
        <f>10.369-G151</f>
        <v>2.5900000000000034E-2</v>
      </c>
      <c r="AL151" s="24" t="s">
        <v>99</v>
      </c>
      <c r="AN151" s="24" t="s">
        <v>180</v>
      </c>
      <c r="AO151" s="24">
        <v>176</v>
      </c>
    </row>
    <row r="152" spans="1:41" x14ac:dyDescent="0.3">
      <c r="A152" s="24" t="s">
        <v>270</v>
      </c>
      <c r="B152" s="24" t="s">
        <v>258</v>
      </c>
      <c r="C152" s="45">
        <v>45779.4375</v>
      </c>
      <c r="D152" s="39">
        <v>5.5</v>
      </c>
      <c r="E152" s="39">
        <v>2.5</v>
      </c>
      <c r="F152" s="24" t="s">
        <v>82</v>
      </c>
      <c r="G152" s="24">
        <v>9.8150999999999993</v>
      </c>
      <c r="H152" s="24" t="s">
        <v>83</v>
      </c>
      <c r="I152" s="24">
        <v>1002.5</v>
      </c>
      <c r="J152" s="24" t="s">
        <v>84</v>
      </c>
      <c r="K152" s="24">
        <v>0.9</v>
      </c>
      <c r="L152" s="24" t="s">
        <v>85</v>
      </c>
      <c r="M152" s="24">
        <v>45.85</v>
      </c>
      <c r="N152" s="24" t="s">
        <v>86</v>
      </c>
      <c r="O152" s="24">
        <v>41.01</v>
      </c>
      <c r="P152" s="24" t="s">
        <v>87</v>
      </c>
      <c r="Q152" s="24">
        <v>10.220000000000001</v>
      </c>
      <c r="R152" s="24" t="s">
        <v>88</v>
      </c>
      <c r="T152" s="24" t="s">
        <v>89</v>
      </c>
      <c r="V152" s="24" t="s">
        <v>90</v>
      </c>
      <c r="X152" s="24" t="s">
        <v>91</v>
      </c>
      <c r="Z152" s="24" t="s">
        <v>92</v>
      </c>
      <c r="AB152" s="24" t="s">
        <v>93</v>
      </c>
      <c r="AD152" s="24" t="s">
        <v>95</v>
      </c>
      <c r="AF152" s="24" t="s">
        <v>100</v>
      </c>
      <c r="AH152" s="24" t="s">
        <v>97</v>
      </c>
      <c r="AJ152" s="24" t="s">
        <v>98</v>
      </c>
      <c r="AL152" s="24" t="s">
        <v>99</v>
      </c>
      <c r="AN152" s="24" t="s">
        <v>180</v>
      </c>
      <c r="AO152" s="24">
        <v>200</v>
      </c>
    </row>
    <row r="153" spans="1:41" x14ac:dyDescent="0.3">
      <c r="A153" s="24" t="s">
        <v>271</v>
      </c>
      <c r="B153" s="24" t="s">
        <v>258</v>
      </c>
      <c r="C153" s="45">
        <v>45780.5</v>
      </c>
      <c r="D153" s="39">
        <v>5.4</v>
      </c>
      <c r="E153" s="39">
        <v>2.9</v>
      </c>
      <c r="F153" s="24" t="s">
        <v>82</v>
      </c>
      <c r="G153" s="24">
        <v>9.8118999999999996</v>
      </c>
      <c r="H153" s="24" t="s">
        <v>83</v>
      </c>
      <c r="I153" s="24">
        <v>998.5</v>
      </c>
      <c r="J153" s="24" t="s">
        <v>84</v>
      </c>
      <c r="K153" s="24">
        <v>0</v>
      </c>
      <c r="L153" s="24" t="s">
        <v>85</v>
      </c>
      <c r="N153" s="24" t="s">
        <v>86</v>
      </c>
      <c r="P153" s="24" t="s">
        <v>87</v>
      </c>
      <c r="R153" s="24" t="s">
        <v>88</v>
      </c>
      <c r="T153" s="24" t="s">
        <v>89</v>
      </c>
      <c r="V153" s="24" t="s">
        <v>90</v>
      </c>
      <c r="X153" s="24" t="s">
        <v>91</v>
      </c>
      <c r="Z153" s="24" t="s">
        <v>92</v>
      </c>
      <c r="AB153" s="24" t="s">
        <v>93</v>
      </c>
      <c r="AD153" s="24" t="s">
        <v>95</v>
      </c>
      <c r="AF153" s="24" t="s">
        <v>100</v>
      </c>
      <c r="AH153" s="24" t="s">
        <v>97</v>
      </c>
      <c r="AJ153" s="24" t="s">
        <v>98</v>
      </c>
      <c r="AL153" s="24" t="s">
        <v>99</v>
      </c>
      <c r="AN153" s="24" t="s">
        <v>180</v>
      </c>
      <c r="AO153" s="24">
        <v>212</v>
      </c>
    </row>
    <row r="154" spans="1:41" x14ac:dyDescent="0.3">
      <c r="A154" s="24" t="s">
        <v>272</v>
      </c>
      <c r="B154" s="24" t="s">
        <v>258</v>
      </c>
      <c r="C154" s="45">
        <v>45781.5</v>
      </c>
      <c r="D154" s="39">
        <v>3.3</v>
      </c>
      <c r="E154" s="39">
        <v>2.5</v>
      </c>
      <c r="F154" s="24" t="s">
        <v>82</v>
      </c>
      <c r="G154" s="24">
        <v>9.7746999999999993</v>
      </c>
      <c r="H154" s="24" t="s">
        <v>83</v>
      </c>
      <c r="I154" s="24">
        <v>996</v>
      </c>
      <c r="J154" s="24" t="s">
        <v>84</v>
      </c>
      <c r="K154" s="24">
        <v>-0.4</v>
      </c>
      <c r="L154" s="24" t="s">
        <v>85</v>
      </c>
      <c r="N154" s="24" t="s">
        <v>86</v>
      </c>
      <c r="P154" s="24" t="s">
        <v>87</v>
      </c>
      <c r="R154" s="24" t="s">
        <v>88</v>
      </c>
      <c r="T154" s="24" t="s">
        <v>89</v>
      </c>
      <c r="V154" s="24" t="s">
        <v>90</v>
      </c>
      <c r="X154" s="24" t="s">
        <v>91</v>
      </c>
      <c r="Z154" s="24" t="s">
        <v>92</v>
      </c>
      <c r="AB154" s="24" t="s">
        <v>93</v>
      </c>
      <c r="AD154" s="24" t="s">
        <v>95</v>
      </c>
      <c r="AF154" s="24" t="s">
        <v>100</v>
      </c>
      <c r="AH154" s="24" t="s">
        <v>97</v>
      </c>
      <c r="AJ154" s="24" t="s">
        <v>98</v>
      </c>
      <c r="AL154" s="24" t="s">
        <v>99</v>
      </c>
      <c r="AN154" s="24" t="s">
        <v>180</v>
      </c>
      <c r="AO154" s="24">
        <v>211</v>
      </c>
    </row>
    <row r="155" spans="1:41" x14ac:dyDescent="0.3">
      <c r="A155" s="24" t="s">
        <v>273</v>
      </c>
      <c r="B155" s="24" t="s">
        <v>258</v>
      </c>
      <c r="C155" s="45">
        <v>45782.40625</v>
      </c>
      <c r="D155" s="39">
        <v>4.4000000000000004</v>
      </c>
      <c r="E155" s="39">
        <v>2.2000000000000002</v>
      </c>
      <c r="F155" s="24" t="s">
        <v>82</v>
      </c>
      <c r="G155" s="24">
        <v>9.7881999999999998</v>
      </c>
      <c r="H155" s="24" t="s">
        <v>83</v>
      </c>
      <c r="I155" s="24">
        <v>996</v>
      </c>
      <c r="J155" s="24" t="s">
        <v>84</v>
      </c>
      <c r="K155" s="24">
        <v>-0.6</v>
      </c>
      <c r="L155" s="24" t="s">
        <v>85</v>
      </c>
      <c r="N155" s="24" t="s">
        <v>86</v>
      </c>
      <c r="P155" s="24" t="s">
        <v>87</v>
      </c>
      <c r="R155" s="24" t="s">
        <v>88</v>
      </c>
      <c r="T155" s="24" t="s">
        <v>89</v>
      </c>
      <c r="V155" s="24" t="s">
        <v>90</v>
      </c>
      <c r="X155" s="24" t="s">
        <v>91</v>
      </c>
      <c r="Z155" s="24" t="s">
        <v>92</v>
      </c>
      <c r="AB155" s="24" t="s">
        <v>93</v>
      </c>
      <c r="AD155" s="24" t="s">
        <v>95</v>
      </c>
      <c r="AF155" s="24" t="s">
        <v>100</v>
      </c>
      <c r="AH155" s="24" t="s">
        <v>97</v>
      </c>
      <c r="AJ155" s="24" t="s">
        <v>98</v>
      </c>
      <c r="AL155" s="24" t="s">
        <v>99</v>
      </c>
      <c r="AN155" s="24" t="s">
        <v>180</v>
      </c>
      <c r="AO155" s="24">
        <v>216</v>
      </c>
    </row>
    <row r="156" spans="1:41" x14ac:dyDescent="0.3">
      <c r="A156" s="24" t="s">
        <v>274</v>
      </c>
      <c r="B156" s="24" t="s">
        <v>258</v>
      </c>
      <c r="C156" s="45">
        <v>45782.625</v>
      </c>
      <c r="D156" s="39"/>
      <c r="E156" s="39"/>
      <c r="F156" s="24" t="s">
        <v>82</v>
      </c>
      <c r="G156" s="24">
        <v>9.8003</v>
      </c>
      <c r="H156" s="24" t="s">
        <v>83</v>
      </c>
      <c r="J156" s="24" t="s">
        <v>84</v>
      </c>
      <c r="L156" s="24" t="s">
        <v>85</v>
      </c>
      <c r="N156" s="24" t="s">
        <v>86</v>
      </c>
      <c r="P156" s="24" t="s">
        <v>87</v>
      </c>
      <c r="R156" s="24" t="s">
        <v>88</v>
      </c>
      <c r="T156" s="24" t="s">
        <v>89</v>
      </c>
      <c r="V156" s="24" t="s">
        <v>90</v>
      </c>
      <c r="X156" s="24" t="s">
        <v>91</v>
      </c>
      <c r="Z156" s="24" t="s">
        <v>92</v>
      </c>
      <c r="AB156" s="24" t="s">
        <v>93</v>
      </c>
      <c r="AD156" s="24" t="s">
        <v>95</v>
      </c>
      <c r="AF156" s="24" t="s">
        <v>100</v>
      </c>
      <c r="AH156" s="24" t="s">
        <v>97</v>
      </c>
      <c r="AJ156" s="24" t="s">
        <v>98</v>
      </c>
      <c r="AL156" s="24" t="s">
        <v>99</v>
      </c>
      <c r="AN156" s="24" t="s">
        <v>180</v>
      </c>
      <c r="AO156" s="24">
        <v>214</v>
      </c>
    </row>
    <row r="157" spans="1:41" x14ac:dyDescent="0.3">
      <c r="A157" s="24" t="s">
        <v>275</v>
      </c>
      <c r="B157" s="24" t="s">
        <v>258</v>
      </c>
      <c r="C157" s="45">
        <v>45769.625</v>
      </c>
      <c r="D157" s="39"/>
      <c r="E157" s="39"/>
      <c r="F157" s="24" t="s">
        <v>82</v>
      </c>
      <c r="G157" s="24">
        <v>10.18</v>
      </c>
      <c r="H157" s="24" t="s">
        <v>83</v>
      </c>
      <c r="I157" s="24">
        <v>1057.9000000000001</v>
      </c>
      <c r="J157" s="24" t="s">
        <v>84</v>
      </c>
      <c r="K157" s="24">
        <v>14.9</v>
      </c>
      <c r="L157" s="24" t="s">
        <v>85</v>
      </c>
      <c r="M157" s="24">
        <v>15.59</v>
      </c>
      <c r="N157" s="24" t="s">
        <v>86</v>
      </c>
      <c r="O157" s="24">
        <v>13.06</v>
      </c>
      <c r="P157" s="24" t="s">
        <v>87</v>
      </c>
      <c r="Q157" s="24">
        <v>22.66</v>
      </c>
      <c r="R157" s="24" t="s">
        <v>88</v>
      </c>
      <c r="S157" s="24">
        <v>70.17</v>
      </c>
      <c r="T157" s="24" t="s">
        <v>89</v>
      </c>
      <c r="U157" s="24">
        <v>66.53</v>
      </c>
      <c r="V157" s="24" t="s">
        <v>90</v>
      </c>
      <c r="W157" s="24">
        <v>2.4</v>
      </c>
      <c r="X157" s="24" t="s">
        <v>91</v>
      </c>
      <c r="Y157" s="24">
        <v>101</v>
      </c>
      <c r="Z157" s="24" t="s">
        <v>92</v>
      </c>
      <c r="AA157" s="24">
        <v>33</v>
      </c>
      <c r="AB157" s="24" t="s">
        <v>93</v>
      </c>
      <c r="AC157" s="24">
        <v>74</v>
      </c>
      <c r="AD157" s="24" t="s">
        <v>95</v>
      </c>
      <c r="AE157" s="24">
        <v>31</v>
      </c>
      <c r="AF157" s="24" t="s">
        <v>100</v>
      </c>
      <c r="AG157" s="24">
        <v>3</v>
      </c>
      <c r="AH157" s="24" t="s">
        <v>97</v>
      </c>
      <c r="AI157" s="24">
        <f>10.4432-G157</f>
        <v>0.26319999999999943</v>
      </c>
      <c r="AJ157" s="24" t="s">
        <v>98</v>
      </c>
      <c r="AK157" s="24">
        <f>10.2372-G157</f>
        <v>5.7199999999999918E-2</v>
      </c>
      <c r="AL157" s="24" t="s">
        <v>99</v>
      </c>
      <c r="AN157" s="24" t="s">
        <v>180</v>
      </c>
      <c r="AO157" s="24">
        <v>198</v>
      </c>
    </row>
    <row r="158" spans="1:41" x14ac:dyDescent="0.3">
      <c r="A158" s="24" t="s">
        <v>276</v>
      </c>
      <c r="B158" s="24" t="s">
        <v>258</v>
      </c>
      <c r="C158" s="45">
        <v>45770.395833333336</v>
      </c>
      <c r="D158" s="39">
        <v>1.2</v>
      </c>
      <c r="E158" s="39">
        <v>0.3</v>
      </c>
      <c r="F158" s="24" t="s">
        <v>82</v>
      </c>
      <c r="G158" s="24">
        <v>9.8339999999999996</v>
      </c>
      <c r="H158" s="24" t="s">
        <v>83</v>
      </c>
      <c r="I158" s="24">
        <v>1058</v>
      </c>
      <c r="J158" s="24" t="s">
        <v>84</v>
      </c>
      <c r="K158" s="24">
        <v>14.7</v>
      </c>
      <c r="L158" s="24" t="s">
        <v>85</v>
      </c>
      <c r="M158" s="24">
        <v>22.5</v>
      </c>
      <c r="N158" s="24" t="s">
        <v>86</v>
      </c>
      <c r="O158" s="24">
        <v>17.97</v>
      </c>
      <c r="P158" s="24" t="s">
        <v>87</v>
      </c>
      <c r="Q158" s="24">
        <v>18.77</v>
      </c>
      <c r="R158" s="24" t="s">
        <v>88</v>
      </c>
      <c r="S158" s="24">
        <v>67.599999999999994</v>
      </c>
      <c r="T158" s="24" t="s">
        <v>89</v>
      </c>
      <c r="U158" s="24">
        <v>64.52</v>
      </c>
      <c r="V158" s="24" t="s">
        <v>90</v>
      </c>
      <c r="W158" s="24">
        <v>2.56</v>
      </c>
      <c r="X158" s="24" t="s">
        <v>91</v>
      </c>
      <c r="Y158" s="24">
        <v>95</v>
      </c>
      <c r="Z158" s="24" t="s">
        <v>92</v>
      </c>
      <c r="AA158" s="24">
        <v>31</v>
      </c>
      <c r="AB158" s="24" t="s">
        <v>93</v>
      </c>
      <c r="AC158" s="24">
        <v>70</v>
      </c>
      <c r="AD158" s="24" t="s">
        <v>95</v>
      </c>
      <c r="AE158" s="24">
        <v>26</v>
      </c>
      <c r="AF158" s="24" t="s">
        <v>100</v>
      </c>
      <c r="AG158" s="24">
        <v>3.08</v>
      </c>
      <c r="AH158" s="24" t="s">
        <v>97</v>
      </c>
      <c r="AJ158" s="24" t="s">
        <v>98</v>
      </c>
      <c r="AL158" s="24" t="s">
        <v>99</v>
      </c>
      <c r="AN158" s="24" t="s">
        <v>180</v>
      </c>
      <c r="AO158" s="24">
        <v>224</v>
      </c>
    </row>
    <row r="159" spans="1:41" x14ac:dyDescent="0.3">
      <c r="A159" s="24" t="s">
        <v>277</v>
      </c>
      <c r="B159" s="24" t="s">
        <v>258</v>
      </c>
      <c r="C159" s="45">
        <v>45770.479166666664</v>
      </c>
      <c r="D159" s="39"/>
      <c r="E159" s="39"/>
      <c r="F159" s="24" t="s">
        <v>82</v>
      </c>
      <c r="G159" s="24">
        <v>9.8341999999999992</v>
      </c>
      <c r="H159" s="24" t="s">
        <v>83</v>
      </c>
      <c r="I159" s="24">
        <v>1057.5</v>
      </c>
      <c r="J159" s="24" t="s">
        <v>84</v>
      </c>
      <c r="K159" s="24">
        <v>14.7</v>
      </c>
      <c r="L159" s="24" t="s">
        <v>85</v>
      </c>
      <c r="M159" s="24">
        <v>21.35</v>
      </c>
      <c r="N159" s="24" t="s">
        <v>86</v>
      </c>
      <c r="O159" s="24">
        <v>16.59</v>
      </c>
      <c r="P159" s="24" t="s">
        <v>87</v>
      </c>
      <c r="Q159" s="24">
        <v>23.74</v>
      </c>
      <c r="R159" s="24" t="s">
        <v>88</v>
      </c>
      <c r="S159" s="24">
        <v>75.12</v>
      </c>
      <c r="T159" s="24" t="s">
        <v>89</v>
      </c>
      <c r="U159" s="24">
        <v>61.07</v>
      </c>
      <c r="V159" s="24" t="s">
        <v>90</v>
      </c>
      <c r="W159" s="24">
        <v>2.67</v>
      </c>
      <c r="X159" s="24" t="s">
        <v>91</v>
      </c>
      <c r="Y159" s="24">
        <v>158</v>
      </c>
      <c r="Z159" s="24" t="s">
        <v>92</v>
      </c>
      <c r="AA159" s="24">
        <v>83</v>
      </c>
      <c r="AB159" s="24" t="s">
        <v>93</v>
      </c>
      <c r="AC159" s="24">
        <v>90</v>
      </c>
      <c r="AD159" s="24" t="s">
        <v>95</v>
      </c>
      <c r="AE159" s="24">
        <v>37</v>
      </c>
      <c r="AF159" s="24" t="s">
        <v>100</v>
      </c>
      <c r="AG159" s="24">
        <v>3</v>
      </c>
      <c r="AH159" s="24" t="s">
        <v>97</v>
      </c>
      <c r="AJ159" s="24" t="s">
        <v>98</v>
      </c>
      <c r="AL159" s="24" t="s">
        <v>99</v>
      </c>
      <c r="AN159" s="24" t="s">
        <v>180</v>
      </c>
      <c r="AO159" s="24">
        <v>257</v>
      </c>
    </row>
    <row r="160" spans="1:41" x14ac:dyDescent="0.3">
      <c r="A160" s="24" t="s">
        <v>278</v>
      </c>
      <c r="B160" s="24" t="s">
        <v>258</v>
      </c>
      <c r="C160" s="45">
        <v>45770.666666666664</v>
      </c>
      <c r="D160" s="39"/>
      <c r="E160" s="39"/>
      <c r="F160" s="24" t="s">
        <v>82</v>
      </c>
      <c r="G160" s="24">
        <v>9.8101000000000003</v>
      </c>
      <c r="H160" s="24" t="s">
        <v>83</v>
      </c>
      <c r="I160" s="24">
        <v>1056.4000000000001</v>
      </c>
      <c r="J160" s="24" t="s">
        <v>84</v>
      </c>
      <c r="K160" s="24">
        <v>14.5</v>
      </c>
      <c r="L160" s="24" t="s">
        <v>85</v>
      </c>
      <c r="M160" s="24">
        <v>23.58</v>
      </c>
      <c r="N160" s="24" t="s">
        <v>86</v>
      </c>
      <c r="O160" s="24">
        <v>17.739999999999998</v>
      </c>
      <c r="P160" s="24" t="s">
        <v>87</v>
      </c>
      <c r="Q160" s="24">
        <v>24.1</v>
      </c>
      <c r="R160" s="24" t="s">
        <v>88</v>
      </c>
      <c r="S160" s="24">
        <v>68.25</v>
      </c>
      <c r="T160" s="24" t="s">
        <v>89</v>
      </c>
      <c r="U160" s="24">
        <v>63.04</v>
      </c>
      <c r="V160" s="24" t="s">
        <v>90</v>
      </c>
      <c r="W160" s="24">
        <v>2.77</v>
      </c>
      <c r="X160" s="24" t="s">
        <v>91</v>
      </c>
      <c r="Y160" s="24">
        <v>147</v>
      </c>
      <c r="Z160" s="24" t="s">
        <v>92</v>
      </c>
      <c r="AA160" s="24">
        <v>74</v>
      </c>
      <c r="AB160" s="24" t="s">
        <v>93</v>
      </c>
      <c r="AC160" s="24">
        <v>86</v>
      </c>
      <c r="AD160" s="24" t="s">
        <v>95</v>
      </c>
      <c r="AE160" s="24">
        <v>44</v>
      </c>
      <c r="AF160" s="24" t="s">
        <v>100</v>
      </c>
      <c r="AG160" s="24">
        <v>2.97</v>
      </c>
      <c r="AH160" s="24" t="s">
        <v>97</v>
      </c>
      <c r="AJ160" s="24" t="s">
        <v>98</v>
      </c>
      <c r="AL160" s="24" t="s">
        <v>99</v>
      </c>
      <c r="AN160" s="24" t="s">
        <v>180</v>
      </c>
      <c r="AO160" s="24">
        <v>259</v>
      </c>
    </row>
    <row r="161" spans="1:53" x14ac:dyDescent="0.3">
      <c r="A161" s="24" t="s">
        <v>279</v>
      </c>
      <c r="B161" s="24" t="s">
        <v>258</v>
      </c>
      <c r="C161" s="45">
        <v>45771.395833333336</v>
      </c>
      <c r="D161" s="39">
        <v>3.4</v>
      </c>
      <c r="E161" s="39">
        <v>1.5</v>
      </c>
      <c r="F161" s="24" t="s">
        <v>82</v>
      </c>
      <c r="G161" s="24">
        <v>9.8078000000000003</v>
      </c>
      <c r="H161" s="24" t="s">
        <v>83</v>
      </c>
      <c r="I161" s="24">
        <v>1053.5</v>
      </c>
      <c r="J161" s="24" t="s">
        <v>84</v>
      </c>
      <c r="K161" s="24">
        <v>13.7</v>
      </c>
      <c r="L161" s="24" t="s">
        <v>85</v>
      </c>
      <c r="M161" s="24">
        <v>27.19</v>
      </c>
      <c r="N161" s="24" t="s">
        <v>86</v>
      </c>
      <c r="O161" s="24">
        <v>21.51</v>
      </c>
      <c r="P161" s="24" t="s">
        <v>87</v>
      </c>
      <c r="Q161" s="24">
        <v>27.12</v>
      </c>
      <c r="R161" s="24" t="s">
        <v>88</v>
      </c>
      <c r="S161" s="24">
        <v>69.61</v>
      </c>
      <c r="T161" s="24" t="s">
        <v>89</v>
      </c>
      <c r="U161" s="24">
        <v>65.52</v>
      </c>
      <c r="V161" s="24" t="s">
        <v>90</v>
      </c>
      <c r="W161" s="24">
        <v>2.67</v>
      </c>
      <c r="X161" s="24" t="s">
        <v>91</v>
      </c>
      <c r="Y161" s="24">
        <v>153</v>
      </c>
      <c r="Z161" s="24" t="s">
        <v>92</v>
      </c>
      <c r="AA161" s="24">
        <v>79</v>
      </c>
      <c r="AB161" s="24" t="s">
        <v>93</v>
      </c>
      <c r="AC161" s="24">
        <v>88</v>
      </c>
      <c r="AD161" s="24" t="s">
        <v>95</v>
      </c>
      <c r="AE161" s="24">
        <v>38</v>
      </c>
      <c r="AF161" s="24" t="s">
        <v>100</v>
      </c>
      <c r="AG161" s="24">
        <v>3</v>
      </c>
      <c r="AH161" s="24" t="s">
        <v>97</v>
      </c>
      <c r="AJ161" s="24" t="s">
        <v>98</v>
      </c>
      <c r="AL161" s="24" t="s">
        <v>99</v>
      </c>
      <c r="AN161" s="24" t="s">
        <v>180</v>
      </c>
      <c r="AO161" s="24">
        <v>264</v>
      </c>
    </row>
    <row r="162" spans="1:53" x14ac:dyDescent="0.3">
      <c r="A162" s="24" t="s">
        <v>280</v>
      </c>
      <c r="B162" s="24" t="s">
        <v>258</v>
      </c>
      <c r="C162" s="45">
        <v>45771.625</v>
      </c>
      <c r="D162" s="39"/>
      <c r="E162" s="39"/>
      <c r="F162" s="24" t="s">
        <v>82</v>
      </c>
      <c r="G162" s="24">
        <v>9.8085000000000004</v>
      </c>
      <c r="H162" s="24" t="s">
        <v>83</v>
      </c>
      <c r="I162" s="24">
        <v>1051.9000000000001</v>
      </c>
      <c r="J162" s="24" t="s">
        <v>84</v>
      </c>
      <c r="K162" s="24">
        <v>13.5</v>
      </c>
      <c r="L162" s="24" t="s">
        <v>85</v>
      </c>
      <c r="M162" s="24">
        <v>25.12</v>
      </c>
      <c r="N162" s="24" t="s">
        <v>86</v>
      </c>
      <c r="O162" s="24">
        <v>21.51</v>
      </c>
      <c r="P162" s="24" t="s">
        <v>87</v>
      </c>
      <c r="Q162" s="24">
        <v>29.36</v>
      </c>
      <c r="R162" s="24" t="s">
        <v>88</v>
      </c>
      <c r="S162" s="24">
        <v>69.010000000000005</v>
      </c>
      <c r="T162" s="24" t="s">
        <v>89</v>
      </c>
      <c r="U162" s="24">
        <v>59.39</v>
      </c>
      <c r="V162" s="24" t="s">
        <v>90</v>
      </c>
      <c r="W162" s="24">
        <v>3.11</v>
      </c>
      <c r="X162" s="24" t="s">
        <v>91</v>
      </c>
      <c r="Y162" s="24">
        <v>119</v>
      </c>
      <c r="Z162" s="24" t="s">
        <v>92</v>
      </c>
      <c r="AA162" s="24">
        <v>57</v>
      </c>
      <c r="AB162" s="24" t="s">
        <v>93</v>
      </c>
      <c r="AC162" s="24">
        <v>72</v>
      </c>
      <c r="AD162" s="24" t="s">
        <v>95</v>
      </c>
      <c r="AE162" s="24">
        <v>52</v>
      </c>
      <c r="AF162" s="24" t="s">
        <v>100</v>
      </c>
      <c r="AG162" s="24">
        <v>2.93</v>
      </c>
      <c r="AH162" s="24" t="s">
        <v>97</v>
      </c>
      <c r="AI162" s="24">
        <f>10.2447-G162</f>
        <v>0.43619999999999948</v>
      </c>
      <c r="AJ162" s="24" t="s">
        <v>98</v>
      </c>
      <c r="AK162" s="24">
        <f>9.8893-G162</f>
        <v>8.0799999999999983E-2</v>
      </c>
      <c r="AL162" s="24" t="s">
        <v>99</v>
      </c>
      <c r="AN162" s="24" t="s">
        <v>180</v>
      </c>
      <c r="AO162" s="24">
        <v>268</v>
      </c>
    </row>
    <row r="163" spans="1:53" x14ac:dyDescent="0.3">
      <c r="A163" s="24" t="s">
        <v>281</v>
      </c>
      <c r="B163" s="24" t="s">
        <v>258</v>
      </c>
      <c r="C163" s="45">
        <v>45772.375</v>
      </c>
      <c r="D163" s="39">
        <v>7.3</v>
      </c>
      <c r="E163" s="39">
        <v>3.9</v>
      </c>
      <c r="F163" s="24" t="s">
        <v>82</v>
      </c>
      <c r="G163" s="24">
        <v>9.7734000000000005</v>
      </c>
      <c r="H163" s="24" t="s">
        <v>83</v>
      </c>
      <c r="I163" s="24">
        <v>1047.2</v>
      </c>
      <c r="J163" s="24" t="s">
        <v>84</v>
      </c>
      <c r="K163" s="24">
        <v>12.1</v>
      </c>
      <c r="L163" s="24" t="s">
        <v>85</v>
      </c>
      <c r="M163" s="24">
        <v>22.12</v>
      </c>
      <c r="N163" s="24" t="s">
        <v>86</v>
      </c>
      <c r="O163" s="24">
        <v>21.74</v>
      </c>
      <c r="P163" s="24" t="s">
        <v>87</v>
      </c>
      <c r="Q163" s="24">
        <v>28.47</v>
      </c>
      <c r="R163" s="24" t="s">
        <v>88</v>
      </c>
      <c r="S163" s="24">
        <v>62.04</v>
      </c>
      <c r="T163" s="24" t="s">
        <v>89</v>
      </c>
      <c r="U163" s="24">
        <v>48.75</v>
      </c>
      <c r="V163" s="24" t="s">
        <v>90</v>
      </c>
      <c r="W163" s="24">
        <v>3.49</v>
      </c>
      <c r="X163" s="24" t="s">
        <v>91</v>
      </c>
      <c r="Y163" s="24">
        <v>69</v>
      </c>
      <c r="Z163" s="24" t="s">
        <v>92</v>
      </c>
      <c r="AA163" s="24">
        <v>23</v>
      </c>
      <c r="AB163" s="24" t="s">
        <v>93</v>
      </c>
      <c r="AC163" s="24">
        <v>50</v>
      </c>
      <c r="AD163" s="24" t="s">
        <v>95</v>
      </c>
      <c r="AE163" s="24">
        <v>61</v>
      </c>
      <c r="AF163" s="24" t="s">
        <v>100</v>
      </c>
      <c r="AG163" s="24">
        <v>2.92</v>
      </c>
      <c r="AH163" s="24" t="s">
        <v>97</v>
      </c>
      <c r="AJ163" s="24" t="s">
        <v>98</v>
      </c>
      <c r="AL163" s="24" t="s">
        <v>99</v>
      </c>
      <c r="AN163" s="24" t="s">
        <v>180</v>
      </c>
      <c r="AO163" s="24">
        <v>266</v>
      </c>
    </row>
    <row r="164" spans="1:53" x14ac:dyDescent="0.3">
      <c r="A164" s="24" t="s">
        <v>282</v>
      </c>
      <c r="B164" s="24" t="s">
        <v>258</v>
      </c>
      <c r="C164" s="45">
        <v>45768.666666666664</v>
      </c>
      <c r="D164" s="39"/>
      <c r="E164" s="39"/>
      <c r="F164" s="24" t="s">
        <v>82</v>
      </c>
      <c r="G164" s="24">
        <v>10.173400000000001</v>
      </c>
      <c r="H164" s="24" t="s">
        <v>83</v>
      </c>
      <c r="I164" s="24">
        <v>1059</v>
      </c>
      <c r="J164" s="24" t="s">
        <v>84</v>
      </c>
      <c r="K164" s="24">
        <v>14.9</v>
      </c>
      <c r="L164" s="24" t="s">
        <v>85</v>
      </c>
      <c r="N164" s="24" t="s">
        <v>86</v>
      </c>
      <c r="P164" s="24" t="s">
        <v>87</v>
      </c>
      <c r="R164" s="24" t="s">
        <v>88</v>
      </c>
      <c r="S164" s="24">
        <v>75.83</v>
      </c>
      <c r="T164" s="24" t="s">
        <v>89</v>
      </c>
      <c r="U164" s="24">
        <v>63.75</v>
      </c>
      <c r="V164" s="24" t="s">
        <v>90</v>
      </c>
      <c r="W164" s="24">
        <v>2.4300000000000002</v>
      </c>
      <c r="X164" s="24" t="s">
        <v>91</v>
      </c>
      <c r="Y164" s="24">
        <v>78</v>
      </c>
      <c r="Z164" s="24" t="s">
        <v>92</v>
      </c>
      <c r="AA164" s="24">
        <v>15</v>
      </c>
      <c r="AB164" s="24" t="s">
        <v>93</v>
      </c>
      <c r="AC164" s="24">
        <v>66</v>
      </c>
      <c r="AD164" s="24" t="s">
        <v>94</v>
      </c>
      <c r="AE164" s="24">
        <v>0.23</v>
      </c>
      <c r="AF164" s="24" t="s">
        <v>95</v>
      </c>
      <c r="AG164" s="24">
        <v>26</v>
      </c>
      <c r="AH164" s="24" t="s">
        <v>97</v>
      </c>
      <c r="AI164" s="24">
        <f>10.39-G164</f>
        <v>0.21659999999999968</v>
      </c>
      <c r="AJ164" s="24" t="s">
        <v>98</v>
      </c>
      <c r="AK164" s="24">
        <f>10.216-G164</f>
        <v>4.2599999999998417E-2</v>
      </c>
      <c r="AL164" s="24" t="s">
        <v>99</v>
      </c>
      <c r="AN164" s="24" t="s">
        <v>180</v>
      </c>
      <c r="AO164" s="24">
        <v>165</v>
      </c>
      <c r="AP164" s="24" t="s">
        <v>102</v>
      </c>
      <c r="AQ164" s="24">
        <v>356</v>
      </c>
      <c r="AR164" s="24" t="s">
        <v>100</v>
      </c>
      <c r="AS164" s="24">
        <v>2.77</v>
      </c>
      <c r="AT164" s="24" t="s">
        <v>101</v>
      </c>
      <c r="AU164" s="24">
        <v>1.83</v>
      </c>
      <c r="AV164" s="24" t="s">
        <v>103</v>
      </c>
      <c r="AW164" s="24">
        <v>2.2999999999999998</v>
      </c>
      <c r="AX164" s="24" t="s">
        <v>104</v>
      </c>
      <c r="AY164" s="24">
        <v>3</v>
      </c>
      <c r="AZ164" s="24" t="s">
        <v>105</v>
      </c>
      <c r="BA164" s="24">
        <v>336</v>
      </c>
    </row>
    <row r="165" spans="1:53" x14ac:dyDescent="0.3">
      <c r="A165" s="24" t="s">
        <v>283</v>
      </c>
      <c r="B165" s="24" t="s">
        <v>284</v>
      </c>
      <c r="C165" s="45">
        <v>45768.666666666664</v>
      </c>
      <c r="D165" s="39"/>
      <c r="E165" s="39"/>
      <c r="F165" s="24" t="s">
        <v>82</v>
      </c>
      <c r="G165" s="24">
        <v>10.318899999999999</v>
      </c>
      <c r="H165" s="24" t="s">
        <v>83</v>
      </c>
      <c r="I165" s="24">
        <v>1059</v>
      </c>
      <c r="J165" s="24" t="s">
        <v>84</v>
      </c>
      <c r="K165" s="24">
        <v>14.9</v>
      </c>
      <c r="L165" s="24" t="s">
        <v>85</v>
      </c>
      <c r="N165" s="24" t="s">
        <v>86</v>
      </c>
      <c r="P165" s="24" t="s">
        <v>87</v>
      </c>
      <c r="R165" s="24" t="s">
        <v>88</v>
      </c>
      <c r="S165" s="24">
        <v>74.53</v>
      </c>
      <c r="T165" s="24" t="s">
        <v>89</v>
      </c>
      <c r="U165" s="24">
        <v>69.98</v>
      </c>
      <c r="V165" s="24" t="s">
        <v>90</v>
      </c>
      <c r="W165" s="24">
        <v>2.4900000000000002</v>
      </c>
      <c r="X165" s="24" t="s">
        <v>91</v>
      </c>
      <c r="Y165" s="24">
        <v>76</v>
      </c>
      <c r="Z165" s="24" t="s">
        <v>92</v>
      </c>
      <c r="AA165" s="24">
        <v>13</v>
      </c>
      <c r="AB165" s="24" t="s">
        <v>93</v>
      </c>
      <c r="AC165" s="24">
        <v>66</v>
      </c>
      <c r="AD165" s="24" t="s">
        <v>94</v>
      </c>
      <c r="AE165" s="24">
        <v>0.23</v>
      </c>
      <c r="AF165" s="24" t="s">
        <v>95</v>
      </c>
      <c r="AG165" s="24">
        <v>23</v>
      </c>
      <c r="AH165" s="24" t="s">
        <v>97</v>
      </c>
      <c r="AJ165" s="24" t="s">
        <v>98</v>
      </c>
      <c r="AL165" s="24" t="s">
        <v>99</v>
      </c>
      <c r="AN165" s="24" t="s">
        <v>180</v>
      </c>
      <c r="AO165" s="24">
        <v>158</v>
      </c>
      <c r="AP165" s="24" t="s">
        <v>102</v>
      </c>
      <c r="AQ165" s="24">
        <v>356</v>
      </c>
      <c r="AR165" s="24" t="s">
        <v>100</v>
      </c>
      <c r="AS165" s="24">
        <v>2.74</v>
      </c>
      <c r="AT165" s="24" t="s">
        <v>101</v>
      </c>
      <c r="AU165" s="24">
        <v>1.86</v>
      </c>
      <c r="AV165" s="24" t="s">
        <v>103</v>
      </c>
      <c r="AW165" s="24">
        <v>2.2999999999999998</v>
      </c>
      <c r="AX165" s="24" t="s">
        <v>104</v>
      </c>
      <c r="AY165" s="24">
        <v>3</v>
      </c>
      <c r="AZ165" s="24" t="s">
        <v>105</v>
      </c>
      <c r="BA165" s="24">
        <v>327</v>
      </c>
    </row>
    <row r="166" spans="1:53" x14ac:dyDescent="0.3">
      <c r="A166" s="24" t="s">
        <v>285</v>
      </c>
      <c r="B166" s="24" t="s">
        <v>284</v>
      </c>
      <c r="C166" s="45">
        <v>45768.833333333336</v>
      </c>
      <c r="D166" s="39"/>
      <c r="E166" s="39"/>
      <c r="F166" s="24" t="s">
        <v>82</v>
      </c>
      <c r="G166" s="24">
        <v>10.4176</v>
      </c>
      <c r="H166" s="24" t="s">
        <v>83</v>
      </c>
      <c r="I166" s="24">
        <v>1059.3</v>
      </c>
      <c r="J166" s="24" t="s">
        <v>84</v>
      </c>
      <c r="K166" s="24">
        <v>15.1</v>
      </c>
      <c r="L166" s="24" t="s">
        <v>85</v>
      </c>
      <c r="M166" s="24">
        <v>16.05</v>
      </c>
      <c r="N166" s="24" t="s">
        <v>86</v>
      </c>
      <c r="O166" s="24">
        <v>11.06</v>
      </c>
      <c r="P166" s="24" t="s">
        <v>87</v>
      </c>
      <c r="Q166" s="24">
        <v>14.35</v>
      </c>
      <c r="R166" s="24" t="s">
        <v>88</v>
      </c>
      <c r="S166" s="24">
        <v>77.099999999999994</v>
      </c>
      <c r="T166" s="24" t="s">
        <v>89</v>
      </c>
      <c r="U166" s="24">
        <v>63.97</v>
      </c>
      <c r="V166" s="24" t="s">
        <v>90</v>
      </c>
      <c r="W166" s="24">
        <v>2.27</v>
      </c>
      <c r="X166" s="24" t="s">
        <v>91</v>
      </c>
      <c r="Y166" s="24">
        <v>97</v>
      </c>
      <c r="Z166" s="24" t="s">
        <v>92</v>
      </c>
      <c r="AA166" s="24">
        <v>30</v>
      </c>
      <c r="AB166" s="24" t="s">
        <v>93</v>
      </c>
      <c r="AC166" s="24">
        <v>72</v>
      </c>
      <c r="AD166" s="24" t="s">
        <v>95</v>
      </c>
      <c r="AE166" s="24">
        <v>23</v>
      </c>
      <c r="AF166" s="24" t="s">
        <v>100</v>
      </c>
      <c r="AG166" s="24">
        <v>3.01</v>
      </c>
      <c r="AH166" s="24" t="s">
        <v>97</v>
      </c>
      <c r="AJ166" s="24" t="s">
        <v>98</v>
      </c>
      <c r="AL166" s="24" t="s">
        <v>99</v>
      </c>
      <c r="AN166" s="24" t="s">
        <v>180</v>
      </c>
      <c r="AO166" s="24">
        <v>172</v>
      </c>
    </row>
    <row r="167" spans="1:53" x14ac:dyDescent="0.3">
      <c r="A167" s="24" t="s">
        <v>286</v>
      </c>
      <c r="B167" s="24" t="s">
        <v>284</v>
      </c>
      <c r="C167" s="45">
        <v>45773.40625</v>
      </c>
      <c r="D167" s="39"/>
      <c r="E167" s="39"/>
      <c r="F167" s="24" t="s">
        <v>82</v>
      </c>
      <c r="G167" s="24">
        <v>9.7864000000000004</v>
      </c>
      <c r="H167" s="24" t="s">
        <v>83</v>
      </c>
      <c r="I167" s="24">
        <v>1055.0999999999999</v>
      </c>
      <c r="J167" s="24" t="s">
        <v>84</v>
      </c>
      <c r="K167" s="24">
        <v>13.9</v>
      </c>
      <c r="L167" s="24" t="s">
        <v>85</v>
      </c>
      <c r="M167" s="24">
        <v>23.81</v>
      </c>
      <c r="N167" s="24" t="s">
        <v>86</v>
      </c>
      <c r="O167" s="24">
        <v>17.510000000000002</v>
      </c>
      <c r="P167" s="24" t="s">
        <v>87</v>
      </c>
      <c r="Q167" s="24">
        <v>21.94</v>
      </c>
      <c r="R167" s="24" t="s">
        <v>88</v>
      </c>
      <c r="S167" s="24">
        <v>68.39</v>
      </c>
      <c r="T167" s="24" t="s">
        <v>89</v>
      </c>
      <c r="U167" s="24">
        <v>60.35</v>
      </c>
      <c r="V167" s="24" t="s">
        <v>90</v>
      </c>
      <c r="W167" s="24">
        <v>3.2</v>
      </c>
      <c r="X167" s="24" t="s">
        <v>91</v>
      </c>
      <c r="Y167" s="24">
        <v>133</v>
      </c>
      <c r="Z167" s="24" t="s">
        <v>92</v>
      </c>
      <c r="AA167" s="24">
        <v>69</v>
      </c>
      <c r="AB167" s="24" t="s">
        <v>93</v>
      </c>
      <c r="AC167" s="24">
        <v>77</v>
      </c>
      <c r="AD167" s="24" t="s">
        <v>95</v>
      </c>
      <c r="AE167" s="24">
        <v>43</v>
      </c>
      <c r="AF167" s="24" t="s">
        <v>100</v>
      </c>
      <c r="AG167" s="24">
        <v>2.95</v>
      </c>
      <c r="AH167" s="24" t="s">
        <v>97</v>
      </c>
      <c r="AJ167" s="24" t="s">
        <v>98</v>
      </c>
      <c r="AL167" s="24" t="s">
        <v>99</v>
      </c>
      <c r="AN167" s="24" t="s">
        <v>180</v>
      </c>
      <c r="AO167" s="24">
        <v>279</v>
      </c>
    </row>
    <row r="168" spans="1:53" x14ac:dyDescent="0.3">
      <c r="A168" s="24" t="s">
        <v>287</v>
      </c>
      <c r="B168" s="24" t="s">
        <v>284</v>
      </c>
      <c r="C168" s="45">
        <v>45773.6875</v>
      </c>
      <c r="D168" s="39"/>
      <c r="E168" s="39"/>
      <c r="F168" s="24" t="s">
        <v>82</v>
      </c>
      <c r="G168" s="24">
        <v>9.8062000000000005</v>
      </c>
      <c r="H168" s="24" t="s">
        <v>83</v>
      </c>
      <c r="I168" s="24">
        <v>1049.9000000000001</v>
      </c>
      <c r="J168" s="24" t="s">
        <v>84</v>
      </c>
      <c r="K168" s="24">
        <v>12.9</v>
      </c>
      <c r="L168" s="24" t="s">
        <v>85</v>
      </c>
      <c r="M168" s="24">
        <v>30.95</v>
      </c>
      <c r="N168" s="24" t="s">
        <v>86</v>
      </c>
      <c r="O168" s="24">
        <v>27.57</v>
      </c>
      <c r="P168" s="24" t="s">
        <v>87</v>
      </c>
      <c r="Q168" s="24">
        <v>21.09</v>
      </c>
      <c r="R168" s="24" t="s">
        <v>88</v>
      </c>
      <c r="S168" s="24">
        <v>70</v>
      </c>
      <c r="T168" s="24" t="s">
        <v>89</v>
      </c>
      <c r="U168" s="24">
        <v>51.75</v>
      </c>
      <c r="V168" s="24" t="s">
        <v>90</v>
      </c>
      <c r="W168" s="24">
        <v>3.3</v>
      </c>
      <c r="X168" s="24" t="s">
        <v>91</v>
      </c>
      <c r="Y168" s="24">
        <v>112</v>
      </c>
      <c r="Z168" s="24" t="s">
        <v>92</v>
      </c>
      <c r="AA168" s="24">
        <v>54</v>
      </c>
      <c r="AB168" s="24" t="s">
        <v>93</v>
      </c>
      <c r="AC168" s="24">
        <v>68</v>
      </c>
      <c r="AD168" s="24" t="s">
        <v>95</v>
      </c>
      <c r="AE168" s="24">
        <v>50</v>
      </c>
      <c r="AF168" s="24" t="s">
        <v>100</v>
      </c>
      <c r="AG168" s="24">
        <v>2.86</v>
      </c>
      <c r="AH168" s="24" t="s">
        <v>97</v>
      </c>
      <c r="AJ168" s="24" t="s">
        <v>98</v>
      </c>
      <c r="AL168" s="24" t="s">
        <v>99</v>
      </c>
      <c r="AN168" s="24" t="s">
        <v>180</v>
      </c>
      <c r="AO168" s="24">
        <v>285</v>
      </c>
    </row>
    <row r="169" spans="1:53" x14ac:dyDescent="0.3">
      <c r="A169" s="24" t="s">
        <v>288</v>
      </c>
      <c r="B169" s="24" t="s">
        <v>284</v>
      </c>
      <c r="C169" s="45">
        <v>45774.5625</v>
      </c>
      <c r="D169" s="39"/>
      <c r="E169" s="39"/>
      <c r="F169" s="24" t="s">
        <v>82</v>
      </c>
      <c r="G169" s="24">
        <v>9.8000000000000007</v>
      </c>
      <c r="H169" s="24" t="s">
        <v>83</v>
      </c>
      <c r="I169" s="24">
        <v>1037.5999999999999</v>
      </c>
      <c r="J169" s="24" t="s">
        <v>84</v>
      </c>
      <c r="K169" s="24">
        <v>9.8000000000000007</v>
      </c>
      <c r="L169" s="24" t="s">
        <v>85</v>
      </c>
      <c r="M169" s="24">
        <v>75.81</v>
      </c>
      <c r="N169" s="24" t="s">
        <v>86</v>
      </c>
      <c r="O169" s="24">
        <v>62.9</v>
      </c>
      <c r="P169" s="24" t="s">
        <v>87</v>
      </c>
      <c r="Q169" s="24">
        <v>18.95</v>
      </c>
      <c r="R169" s="24" t="s">
        <v>88</v>
      </c>
      <c r="S169" s="24">
        <v>56.24</v>
      </c>
      <c r="T169" s="24" t="s">
        <v>89</v>
      </c>
      <c r="U169" s="24">
        <v>37.51</v>
      </c>
      <c r="V169" s="24" t="s">
        <v>90</v>
      </c>
      <c r="W169" s="24">
        <v>4.76</v>
      </c>
      <c r="X169" s="24" t="s">
        <v>91</v>
      </c>
      <c r="Y169" s="24">
        <v>30</v>
      </c>
      <c r="Z169" s="24" t="s">
        <v>92</v>
      </c>
      <c r="AA169" s="24">
        <v>1</v>
      </c>
      <c r="AB169" s="24" t="s">
        <v>93</v>
      </c>
      <c r="AC169" s="24">
        <v>29</v>
      </c>
      <c r="AD169" s="24" t="s">
        <v>95</v>
      </c>
      <c r="AE169" s="24">
        <v>66</v>
      </c>
      <c r="AF169" s="24" t="s">
        <v>100</v>
      </c>
      <c r="AG169" s="24">
        <v>2.78</v>
      </c>
      <c r="AH169" s="24" t="s">
        <v>97</v>
      </c>
      <c r="AJ169" s="24" t="s">
        <v>98</v>
      </c>
      <c r="AL169" s="24" t="s">
        <v>99</v>
      </c>
      <c r="AN169" s="24" t="s">
        <v>180</v>
      </c>
      <c r="AO169" s="24">
        <v>255</v>
      </c>
    </row>
    <row r="170" spans="1:53" x14ac:dyDescent="0.3">
      <c r="A170" s="24" t="s">
        <v>289</v>
      </c>
      <c r="B170" s="24" t="s">
        <v>284</v>
      </c>
      <c r="C170" s="45">
        <v>45775.375</v>
      </c>
      <c r="D170" s="39"/>
      <c r="E170" s="39"/>
      <c r="F170" s="24" t="s">
        <v>82</v>
      </c>
      <c r="G170" s="24">
        <v>9.7757000000000005</v>
      </c>
      <c r="H170" s="24" t="s">
        <v>83</v>
      </c>
      <c r="I170" s="24">
        <v>1024.5</v>
      </c>
      <c r="J170" s="24" t="s">
        <v>84</v>
      </c>
      <c r="K170" s="24">
        <v>6.6</v>
      </c>
      <c r="L170" s="24" t="s">
        <v>85</v>
      </c>
      <c r="M170" s="24">
        <v>48.46</v>
      </c>
      <c r="N170" s="24" t="s">
        <v>86</v>
      </c>
      <c r="O170" s="24">
        <v>47.54</v>
      </c>
      <c r="P170" s="24" t="s">
        <v>87</v>
      </c>
      <c r="Q170" s="24">
        <v>21.55</v>
      </c>
      <c r="R170" s="24" t="s">
        <v>88</v>
      </c>
      <c r="S170" s="24">
        <v>44.6</v>
      </c>
      <c r="T170" s="24" t="s">
        <v>89</v>
      </c>
      <c r="U170" s="24">
        <v>23.67</v>
      </c>
      <c r="V170" s="24" t="s">
        <v>90</v>
      </c>
      <c r="W170" s="24">
        <v>5.46</v>
      </c>
      <c r="X170" s="24" t="s">
        <v>91</v>
      </c>
      <c r="Y170" s="24">
        <v>17</v>
      </c>
      <c r="Z170" s="24" t="s">
        <v>92</v>
      </c>
      <c r="AA170" s="24">
        <v>1</v>
      </c>
      <c r="AB170" s="24" t="s">
        <v>93</v>
      </c>
      <c r="AC170" s="24">
        <v>16</v>
      </c>
      <c r="AD170" s="24" t="s">
        <v>95</v>
      </c>
      <c r="AE170" s="24">
        <v>53</v>
      </c>
      <c r="AF170" s="24" t="s">
        <v>100</v>
      </c>
      <c r="AG170" s="24">
        <v>2.74</v>
      </c>
      <c r="AH170" s="24" t="s">
        <v>97</v>
      </c>
      <c r="AJ170" s="24" t="s">
        <v>98</v>
      </c>
      <c r="AL170" s="24" t="s">
        <v>99</v>
      </c>
      <c r="AN170" s="24" t="s">
        <v>180</v>
      </c>
      <c r="AO170" s="24">
        <v>225</v>
      </c>
    </row>
    <row r="171" spans="1:53" x14ac:dyDescent="0.3">
      <c r="A171" s="24" t="s">
        <v>290</v>
      </c>
      <c r="B171" s="24" t="s">
        <v>284</v>
      </c>
      <c r="C171" s="45">
        <v>45775.625</v>
      </c>
      <c r="D171" s="39"/>
      <c r="E171" s="39"/>
      <c r="F171" s="24" t="s">
        <v>82</v>
      </c>
      <c r="G171" s="24">
        <v>9.7858999999999998</v>
      </c>
      <c r="H171" s="24" t="s">
        <v>83</v>
      </c>
      <c r="I171" s="24">
        <v>1021.2</v>
      </c>
      <c r="J171" s="24" t="s">
        <v>84</v>
      </c>
      <c r="K171" s="24">
        <v>5.9</v>
      </c>
      <c r="L171" s="24" t="s">
        <v>85</v>
      </c>
      <c r="M171" s="24">
        <v>55.91</v>
      </c>
      <c r="N171" s="24" t="s">
        <v>86</v>
      </c>
      <c r="O171" s="24">
        <v>55.3</v>
      </c>
      <c r="P171" s="24" t="s">
        <v>87</v>
      </c>
      <c r="Q171" s="24">
        <v>20.329999999999998</v>
      </c>
      <c r="R171" s="24" t="s">
        <v>88</v>
      </c>
      <c r="S171" s="24">
        <v>47.98</v>
      </c>
      <c r="T171" s="24" t="s">
        <v>89</v>
      </c>
      <c r="U171" s="24">
        <v>16.32</v>
      </c>
      <c r="V171" s="24" t="s">
        <v>90</v>
      </c>
      <c r="W171" s="24">
        <v>5.77</v>
      </c>
      <c r="X171" s="24" t="s">
        <v>91</v>
      </c>
      <c r="Y171" s="24">
        <v>15</v>
      </c>
      <c r="Z171" s="24" t="s">
        <v>92</v>
      </c>
      <c r="AA171" s="24">
        <v>2</v>
      </c>
      <c r="AB171" s="24" t="s">
        <v>93</v>
      </c>
      <c r="AC171" s="24">
        <v>13</v>
      </c>
      <c r="AD171" s="24" t="s">
        <v>95</v>
      </c>
      <c r="AE171" s="24">
        <v>75</v>
      </c>
      <c r="AF171" s="24" t="s">
        <v>100</v>
      </c>
      <c r="AG171" s="24">
        <v>2.66</v>
      </c>
      <c r="AH171" s="24" t="s">
        <v>97</v>
      </c>
      <c r="AJ171" s="24" t="s">
        <v>98</v>
      </c>
      <c r="AL171" s="24" t="s">
        <v>99</v>
      </c>
      <c r="AN171" s="24" t="s">
        <v>180</v>
      </c>
      <c r="AO171" s="24">
        <v>237</v>
      </c>
    </row>
    <row r="172" spans="1:53" x14ac:dyDescent="0.3">
      <c r="A172" s="24" t="s">
        <v>291</v>
      </c>
      <c r="B172" s="24" t="s">
        <v>284</v>
      </c>
      <c r="C172" s="45">
        <v>45776.4375</v>
      </c>
      <c r="D172" s="39"/>
      <c r="E172" s="39"/>
      <c r="F172" s="24" t="s">
        <v>82</v>
      </c>
      <c r="G172" s="24">
        <v>9.7866999999999997</v>
      </c>
      <c r="H172" s="24" t="s">
        <v>83</v>
      </c>
      <c r="I172" s="24">
        <v>1015.5</v>
      </c>
      <c r="J172" s="24" t="s">
        <v>84</v>
      </c>
      <c r="K172" s="24">
        <v>4.4000000000000004</v>
      </c>
      <c r="L172" s="24" t="s">
        <v>85</v>
      </c>
      <c r="M172" s="24">
        <v>41.09</v>
      </c>
      <c r="N172" s="24" t="s">
        <v>86</v>
      </c>
      <c r="O172" s="24">
        <v>40.479999999999997</v>
      </c>
      <c r="P172" s="24" t="s">
        <v>87</v>
      </c>
      <c r="Q172" s="24">
        <v>20</v>
      </c>
      <c r="R172" s="24" t="s">
        <v>88</v>
      </c>
      <c r="S172" s="24">
        <v>39.94</v>
      </c>
      <c r="T172" s="24" t="s">
        <v>89</v>
      </c>
      <c r="U172" s="24">
        <v>9.82</v>
      </c>
      <c r="V172" s="24" t="s">
        <v>90</v>
      </c>
      <c r="W172" s="24">
        <v>6.06</v>
      </c>
      <c r="X172" s="24" t="s">
        <v>91</v>
      </c>
      <c r="Y172" s="24">
        <v>16</v>
      </c>
      <c r="Z172" s="24" t="s">
        <v>92</v>
      </c>
      <c r="AA172" s="24">
        <v>5</v>
      </c>
      <c r="AB172" s="24" t="s">
        <v>93</v>
      </c>
      <c r="AC172" s="24">
        <v>12</v>
      </c>
      <c r="AD172" s="24" t="s">
        <v>95</v>
      </c>
      <c r="AE172" s="24">
        <v>48</v>
      </c>
      <c r="AF172" s="24" t="s">
        <v>100</v>
      </c>
      <c r="AG172" s="24">
        <v>2.79</v>
      </c>
      <c r="AH172" s="24" t="s">
        <v>97</v>
      </c>
      <c r="AJ172" s="24" t="s">
        <v>98</v>
      </c>
      <c r="AL172" s="24" t="s">
        <v>99</v>
      </c>
      <c r="AN172" s="24" t="s">
        <v>180</v>
      </c>
      <c r="AO172" s="24">
        <v>225</v>
      </c>
    </row>
    <row r="173" spans="1:53" x14ac:dyDescent="0.3">
      <c r="A173" s="24" t="s">
        <v>292</v>
      </c>
      <c r="B173" s="24" t="s">
        <v>284</v>
      </c>
      <c r="C173" s="45">
        <v>45776.625</v>
      </c>
      <c r="D173" s="39"/>
      <c r="E173" s="39"/>
      <c r="F173" s="24" t="s">
        <v>82</v>
      </c>
      <c r="G173" s="24">
        <v>9.7827999999999999</v>
      </c>
      <c r="H173" s="24" t="s">
        <v>83</v>
      </c>
      <c r="I173" s="24">
        <v>1013.7</v>
      </c>
      <c r="J173" s="24" t="s">
        <v>84</v>
      </c>
      <c r="K173" s="24">
        <v>4</v>
      </c>
      <c r="L173" s="24" t="s">
        <v>85</v>
      </c>
      <c r="M173" s="24">
        <v>47.54</v>
      </c>
      <c r="N173" s="24" t="s">
        <v>86</v>
      </c>
      <c r="O173" s="24">
        <v>46.47</v>
      </c>
      <c r="P173" s="24" t="s">
        <v>87</v>
      </c>
      <c r="Q173" s="24">
        <v>14.38</v>
      </c>
      <c r="R173" s="24" t="s">
        <v>88</v>
      </c>
      <c r="S173" s="24">
        <v>37.5</v>
      </c>
      <c r="T173" s="24" t="s">
        <v>89</v>
      </c>
      <c r="U173" s="24">
        <v>9.19</v>
      </c>
      <c r="V173" s="24" t="s">
        <v>90</v>
      </c>
      <c r="W173" s="24">
        <v>6</v>
      </c>
      <c r="X173" s="24" t="s">
        <v>91</v>
      </c>
      <c r="Y173" s="24">
        <v>20</v>
      </c>
      <c r="Z173" s="24" t="s">
        <v>92</v>
      </c>
      <c r="AA173" s="24">
        <v>9</v>
      </c>
      <c r="AB173" s="24" t="s">
        <v>93</v>
      </c>
      <c r="AC173" s="24">
        <v>12</v>
      </c>
      <c r="AD173" s="24" t="s">
        <v>95</v>
      </c>
      <c r="AE173" s="24">
        <v>39</v>
      </c>
      <c r="AF173" s="24" t="s">
        <v>100</v>
      </c>
      <c r="AG173" s="24">
        <v>2.76</v>
      </c>
      <c r="AH173" s="24" t="s">
        <v>97</v>
      </c>
      <c r="AJ173" s="24" t="s">
        <v>98</v>
      </c>
      <c r="AL173" s="24" t="s">
        <v>99</v>
      </c>
      <c r="AN173" s="24" t="s">
        <v>180</v>
      </c>
      <c r="AO173" s="24">
        <v>229</v>
      </c>
    </row>
    <row r="174" spans="1:53" x14ac:dyDescent="0.3">
      <c r="A174" s="24" t="s">
        <v>293</v>
      </c>
      <c r="B174" s="24" t="s">
        <v>284</v>
      </c>
      <c r="C174" s="45">
        <v>45777.375</v>
      </c>
      <c r="D174" s="39"/>
      <c r="E174" s="39"/>
      <c r="F174" s="24" t="s">
        <v>82</v>
      </c>
      <c r="G174" s="24">
        <v>9.7725000000000009</v>
      </c>
      <c r="H174" s="24" t="s">
        <v>83</v>
      </c>
      <c r="I174" s="24">
        <v>1010.4</v>
      </c>
      <c r="J174" s="24" t="s">
        <v>84</v>
      </c>
      <c r="K174" s="24">
        <v>3.1</v>
      </c>
      <c r="L174" s="24" t="s">
        <v>85</v>
      </c>
      <c r="M174" s="24">
        <v>55.53</v>
      </c>
      <c r="N174" s="24" t="s">
        <v>86</v>
      </c>
      <c r="O174" s="24">
        <v>53.69</v>
      </c>
      <c r="P174" s="24" t="s">
        <v>87</v>
      </c>
      <c r="Q174" s="24">
        <v>16.18</v>
      </c>
      <c r="R174" s="24" t="s">
        <v>88</v>
      </c>
      <c r="S174" s="24">
        <v>33.299999999999997</v>
      </c>
      <c r="T174" s="24" t="s">
        <v>89</v>
      </c>
      <c r="U174" s="24">
        <v>6.21</v>
      </c>
      <c r="V174" s="24" t="s">
        <v>90</v>
      </c>
      <c r="W174" s="24">
        <v>6.16</v>
      </c>
      <c r="X174" s="24" t="s">
        <v>91</v>
      </c>
      <c r="Y174" s="24">
        <v>14</v>
      </c>
      <c r="Z174" s="24" t="s">
        <v>92</v>
      </c>
      <c r="AA174" s="24">
        <v>0</v>
      </c>
      <c r="AB174" s="24" t="s">
        <v>93</v>
      </c>
      <c r="AC174" s="24">
        <v>13</v>
      </c>
      <c r="AD174" s="24" t="s">
        <v>95</v>
      </c>
      <c r="AE174" s="24">
        <v>35</v>
      </c>
      <c r="AF174" s="24" t="s">
        <v>100</v>
      </c>
      <c r="AG174" s="24">
        <v>2.75</v>
      </c>
      <c r="AH174" s="24" t="s">
        <v>97</v>
      </c>
      <c r="AJ174" s="24" t="s">
        <v>98</v>
      </c>
      <c r="AL174" s="24" t="s">
        <v>99</v>
      </c>
      <c r="AN174" s="24" t="s">
        <v>180</v>
      </c>
      <c r="AO174" s="24">
        <v>230</v>
      </c>
    </row>
    <row r="175" spans="1:53" x14ac:dyDescent="0.3">
      <c r="A175" s="24" t="s">
        <v>294</v>
      </c>
      <c r="B175" s="24" t="s">
        <v>284</v>
      </c>
      <c r="C175" s="45">
        <v>45777.625</v>
      </c>
      <c r="D175" s="39"/>
      <c r="E175" s="39"/>
      <c r="F175" s="24" t="s">
        <v>82</v>
      </c>
      <c r="G175" s="24">
        <v>9.7725000000000009</v>
      </c>
      <c r="H175" s="24" t="s">
        <v>83</v>
      </c>
      <c r="I175" s="24">
        <v>1009.4</v>
      </c>
      <c r="J175" s="24" t="s">
        <v>84</v>
      </c>
      <c r="K175" s="24">
        <v>2.9</v>
      </c>
      <c r="L175" s="24" t="s">
        <v>85</v>
      </c>
      <c r="M175" s="24">
        <v>50.31</v>
      </c>
      <c r="N175" s="24" t="s">
        <v>86</v>
      </c>
      <c r="O175" s="24">
        <v>48.62</v>
      </c>
      <c r="P175" s="24" t="s">
        <v>87</v>
      </c>
      <c r="Q175" s="24">
        <v>18.47</v>
      </c>
      <c r="R175" s="24" t="s">
        <v>88</v>
      </c>
      <c r="T175" s="24" t="s">
        <v>89</v>
      </c>
      <c r="V175" s="24" t="s">
        <v>90</v>
      </c>
      <c r="X175" s="24" t="s">
        <v>91</v>
      </c>
      <c r="Z175" s="24" t="s">
        <v>92</v>
      </c>
      <c r="AB175" s="24" t="s">
        <v>93</v>
      </c>
      <c r="AD175" s="24" t="s">
        <v>95</v>
      </c>
      <c r="AF175" s="24" t="s">
        <v>100</v>
      </c>
      <c r="AH175" s="24" t="s">
        <v>97</v>
      </c>
      <c r="AJ175" s="24" t="s">
        <v>98</v>
      </c>
      <c r="AL175" s="24" t="s">
        <v>99</v>
      </c>
      <c r="AN175" s="24" t="s">
        <v>180</v>
      </c>
      <c r="AO175" s="24">
        <v>236</v>
      </c>
    </row>
    <row r="176" spans="1:53" x14ac:dyDescent="0.3">
      <c r="A176" s="24" t="s">
        <v>295</v>
      </c>
      <c r="B176" s="24" t="s">
        <v>284</v>
      </c>
      <c r="C176" s="45">
        <v>45778.729166666664</v>
      </c>
      <c r="D176" s="39"/>
      <c r="E176" s="39"/>
      <c r="F176" s="24" t="s">
        <v>82</v>
      </c>
      <c r="G176" s="24">
        <v>9.7931000000000008</v>
      </c>
      <c r="H176" s="24" t="s">
        <v>83</v>
      </c>
      <c r="I176" s="24">
        <v>1006.2</v>
      </c>
      <c r="J176" s="24" t="s">
        <v>84</v>
      </c>
      <c r="K176" s="24">
        <v>2</v>
      </c>
      <c r="L176" s="24" t="s">
        <v>85</v>
      </c>
      <c r="M176" s="24">
        <v>80.489999999999995</v>
      </c>
      <c r="N176" s="24" t="s">
        <v>86</v>
      </c>
      <c r="O176" s="24">
        <v>71.66</v>
      </c>
      <c r="P176" s="24" t="s">
        <v>87</v>
      </c>
      <c r="Q176" s="24">
        <v>9.35</v>
      </c>
      <c r="R176" s="24" t="s">
        <v>88</v>
      </c>
      <c r="T176" s="24" t="s">
        <v>89</v>
      </c>
      <c r="V176" s="24" t="s">
        <v>90</v>
      </c>
      <c r="X176" s="24" t="s">
        <v>91</v>
      </c>
      <c r="Z176" s="24" t="s">
        <v>92</v>
      </c>
      <c r="AB176" s="24" t="s">
        <v>93</v>
      </c>
      <c r="AD176" s="24" t="s">
        <v>95</v>
      </c>
      <c r="AF176" s="24" t="s">
        <v>100</v>
      </c>
      <c r="AH176" s="24" t="s">
        <v>97</v>
      </c>
      <c r="AJ176" s="24" t="s">
        <v>98</v>
      </c>
      <c r="AL176" s="24" t="s">
        <v>99</v>
      </c>
      <c r="AN176" s="24" t="s">
        <v>180</v>
      </c>
      <c r="AO176" s="24">
        <v>216</v>
      </c>
    </row>
    <row r="177" spans="1:53" x14ac:dyDescent="0.3">
      <c r="A177" s="24" t="s">
        <v>296</v>
      </c>
      <c r="B177" s="24" t="s">
        <v>284</v>
      </c>
      <c r="C177" s="45">
        <v>45769.375</v>
      </c>
      <c r="D177" s="39"/>
      <c r="E177" s="39"/>
      <c r="F177" s="24" t="s">
        <v>82</v>
      </c>
      <c r="G177" s="24">
        <v>10.3088</v>
      </c>
      <c r="H177" s="24" t="s">
        <v>83</v>
      </c>
      <c r="I177" s="24">
        <v>1059.4000000000001</v>
      </c>
      <c r="J177" s="24" t="s">
        <v>84</v>
      </c>
      <c r="K177" s="24">
        <v>15</v>
      </c>
      <c r="L177" s="24" t="s">
        <v>85</v>
      </c>
      <c r="M177" s="24">
        <v>12.98</v>
      </c>
      <c r="N177" s="24" t="s">
        <v>86</v>
      </c>
      <c r="O177" s="24">
        <v>7.14</v>
      </c>
      <c r="P177" s="24" t="s">
        <v>87</v>
      </c>
      <c r="Q177" s="24">
        <v>14.2</v>
      </c>
      <c r="R177" s="24" t="s">
        <v>88</v>
      </c>
      <c r="S177" s="24">
        <v>75.45</v>
      </c>
      <c r="T177" s="24" t="s">
        <v>89</v>
      </c>
      <c r="U177" s="24">
        <v>63.03</v>
      </c>
      <c r="V177" s="24" t="s">
        <v>90</v>
      </c>
      <c r="W177" s="24">
        <v>2.33</v>
      </c>
      <c r="X177" s="24" t="s">
        <v>91</v>
      </c>
      <c r="Y177" s="24">
        <v>101</v>
      </c>
      <c r="Z177" s="24" t="s">
        <v>92</v>
      </c>
      <c r="AA177" s="24">
        <v>33</v>
      </c>
      <c r="AB177" s="24" t="s">
        <v>93</v>
      </c>
      <c r="AC177" s="24">
        <v>74</v>
      </c>
      <c r="AD177" s="24" t="s">
        <v>95</v>
      </c>
      <c r="AE177" s="24">
        <v>21</v>
      </c>
      <c r="AF177" s="24" t="s">
        <v>100</v>
      </c>
      <c r="AG177" s="24">
        <v>3.05</v>
      </c>
      <c r="AH177" s="24" t="s">
        <v>97</v>
      </c>
      <c r="AJ177" s="24" t="s">
        <v>98</v>
      </c>
      <c r="AL177" s="24" t="s">
        <v>99</v>
      </c>
      <c r="AN177" s="24" t="s">
        <v>180</v>
      </c>
      <c r="AO177" s="24">
        <v>168</v>
      </c>
    </row>
    <row r="178" spans="1:53" x14ac:dyDescent="0.3">
      <c r="A178" s="24" t="s">
        <v>297</v>
      </c>
      <c r="B178" s="24" t="s">
        <v>284</v>
      </c>
      <c r="C178" s="45">
        <v>45779.4375</v>
      </c>
      <c r="D178" s="39"/>
      <c r="E178" s="39"/>
      <c r="F178" s="24" t="s">
        <v>82</v>
      </c>
      <c r="G178" s="24">
        <v>9.8138000000000005</v>
      </c>
      <c r="H178" s="24" t="s">
        <v>83</v>
      </c>
      <c r="I178" s="24">
        <v>1004.6</v>
      </c>
      <c r="J178" s="24" t="s">
        <v>84</v>
      </c>
      <c r="K178" s="24">
        <v>1.5</v>
      </c>
      <c r="L178" s="24" t="s">
        <v>85</v>
      </c>
      <c r="M178" s="24">
        <v>70.12</v>
      </c>
      <c r="N178" s="24" t="s">
        <v>86</v>
      </c>
      <c r="O178" s="24">
        <v>60.52</v>
      </c>
      <c r="P178" s="24" t="s">
        <v>87</v>
      </c>
      <c r="Q178" s="24">
        <v>9.1999999999999993</v>
      </c>
      <c r="R178" s="24" t="s">
        <v>88</v>
      </c>
      <c r="T178" s="24" t="s">
        <v>89</v>
      </c>
      <c r="V178" s="24" t="s">
        <v>90</v>
      </c>
      <c r="X178" s="24" t="s">
        <v>91</v>
      </c>
      <c r="Z178" s="24" t="s">
        <v>92</v>
      </c>
      <c r="AB178" s="24" t="s">
        <v>93</v>
      </c>
      <c r="AD178" s="24" t="s">
        <v>95</v>
      </c>
      <c r="AF178" s="24" t="s">
        <v>100</v>
      </c>
      <c r="AH178" s="24" t="s">
        <v>97</v>
      </c>
      <c r="AJ178" s="24" t="s">
        <v>98</v>
      </c>
      <c r="AL178" s="24" t="s">
        <v>99</v>
      </c>
      <c r="AN178" s="24" t="s">
        <v>180</v>
      </c>
      <c r="AO178" s="24">
        <v>225</v>
      </c>
    </row>
    <row r="179" spans="1:53" x14ac:dyDescent="0.3">
      <c r="A179" s="24" t="s">
        <v>298</v>
      </c>
      <c r="B179" s="24" t="s">
        <v>284</v>
      </c>
      <c r="C179" s="45">
        <v>45780.5</v>
      </c>
      <c r="D179" s="39"/>
      <c r="E179" s="39"/>
      <c r="F179" s="24" t="s">
        <v>82</v>
      </c>
      <c r="G179" s="24">
        <v>9.8095999999999997</v>
      </c>
      <c r="H179" s="24" t="s">
        <v>83</v>
      </c>
      <c r="I179" s="24">
        <v>1000.2</v>
      </c>
      <c r="J179" s="24" t="s">
        <v>84</v>
      </c>
      <c r="K179" s="24">
        <v>0.4</v>
      </c>
      <c r="L179" s="24" t="s">
        <v>85</v>
      </c>
      <c r="N179" s="24" t="s">
        <v>86</v>
      </c>
      <c r="P179" s="24" t="s">
        <v>87</v>
      </c>
      <c r="R179" s="24" t="s">
        <v>88</v>
      </c>
      <c r="T179" s="24" t="s">
        <v>89</v>
      </c>
      <c r="V179" s="24" t="s">
        <v>90</v>
      </c>
      <c r="X179" s="24" t="s">
        <v>91</v>
      </c>
      <c r="Z179" s="24" t="s">
        <v>92</v>
      </c>
      <c r="AB179" s="24" t="s">
        <v>93</v>
      </c>
      <c r="AD179" s="24" t="s">
        <v>95</v>
      </c>
      <c r="AF179" s="24" t="s">
        <v>100</v>
      </c>
      <c r="AH179" s="24" t="s">
        <v>97</v>
      </c>
      <c r="AJ179" s="24" t="s">
        <v>98</v>
      </c>
      <c r="AL179" s="24" t="s">
        <v>99</v>
      </c>
      <c r="AN179" s="24" t="s">
        <v>180</v>
      </c>
      <c r="AO179" s="24">
        <v>180</v>
      </c>
    </row>
    <row r="180" spans="1:53" x14ac:dyDescent="0.3">
      <c r="A180" s="24" t="s">
        <v>299</v>
      </c>
      <c r="B180" s="24" t="s">
        <v>284</v>
      </c>
      <c r="C180" s="45">
        <v>45781.5</v>
      </c>
      <c r="D180" s="39"/>
      <c r="E180" s="39"/>
      <c r="F180" s="24" t="s">
        <v>82</v>
      </c>
      <c r="G180" s="24">
        <v>9.8102</v>
      </c>
      <c r="H180" s="24" t="s">
        <v>83</v>
      </c>
      <c r="I180" s="24">
        <v>997.8</v>
      </c>
      <c r="J180" s="24" t="s">
        <v>84</v>
      </c>
      <c r="K180" s="24">
        <v>0.1</v>
      </c>
      <c r="L180" s="24" t="s">
        <v>85</v>
      </c>
      <c r="N180" s="24" t="s">
        <v>86</v>
      </c>
      <c r="P180" s="24" t="s">
        <v>87</v>
      </c>
      <c r="R180" s="24" t="s">
        <v>88</v>
      </c>
      <c r="T180" s="24" t="s">
        <v>89</v>
      </c>
      <c r="V180" s="24" t="s">
        <v>90</v>
      </c>
      <c r="X180" s="24" t="s">
        <v>91</v>
      </c>
      <c r="Z180" s="24" t="s">
        <v>92</v>
      </c>
      <c r="AB180" s="24" t="s">
        <v>93</v>
      </c>
      <c r="AD180" s="24" t="s">
        <v>95</v>
      </c>
      <c r="AF180" s="24" t="s">
        <v>100</v>
      </c>
      <c r="AH180" s="24" t="s">
        <v>97</v>
      </c>
      <c r="AJ180" s="24" t="s">
        <v>98</v>
      </c>
      <c r="AL180" s="24" t="s">
        <v>99</v>
      </c>
      <c r="AN180" s="24" t="s">
        <v>180</v>
      </c>
      <c r="AO180" s="24">
        <v>201</v>
      </c>
    </row>
    <row r="181" spans="1:53" x14ac:dyDescent="0.3">
      <c r="A181" s="24" t="s">
        <v>300</v>
      </c>
      <c r="B181" s="24" t="s">
        <v>284</v>
      </c>
      <c r="C181" s="45">
        <v>45782.40625</v>
      </c>
      <c r="D181" s="39"/>
      <c r="E181" s="39"/>
      <c r="F181" s="24" t="s">
        <v>82</v>
      </c>
      <c r="G181" s="24">
        <v>9.8077000000000005</v>
      </c>
      <c r="H181" s="24" t="s">
        <v>83</v>
      </c>
      <c r="I181" s="24">
        <v>997.1</v>
      </c>
      <c r="J181" s="24" t="s">
        <v>84</v>
      </c>
      <c r="K181" s="24">
        <v>-0.4</v>
      </c>
      <c r="L181" s="24" t="s">
        <v>85</v>
      </c>
      <c r="N181" s="24" t="s">
        <v>86</v>
      </c>
      <c r="P181" s="24" t="s">
        <v>87</v>
      </c>
      <c r="R181" s="24" t="s">
        <v>88</v>
      </c>
      <c r="T181" s="24" t="s">
        <v>89</v>
      </c>
      <c r="V181" s="24" t="s">
        <v>90</v>
      </c>
      <c r="X181" s="24" t="s">
        <v>91</v>
      </c>
      <c r="Z181" s="24" t="s">
        <v>92</v>
      </c>
      <c r="AB181" s="24" t="s">
        <v>93</v>
      </c>
      <c r="AD181" s="24" t="s">
        <v>95</v>
      </c>
      <c r="AF181" s="24" t="s">
        <v>100</v>
      </c>
      <c r="AH181" s="24" t="s">
        <v>97</v>
      </c>
      <c r="AJ181" s="24" t="s">
        <v>98</v>
      </c>
      <c r="AL181" s="24" t="s">
        <v>99</v>
      </c>
      <c r="AN181" s="24" t="s">
        <v>180</v>
      </c>
      <c r="AO181" s="24">
        <v>210</v>
      </c>
    </row>
    <row r="182" spans="1:53" x14ac:dyDescent="0.3">
      <c r="A182" s="24" t="s">
        <v>301</v>
      </c>
      <c r="B182" s="24" t="s">
        <v>284</v>
      </c>
      <c r="C182" s="45">
        <v>45782.625</v>
      </c>
      <c r="D182" s="39"/>
      <c r="E182" s="39"/>
      <c r="F182" s="24" t="s">
        <v>82</v>
      </c>
      <c r="G182" s="24">
        <v>9.8234999999999992</v>
      </c>
      <c r="H182" s="24" t="s">
        <v>83</v>
      </c>
      <c r="J182" s="24" t="s">
        <v>84</v>
      </c>
      <c r="L182" s="24" t="s">
        <v>85</v>
      </c>
      <c r="N182" s="24" t="s">
        <v>86</v>
      </c>
      <c r="P182" s="24" t="s">
        <v>87</v>
      </c>
      <c r="R182" s="24" t="s">
        <v>88</v>
      </c>
      <c r="T182" s="24" t="s">
        <v>89</v>
      </c>
      <c r="V182" s="24" t="s">
        <v>90</v>
      </c>
      <c r="X182" s="24" t="s">
        <v>91</v>
      </c>
      <c r="Z182" s="24" t="s">
        <v>92</v>
      </c>
      <c r="AB182" s="24" t="s">
        <v>93</v>
      </c>
      <c r="AD182" s="24" t="s">
        <v>95</v>
      </c>
      <c r="AF182" s="24" t="s">
        <v>100</v>
      </c>
      <c r="AH182" s="24" t="s">
        <v>97</v>
      </c>
      <c r="AJ182" s="24" t="s">
        <v>98</v>
      </c>
      <c r="AL182" s="24" t="s">
        <v>99</v>
      </c>
      <c r="AN182" s="24" t="s">
        <v>180</v>
      </c>
      <c r="AO182" s="24">
        <v>210</v>
      </c>
    </row>
    <row r="183" spans="1:53" x14ac:dyDescent="0.3">
      <c r="A183" s="24" t="s">
        <v>302</v>
      </c>
      <c r="B183" s="24" t="s">
        <v>284</v>
      </c>
      <c r="C183" s="45">
        <v>45769.625</v>
      </c>
      <c r="D183" s="39"/>
      <c r="E183" s="39"/>
      <c r="F183" s="24" t="s">
        <v>82</v>
      </c>
      <c r="G183" s="24">
        <v>10.361800000000001</v>
      </c>
      <c r="H183" s="24" t="s">
        <v>83</v>
      </c>
      <c r="I183" s="24">
        <v>1058.5</v>
      </c>
      <c r="J183" s="24" t="s">
        <v>84</v>
      </c>
      <c r="K183" s="24">
        <v>15</v>
      </c>
      <c r="L183" s="24" t="s">
        <v>85</v>
      </c>
      <c r="M183" s="24">
        <v>16.36</v>
      </c>
      <c r="N183" s="24" t="s">
        <v>86</v>
      </c>
      <c r="O183" s="24">
        <v>12.06</v>
      </c>
      <c r="P183" s="24" t="s">
        <v>87</v>
      </c>
      <c r="Q183" s="24">
        <v>14.55</v>
      </c>
      <c r="R183" s="24" t="s">
        <v>88</v>
      </c>
      <c r="S183" s="24">
        <v>78.349999999999994</v>
      </c>
      <c r="T183" s="24" t="s">
        <v>89</v>
      </c>
      <c r="U183" s="24">
        <v>63.83</v>
      </c>
      <c r="V183" s="24" t="s">
        <v>90</v>
      </c>
      <c r="W183" s="24">
        <v>2.27</v>
      </c>
      <c r="X183" s="24" t="s">
        <v>91</v>
      </c>
      <c r="Y183" s="24">
        <v>99</v>
      </c>
      <c r="Z183" s="24" t="s">
        <v>92</v>
      </c>
      <c r="AA183" s="24">
        <v>32</v>
      </c>
      <c r="AB183" s="24" t="s">
        <v>93</v>
      </c>
      <c r="AC183" s="24">
        <v>73</v>
      </c>
      <c r="AD183" s="24" t="s">
        <v>95</v>
      </c>
      <c r="AE183" s="24">
        <v>38</v>
      </c>
      <c r="AF183" s="24" t="s">
        <v>100</v>
      </c>
      <c r="AG183" s="24">
        <v>3</v>
      </c>
      <c r="AH183" s="24" t="s">
        <v>97</v>
      </c>
      <c r="AI183" s="24">
        <f>10.5988-G183</f>
        <v>0.2370000000000001</v>
      </c>
      <c r="AJ183" s="24" t="s">
        <v>98</v>
      </c>
      <c r="AK183" s="24">
        <f>10.419-G183</f>
        <v>5.7199999999999918E-2</v>
      </c>
      <c r="AL183" s="24" t="s">
        <v>99</v>
      </c>
      <c r="AN183" s="24" t="s">
        <v>180</v>
      </c>
      <c r="AO183" s="24">
        <v>174</v>
      </c>
    </row>
    <row r="184" spans="1:53" x14ac:dyDescent="0.3">
      <c r="A184" s="24" t="s">
        <v>303</v>
      </c>
      <c r="B184" s="24" t="s">
        <v>284</v>
      </c>
      <c r="C184" s="45">
        <v>45770.395833333336</v>
      </c>
      <c r="D184" s="39"/>
      <c r="E184" s="39"/>
      <c r="F184" s="24" t="s">
        <v>82</v>
      </c>
      <c r="G184" s="24">
        <v>9.8130000000000006</v>
      </c>
      <c r="H184" s="24" t="s">
        <v>83</v>
      </c>
      <c r="I184" s="24">
        <v>1058.5999999999999</v>
      </c>
      <c r="J184" s="24" t="s">
        <v>84</v>
      </c>
      <c r="K184" s="24">
        <v>14.9</v>
      </c>
      <c r="L184" s="24" t="s">
        <v>85</v>
      </c>
      <c r="M184" s="24">
        <v>15.51</v>
      </c>
      <c r="N184" s="24" t="s">
        <v>86</v>
      </c>
      <c r="O184" s="24">
        <v>8.6</v>
      </c>
      <c r="P184" s="24" t="s">
        <v>87</v>
      </c>
      <c r="Q184" s="24">
        <v>22.28</v>
      </c>
      <c r="R184" s="24" t="s">
        <v>88</v>
      </c>
      <c r="S184" s="24">
        <v>75.12</v>
      </c>
      <c r="T184" s="24" t="s">
        <v>89</v>
      </c>
      <c r="U184" s="24">
        <v>63.27</v>
      </c>
      <c r="V184" s="24" t="s">
        <v>90</v>
      </c>
      <c r="W184" s="24">
        <v>2.5499999999999998</v>
      </c>
      <c r="X184" s="24" t="s">
        <v>91</v>
      </c>
      <c r="Y184" s="24">
        <v>100</v>
      </c>
      <c r="Z184" s="24" t="s">
        <v>92</v>
      </c>
      <c r="AA184" s="24">
        <v>33</v>
      </c>
      <c r="AB184" s="24" t="s">
        <v>93</v>
      </c>
      <c r="AC184" s="24">
        <v>73</v>
      </c>
      <c r="AD184" s="24" t="s">
        <v>95</v>
      </c>
      <c r="AE184" s="24">
        <v>28</v>
      </c>
      <c r="AF184" s="24" t="s">
        <v>100</v>
      </c>
      <c r="AG184" s="24">
        <v>3.07</v>
      </c>
      <c r="AH184" s="24" t="s">
        <v>97</v>
      </c>
      <c r="AJ184" s="24" t="s">
        <v>98</v>
      </c>
      <c r="AL184" s="24" t="s">
        <v>99</v>
      </c>
      <c r="AN184" s="24" t="s">
        <v>180</v>
      </c>
      <c r="AO184" s="24">
        <v>186</v>
      </c>
    </row>
    <row r="185" spans="1:53" x14ac:dyDescent="0.3">
      <c r="A185" s="24" t="s">
        <v>304</v>
      </c>
      <c r="B185" s="24" t="s">
        <v>284</v>
      </c>
      <c r="C185" s="45">
        <v>45770.479166666664</v>
      </c>
      <c r="D185" s="39"/>
      <c r="E185" s="39"/>
      <c r="F185" s="24" t="s">
        <v>82</v>
      </c>
      <c r="G185" s="24">
        <v>9.8040000000000003</v>
      </c>
      <c r="H185" s="24" t="s">
        <v>83</v>
      </c>
      <c r="I185" s="24">
        <v>1058.4000000000001</v>
      </c>
      <c r="J185" s="24" t="s">
        <v>84</v>
      </c>
      <c r="K185" s="24">
        <v>14.9</v>
      </c>
      <c r="L185" s="24" t="s">
        <v>85</v>
      </c>
      <c r="M185" s="24">
        <v>19.66</v>
      </c>
      <c r="N185" s="24" t="s">
        <v>86</v>
      </c>
      <c r="O185" s="24">
        <v>11.21</v>
      </c>
      <c r="P185" s="24" t="s">
        <v>87</v>
      </c>
      <c r="Q185" s="24">
        <v>21.88</v>
      </c>
      <c r="R185" s="24" t="s">
        <v>88</v>
      </c>
      <c r="S185" s="24">
        <v>73.84</v>
      </c>
      <c r="T185" s="24" t="s">
        <v>89</v>
      </c>
      <c r="U185" s="24">
        <v>64.67</v>
      </c>
      <c r="V185" s="24" t="s">
        <v>90</v>
      </c>
      <c r="W185" s="24">
        <v>2.44</v>
      </c>
      <c r="X185" s="24" t="s">
        <v>91</v>
      </c>
      <c r="Y185" s="24">
        <v>159</v>
      </c>
      <c r="Z185" s="24" t="s">
        <v>92</v>
      </c>
      <c r="AA185" s="24">
        <v>81</v>
      </c>
      <c r="AB185" s="24" t="s">
        <v>93</v>
      </c>
      <c r="AC185" s="24">
        <v>93</v>
      </c>
      <c r="AD185" s="24" t="s">
        <v>95</v>
      </c>
      <c r="AE185" s="24">
        <v>28</v>
      </c>
      <c r="AF185" s="24" t="s">
        <v>100</v>
      </c>
      <c r="AG185" s="24">
        <v>3</v>
      </c>
      <c r="AH185" s="24" t="s">
        <v>97</v>
      </c>
      <c r="AJ185" s="24" t="s">
        <v>98</v>
      </c>
      <c r="AL185" s="24" t="s">
        <v>99</v>
      </c>
      <c r="AN185" s="24" t="s">
        <v>180</v>
      </c>
      <c r="AO185" s="24">
        <v>201</v>
      </c>
    </row>
    <row r="186" spans="1:53" x14ac:dyDescent="0.3">
      <c r="A186" s="24" t="s">
        <v>305</v>
      </c>
      <c r="B186" s="24" t="s">
        <v>284</v>
      </c>
      <c r="C186" s="45">
        <v>45770.666666666664</v>
      </c>
      <c r="D186" s="39"/>
      <c r="E186" s="39"/>
      <c r="F186" s="24" t="s">
        <v>82</v>
      </c>
      <c r="G186" s="24">
        <v>9.8178000000000001</v>
      </c>
      <c r="H186" s="24" t="s">
        <v>83</v>
      </c>
      <c r="I186" s="24">
        <v>1055.2</v>
      </c>
      <c r="J186" s="24" t="s">
        <v>84</v>
      </c>
      <c r="K186" s="24">
        <v>14.3</v>
      </c>
      <c r="L186" s="24" t="s">
        <v>85</v>
      </c>
      <c r="M186" s="24">
        <v>19.05</v>
      </c>
      <c r="N186" s="24" t="s">
        <v>86</v>
      </c>
      <c r="O186" s="24">
        <v>9.52</v>
      </c>
      <c r="P186" s="24" t="s">
        <v>87</v>
      </c>
      <c r="Q186" s="24">
        <v>24.19</v>
      </c>
      <c r="R186" s="24" t="s">
        <v>88</v>
      </c>
      <c r="S186" s="24">
        <v>75.23</v>
      </c>
      <c r="T186" s="24" t="s">
        <v>89</v>
      </c>
      <c r="U186" s="24">
        <v>63.48</v>
      </c>
      <c r="V186" s="24" t="s">
        <v>90</v>
      </c>
      <c r="W186" s="24">
        <v>2.39</v>
      </c>
      <c r="X186" s="24" t="s">
        <v>91</v>
      </c>
      <c r="Y186" s="24">
        <v>165</v>
      </c>
      <c r="Z186" s="24" t="s">
        <v>92</v>
      </c>
      <c r="AA186" s="24">
        <v>86</v>
      </c>
      <c r="AB186" s="24" t="s">
        <v>93</v>
      </c>
      <c r="AC186" s="24">
        <v>94</v>
      </c>
      <c r="AD186" s="24" t="s">
        <v>95</v>
      </c>
      <c r="AE186" s="24">
        <v>21</v>
      </c>
      <c r="AF186" s="24" t="s">
        <v>100</v>
      </c>
      <c r="AG186" s="24">
        <v>3.03</v>
      </c>
      <c r="AH186" s="24" t="s">
        <v>97</v>
      </c>
      <c r="AJ186" s="24" t="s">
        <v>98</v>
      </c>
      <c r="AL186" s="24" t="s">
        <v>99</v>
      </c>
      <c r="AN186" s="24" t="s">
        <v>180</v>
      </c>
      <c r="AO186" s="24">
        <v>213</v>
      </c>
    </row>
    <row r="187" spans="1:53" x14ac:dyDescent="0.3">
      <c r="A187" s="24" t="s">
        <v>306</v>
      </c>
      <c r="B187" s="24" t="s">
        <v>284</v>
      </c>
      <c r="C187" s="45">
        <v>45771.395833333336</v>
      </c>
      <c r="D187" s="39"/>
      <c r="E187" s="39"/>
      <c r="F187" s="24" t="s">
        <v>82</v>
      </c>
      <c r="G187" s="24">
        <v>9.8043999999999993</v>
      </c>
      <c r="H187" s="24" t="s">
        <v>83</v>
      </c>
      <c r="I187" s="24">
        <v>1058</v>
      </c>
      <c r="J187" s="24" t="s">
        <v>84</v>
      </c>
      <c r="K187" s="24">
        <v>14.8</v>
      </c>
      <c r="L187" s="24" t="s">
        <v>85</v>
      </c>
      <c r="M187" s="24">
        <v>18.43</v>
      </c>
      <c r="N187" s="24" t="s">
        <v>86</v>
      </c>
      <c r="O187" s="24">
        <v>11.14</v>
      </c>
      <c r="P187" s="24" t="s">
        <v>87</v>
      </c>
      <c r="Q187" s="24">
        <v>20.83</v>
      </c>
      <c r="R187" s="24" t="s">
        <v>88</v>
      </c>
      <c r="S187" s="24">
        <v>77.010000000000005</v>
      </c>
      <c r="T187" s="24" t="s">
        <v>89</v>
      </c>
      <c r="U187" s="24">
        <v>64.739999999999995</v>
      </c>
      <c r="V187" s="24" t="s">
        <v>90</v>
      </c>
      <c r="W187" s="24">
        <v>2.4700000000000002</v>
      </c>
      <c r="X187" s="24" t="s">
        <v>91</v>
      </c>
      <c r="Y187" s="24">
        <v>163</v>
      </c>
      <c r="Z187" s="24" t="s">
        <v>92</v>
      </c>
      <c r="AA187" s="24">
        <v>83</v>
      </c>
      <c r="AB187" s="24" t="s">
        <v>93</v>
      </c>
      <c r="AC187" s="24">
        <v>95</v>
      </c>
      <c r="AD187" s="24" t="s">
        <v>95</v>
      </c>
      <c r="AE187" s="24">
        <v>21</v>
      </c>
      <c r="AF187" s="24" t="s">
        <v>100</v>
      </c>
      <c r="AG187" s="24">
        <v>3.01</v>
      </c>
      <c r="AH187" s="24" t="s">
        <v>97</v>
      </c>
      <c r="AJ187" s="24" t="s">
        <v>98</v>
      </c>
      <c r="AL187" s="24" t="s">
        <v>99</v>
      </c>
      <c r="AN187" s="24" t="s">
        <v>180</v>
      </c>
      <c r="AO187" s="24">
        <v>226</v>
      </c>
    </row>
    <row r="188" spans="1:53" x14ac:dyDescent="0.3">
      <c r="A188" s="24" t="s">
        <v>307</v>
      </c>
      <c r="B188" s="24" t="s">
        <v>284</v>
      </c>
      <c r="C188" s="45">
        <v>45771.625</v>
      </c>
      <c r="D188" s="39"/>
      <c r="E188" s="39"/>
      <c r="F188" s="24" t="s">
        <v>82</v>
      </c>
      <c r="G188" s="24">
        <v>9.7843999999999998</v>
      </c>
      <c r="H188" s="24" t="s">
        <v>83</v>
      </c>
      <c r="I188" s="24">
        <v>1056.3</v>
      </c>
      <c r="J188" s="24" t="s">
        <v>84</v>
      </c>
      <c r="K188" s="24">
        <v>14.5</v>
      </c>
      <c r="L188" s="24" t="s">
        <v>85</v>
      </c>
      <c r="M188" s="24">
        <v>19.510000000000002</v>
      </c>
      <c r="N188" s="24" t="s">
        <v>86</v>
      </c>
      <c r="O188" s="24">
        <v>11.52</v>
      </c>
      <c r="P188" s="24" t="s">
        <v>87</v>
      </c>
      <c r="Q188" s="24">
        <v>23.62</v>
      </c>
      <c r="R188" s="24" t="s">
        <v>88</v>
      </c>
      <c r="S188" s="24">
        <v>76.91</v>
      </c>
      <c r="T188" s="24" t="s">
        <v>89</v>
      </c>
      <c r="U188" s="24">
        <v>62.9</v>
      </c>
      <c r="V188" s="24" t="s">
        <v>90</v>
      </c>
      <c r="W188" s="24">
        <v>2.67</v>
      </c>
      <c r="X188" s="24" t="s">
        <v>91</v>
      </c>
      <c r="Y188" s="24">
        <v>157</v>
      </c>
      <c r="Z188" s="24" t="s">
        <v>92</v>
      </c>
      <c r="AA188" s="24">
        <v>79</v>
      </c>
      <c r="AB188" s="24" t="s">
        <v>93</v>
      </c>
      <c r="AC188" s="24">
        <v>92</v>
      </c>
      <c r="AD188" s="24" t="s">
        <v>95</v>
      </c>
      <c r="AE188" s="24">
        <v>45</v>
      </c>
      <c r="AF188" s="24" t="s">
        <v>100</v>
      </c>
      <c r="AG188" s="24">
        <v>3</v>
      </c>
      <c r="AH188" s="24" t="s">
        <v>97</v>
      </c>
      <c r="AJ188" s="24" t="s">
        <v>98</v>
      </c>
      <c r="AL188" s="24" t="s">
        <v>99</v>
      </c>
      <c r="AN188" s="24" t="s">
        <v>180</v>
      </c>
      <c r="AO188" s="24">
        <v>237</v>
      </c>
    </row>
    <row r="189" spans="1:53" x14ac:dyDescent="0.3">
      <c r="A189" s="24" t="s">
        <v>308</v>
      </c>
      <c r="B189" s="24" t="s">
        <v>284</v>
      </c>
      <c r="C189" s="45">
        <v>45772.375</v>
      </c>
      <c r="D189" s="39"/>
      <c r="E189" s="39"/>
      <c r="F189" s="24" t="s">
        <v>82</v>
      </c>
      <c r="G189" s="24">
        <v>9.8068000000000008</v>
      </c>
      <c r="H189" s="24" t="s">
        <v>83</v>
      </c>
      <c r="I189" s="24">
        <v>1057.2</v>
      </c>
      <c r="J189" s="24" t="s">
        <v>84</v>
      </c>
      <c r="K189" s="24">
        <v>14.5</v>
      </c>
      <c r="L189" s="24" t="s">
        <v>85</v>
      </c>
      <c r="M189" s="24">
        <v>12.98</v>
      </c>
      <c r="N189" s="24" t="s">
        <v>86</v>
      </c>
      <c r="O189" s="24">
        <v>8.76</v>
      </c>
      <c r="P189" s="24" t="s">
        <v>87</v>
      </c>
      <c r="Q189" s="24">
        <v>18.93</v>
      </c>
      <c r="R189" s="24" t="s">
        <v>88</v>
      </c>
      <c r="S189" s="24">
        <v>75.13</v>
      </c>
      <c r="T189" s="24" t="s">
        <v>89</v>
      </c>
      <c r="U189" s="24">
        <v>58.17</v>
      </c>
      <c r="V189" s="24" t="s">
        <v>90</v>
      </c>
      <c r="W189" s="24">
        <v>2.4500000000000002</v>
      </c>
      <c r="X189" s="24" t="s">
        <v>91</v>
      </c>
      <c r="Y189" s="24">
        <v>151</v>
      </c>
      <c r="Z189" s="24" t="s">
        <v>92</v>
      </c>
      <c r="AA189" s="24">
        <v>80</v>
      </c>
      <c r="AB189" s="24" t="s">
        <v>93</v>
      </c>
      <c r="AC189" s="24">
        <v>85</v>
      </c>
      <c r="AD189" s="24" t="s">
        <v>95</v>
      </c>
      <c r="AE189" s="24">
        <v>33</v>
      </c>
      <c r="AF189" s="24" t="s">
        <v>100</v>
      </c>
      <c r="AG189" s="24">
        <v>2.99</v>
      </c>
      <c r="AH189" s="24" t="s">
        <v>97</v>
      </c>
      <c r="AJ189" s="24" t="s">
        <v>98</v>
      </c>
      <c r="AL189" s="24" t="s">
        <v>99</v>
      </c>
      <c r="AN189" s="24" t="s">
        <v>180</v>
      </c>
      <c r="AO189" s="24">
        <v>258</v>
      </c>
    </row>
    <row r="190" spans="1:53" x14ac:dyDescent="0.3">
      <c r="A190" s="24" t="s">
        <v>309</v>
      </c>
      <c r="B190" s="24" t="s">
        <v>284</v>
      </c>
      <c r="C190" s="45">
        <v>45773.652777777781</v>
      </c>
      <c r="D190" s="39"/>
      <c r="E190" s="39"/>
      <c r="F190" s="24" t="s">
        <v>82</v>
      </c>
      <c r="G190" s="24">
        <v>9.8070000000000004</v>
      </c>
      <c r="H190" s="24" t="s">
        <v>83</v>
      </c>
      <c r="I190" s="24">
        <v>1051.8</v>
      </c>
      <c r="J190" s="24" t="s">
        <v>84</v>
      </c>
      <c r="K190" s="24">
        <v>13.3</v>
      </c>
      <c r="L190" s="24" t="s">
        <v>85</v>
      </c>
      <c r="N190" s="24" t="s">
        <v>86</v>
      </c>
      <c r="P190" s="24" t="s">
        <v>87</v>
      </c>
      <c r="R190" s="24" t="s">
        <v>88</v>
      </c>
      <c r="S190" s="24">
        <v>65.959999999999994</v>
      </c>
      <c r="T190" s="24" t="s">
        <v>89</v>
      </c>
      <c r="U190" s="24">
        <v>59.22</v>
      </c>
      <c r="V190" s="24" t="s">
        <v>90</v>
      </c>
      <c r="W190" s="24">
        <v>3.36</v>
      </c>
      <c r="X190" s="24" t="s">
        <v>91</v>
      </c>
      <c r="Y190" s="24">
        <v>116</v>
      </c>
      <c r="Z190" s="24" t="s">
        <v>92</v>
      </c>
      <c r="AA190" s="24">
        <v>58</v>
      </c>
      <c r="AB190" s="24" t="s">
        <v>93</v>
      </c>
      <c r="AC190" s="24">
        <v>69</v>
      </c>
      <c r="AD190" s="24" t="s">
        <v>94</v>
      </c>
      <c r="AE190" s="24">
        <v>0.3</v>
      </c>
      <c r="AF190" s="24" t="s">
        <v>95</v>
      </c>
      <c r="AG190" s="24">
        <v>49</v>
      </c>
      <c r="AH190" s="24" t="s">
        <v>97</v>
      </c>
      <c r="AJ190" s="24" t="s">
        <v>98</v>
      </c>
      <c r="AL190" s="24" t="s">
        <v>99</v>
      </c>
      <c r="AN190" s="24" t="s">
        <v>180</v>
      </c>
      <c r="AO190" s="24">
        <v>288</v>
      </c>
      <c r="AP190" s="24" t="s">
        <v>100</v>
      </c>
      <c r="AQ190" s="24">
        <v>2.92</v>
      </c>
      <c r="AR190" s="24" t="s">
        <v>101</v>
      </c>
      <c r="AS190" s="24">
        <v>2.96</v>
      </c>
      <c r="AT190" s="24" t="s">
        <v>102</v>
      </c>
      <c r="AU190" s="24">
        <v>351</v>
      </c>
      <c r="AV190" s="24" t="s">
        <v>103</v>
      </c>
      <c r="AW190" s="24">
        <v>2.9</v>
      </c>
      <c r="AX190" s="24" t="s">
        <v>104</v>
      </c>
      <c r="AY190" s="24">
        <v>5</v>
      </c>
      <c r="AZ190" s="24" t="s">
        <v>105</v>
      </c>
      <c r="BA190" s="24">
        <v>329</v>
      </c>
    </row>
  </sheetData>
  <autoFilter ref="A1:AU190" xr:uid="{46EA90B6-A624-4A34-AC3C-21E25C322DFE}">
    <sortState xmlns:xlrd2="http://schemas.microsoft.com/office/spreadsheetml/2017/richdata2" ref="A2:AU190">
      <sortCondition ref="A1:A190"/>
    </sortState>
  </autoFilter>
  <phoneticPr fontId="2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48906-54C0-449F-B0A0-66717C13EB83}">
  <dimension ref="A1:J139"/>
  <sheetViews>
    <sheetView topLeftCell="D1" workbookViewId="0">
      <selection activeCell="I117" sqref="I117"/>
    </sheetView>
  </sheetViews>
  <sheetFormatPr baseColWidth="10" defaultColWidth="9.109375" defaultRowHeight="14.4" x14ac:dyDescent="0.3"/>
  <cols>
    <col min="1" max="1" width="25.88671875" style="19" customWidth="1"/>
    <col min="2" max="4" width="25.88671875" customWidth="1"/>
    <col min="5" max="5" width="21.6640625" style="19" customWidth="1"/>
    <col min="8" max="9" width="24" customWidth="1"/>
    <col min="10" max="10" width="28.5546875" style="19" customWidth="1"/>
  </cols>
  <sheetData>
    <row r="1" spans="1:10" x14ac:dyDescent="0.3">
      <c r="A1" s="17" t="s">
        <v>29</v>
      </c>
      <c r="B1" s="17" t="s">
        <v>310</v>
      </c>
      <c r="C1" s="43"/>
      <c r="D1" s="17" t="s">
        <v>311</v>
      </c>
      <c r="E1" s="17" t="s">
        <v>31</v>
      </c>
      <c r="F1" s="21" t="s">
        <v>312</v>
      </c>
      <c r="G1" s="21" t="s">
        <v>313</v>
      </c>
      <c r="H1" s="21" t="s">
        <v>314</v>
      </c>
      <c r="I1" s="21" t="s">
        <v>315</v>
      </c>
    </row>
    <row r="2" spans="1:10" x14ac:dyDescent="0.3">
      <c r="A2" s="3" t="s">
        <v>80</v>
      </c>
      <c r="B2" s="24" t="s">
        <v>80</v>
      </c>
      <c r="C2" s="44" t="b">
        <f t="shared" ref="C2:C17" si="0">EXACT(A2,B2)</f>
        <v>1</v>
      </c>
      <c r="D2" s="3" t="s">
        <v>81</v>
      </c>
      <c r="E2" s="16">
        <v>45720.666666666664</v>
      </c>
      <c r="F2" s="19">
        <v>10</v>
      </c>
      <c r="G2" s="19">
        <v>50</v>
      </c>
      <c r="H2" s="19"/>
      <c r="I2" s="22">
        <f t="shared" ref="I2:I17" si="1">(G2*H2)/F2</f>
        <v>0</v>
      </c>
      <c r="J2" s="20">
        <v>0</v>
      </c>
    </row>
    <row r="3" spans="1:10" x14ac:dyDescent="0.3">
      <c r="A3" s="3" t="s">
        <v>106</v>
      </c>
      <c r="B3" s="24" t="s">
        <v>106</v>
      </c>
      <c r="C3" s="44" t="b">
        <f t="shared" si="0"/>
        <v>1</v>
      </c>
      <c r="D3" s="3" t="s">
        <v>81</v>
      </c>
      <c r="E3" s="16">
        <v>45721.416666666664</v>
      </c>
      <c r="F3" s="19">
        <v>10</v>
      </c>
      <c r="G3" s="19">
        <v>50</v>
      </c>
      <c r="H3" s="19">
        <v>-0.04</v>
      </c>
      <c r="I3" s="22">
        <f t="shared" si="1"/>
        <v>-0.2</v>
      </c>
      <c r="J3" s="20">
        <v>0</v>
      </c>
    </row>
    <row r="4" spans="1:10" x14ac:dyDescent="0.3">
      <c r="A4" s="3" t="s">
        <v>107</v>
      </c>
      <c r="B4" s="24" t="s">
        <v>107</v>
      </c>
      <c r="C4" s="44" t="b">
        <f t="shared" si="0"/>
        <v>1</v>
      </c>
      <c r="D4" s="3" t="s">
        <v>81</v>
      </c>
      <c r="E4" s="16">
        <v>45721.697222222225</v>
      </c>
      <c r="F4" s="19">
        <v>10</v>
      </c>
      <c r="G4" s="19">
        <v>50</v>
      </c>
      <c r="H4" s="19">
        <v>-0.17</v>
      </c>
      <c r="I4" s="22">
        <f t="shared" si="1"/>
        <v>-0.85</v>
      </c>
      <c r="J4" s="20">
        <v>0</v>
      </c>
    </row>
    <row r="5" spans="1:10" x14ac:dyDescent="0.3">
      <c r="A5" s="3" t="s">
        <v>108</v>
      </c>
      <c r="B5" s="24" t="s">
        <v>108</v>
      </c>
      <c r="C5" s="44" t="b">
        <f t="shared" si="0"/>
        <v>1</v>
      </c>
      <c r="D5" s="3" t="s">
        <v>81</v>
      </c>
      <c r="E5" s="16">
        <v>45722.385416666664</v>
      </c>
      <c r="F5" s="19">
        <v>10</v>
      </c>
      <c r="G5" s="19">
        <v>50</v>
      </c>
      <c r="H5" s="19">
        <v>0.13</v>
      </c>
      <c r="I5" s="22">
        <f t="shared" si="1"/>
        <v>0.65</v>
      </c>
      <c r="J5" s="20">
        <v>0.65</v>
      </c>
    </row>
    <row r="6" spans="1:10" x14ac:dyDescent="0.3">
      <c r="A6" s="3" t="s">
        <v>109</v>
      </c>
      <c r="B6" s="24" t="s">
        <v>109</v>
      </c>
      <c r="C6" s="44" t="b">
        <f t="shared" si="0"/>
        <v>1</v>
      </c>
      <c r="D6" s="3" t="s">
        <v>81</v>
      </c>
      <c r="E6" s="18">
        <v>45722.666666666664</v>
      </c>
      <c r="F6" s="19">
        <v>10</v>
      </c>
      <c r="G6" s="19">
        <v>50</v>
      </c>
      <c r="H6" s="19">
        <v>0.66</v>
      </c>
      <c r="I6" s="22">
        <f t="shared" si="1"/>
        <v>3.3</v>
      </c>
      <c r="J6" s="20">
        <v>3.3</v>
      </c>
    </row>
    <row r="7" spans="1:10" x14ac:dyDescent="0.3">
      <c r="A7" s="3" t="s">
        <v>110</v>
      </c>
      <c r="B7" s="24" t="s">
        <v>110</v>
      </c>
      <c r="C7" s="44" t="b">
        <f t="shared" si="0"/>
        <v>1</v>
      </c>
      <c r="D7" s="3" t="s">
        <v>81</v>
      </c>
      <c r="E7" s="18">
        <v>45723.347222222219</v>
      </c>
      <c r="F7" s="19">
        <v>10</v>
      </c>
      <c r="G7" s="19">
        <v>50</v>
      </c>
      <c r="H7" s="19">
        <v>0.98</v>
      </c>
      <c r="I7" s="22">
        <f t="shared" si="1"/>
        <v>4.9000000000000004</v>
      </c>
      <c r="J7" s="20">
        <v>4.9000000000000004</v>
      </c>
    </row>
    <row r="8" spans="1:10" x14ac:dyDescent="0.3">
      <c r="A8" s="3" t="s">
        <v>111</v>
      </c>
      <c r="B8" s="24" t="s">
        <v>111</v>
      </c>
      <c r="C8" s="44" t="b">
        <f t="shared" si="0"/>
        <v>1</v>
      </c>
      <c r="D8" s="3" t="s">
        <v>81</v>
      </c>
      <c r="E8" s="18">
        <v>45723.604166666664</v>
      </c>
      <c r="F8" s="19">
        <v>10</v>
      </c>
      <c r="G8" s="19">
        <v>50</v>
      </c>
      <c r="H8" s="19">
        <v>1.5</v>
      </c>
      <c r="I8" s="22">
        <f t="shared" si="1"/>
        <v>7.5</v>
      </c>
      <c r="J8" s="20">
        <v>7.5</v>
      </c>
    </row>
    <row r="9" spans="1:10" x14ac:dyDescent="0.3">
      <c r="A9" s="3" t="s">
        <v>112</v>
      </c>
      <c r="B9" s="24" t="s">
        <v>112</v>
      </c>
      <c r="C9" s="44" t="b">
        <f t="shared" si="0"/>
        <v>1</v>
      </c>
      <c r="D9" s="3" t="s">
        <v>81</v>
      </c>
      <c r="E9" s="18">
        <v>45726.458333333336</v>
      </c>
      <c r="F9" s="19">
        <v>10</v>
      </c>
      <c r="G9" s="19">
        <v>50</v>
      </c>
      <c r="H9" s="19">
        <v>1.59</v>
      </c>
      <c r="I9" s="22">
        <f t="shared" si="1"/>
        <v>7.95</v>
      </c>
      <c r="J9" s="20">
        <v>7.95</v>
      </c>
    </row>
    <row r="10" spans="1:10" x14ac:dyDescent="0.3">
      <c r="A10" s="3" t="s">
        <v>113</v>
      </c>
      <c r="B10" s="24" t="s">
        <v>113</v>
      </c>
      <c r="C10" s="44" t="b">
        <f t="shared" si="0"/>
        <v>1</v>
      </c>
      <c r="D10" s="3" t="s">
        <v>114</v>
      </c>
      <c r="E10" s="16">
        <v>45720.666666666664</v>
      </c>
      <c r="F10" s="19">
        <v>10</v>
      </c>
      <c r="G10" s="19">
        <v>50</v>
      </c>
      <c r="H10" s="19"/>
      <c r="I10" s="22">
        <f t="shared" si="1"/>
        <v>0</v>
      </c>
      <c r="J10" s="20">
        <v>0</v>
      </c>
    </row>
    <row r="11" spans="1:10" x14ac:dyDescent="0.3">
      <c r="A11" s="3" t="s">
        <v>115</v>
      </c>
      <c r="B11" s="24" t="s">
        <v>115</v>
      </c>
      <c r="C11" s="44" t="b">
        <f t="shared" si="0"/>
        <v>1</v>
      </c>
      <c r="D11" s="3" t="s">
        <v>114</v>
      </c>
      <c r="E11" s="16">
        <v>45721.416666666664</v>
      </c>
      <c r="F11" s="19">
        <v>10</v>
      </c>
      <c r="G11" s="19">
        <v>50</v>
      </c>
      <c r="H11" s="19">
        <v>-0.16</v>
      </c>
      <c r="I11" s="22">
        <f t="shared" si="1"/>
        <v>-0.8</v>
      </c>
      <c r="J11" s="20">
        <v>0</v>
      </c>
    </row>
    <row r="12" spans="1:10" x14ac:dyDescent="0.3">
      <c r="A12" s="3" t="s">
        <v>116</v>
      </c>
      <c r="B12" s="24" t="s">
        <v>116</v>
      </c>
      <c r="C12" s="44" t="b">
        <f t="shared" si="0"/>
        <v>1</v>
      </c>
      <c r="D12" s="3" t="s">
        <v>114</v>
      </c>
      <c r="E12" s="16">
        <v>45721.699305555558</v>
      </c>
      <c r="F12" s="19">
        <v>10</v>
      </c>
      <c r="G12" s="19">
        <v>50</v>
      </c>
      <c r="H12" s="19">
        <v>-0.27</v>
      </c>
      <c r="I12" s="22">
        <f t="shared" si="1"/>
        <v>-1.35</v>
      </c>
      <c r="J12" s="20">
        <v>0</v>
      </c>
    </row>
    <row r="13" spans="1:10" x14ac:dyDescent="0.3">
      <c r="A13" s="3" t="s">
        <v>117</v>
      </c>
      <c r="B13" s="24" t="s">
        <v>117</v>
      </c>
      <c r="C13" s="44" t="b">
        <f t="shared" si="0"/>
        <v>1</v>
      </c>
      <c r="D13" s="3" t="s">
        <v>114</v>
      </c>
      <c r="E13" s="16">
        <v>45722.385416666664</v>
      </c>
      <c r="F13" s="19">
        <v>10</v>
      </c>
      <c r="G13" s="19">
        <v>50</v>
      </c>
      <c r="H13" s="19">
        <v>0.02</v>
      </c>
      <c r="I13" s="22">
        <f t="shared" si="1"/>
        <v>0.1</v>
      </c>
      <c r="J13" s="20">
        <v>0.1</v>
      </c>
    </row>
    <row r="14" spans="1:10" x14ac:dyDescent="0.3">
      <c r="A14" s="3" t="s">
        <v>118</v>
      </c>
      <c r="B14" s="24" t="s">
        <v>118</v>
      </c>
      <c r="C14" s="44" t="b">
        <f t="shared" si="0"/>
        <v>1</v>
      </c>
      <c r="D14" s="3" t="s">
        <v>114</v>
      </c>
      <c r="E14" s="16">
        <v>45722.670138888891</v>
      </c>
      <c r="F14" s="19">
        <v>10</v>
      </c>
      <c r="G14" s="19">
        <v>50</v>
      </c>
      <c r="H14" s="19">
        <v>1.04</v>
      </c>
      <c r="I14" s="22">
        <f t="shared" si="1"/>
        <v>5.2</v>
      </c>
      <c r="J14" s="20">
        <v>5.2</v>
      </c>
    </row>
    <row r="15" spans="1:10" x14ac:dyDescent="0.3">
      <c r="A15" s="3" t="s">
        <v>119</v>
      </c>
      <c r="B15" s="24" t="s">
        <v>119</v>
      </c>
      <c r="C15" s="44" t="b">
        <f t="shared" si="0"/>
        <v>1</v>
      </c>
      <c r="D15" s="3" t="s">
        <v>114</v>
      </c>
      <c r="E15" s="16">
        <v>45723.350694444445</v>
      </c>
      <c r="F15" s="19">
        <v>10</v>
      </c>
      <c r="G15" s="19">
        <v>50</v>
      </c>
      <c r="H15" s="19">
        <v>0.62</v>
      </c>
      <c r="I15" s="22">
        <f t="shared" si="1"/>
        <v>3.1</v>
      </c>
      <c r="J15" s="20">
        <v>3.1</v>
      </c>
    </row>
    <row r="16" spans="1:10" x14ac:dyDescent="0.3">
      <c r="A16" s="3" t="s">
        <v>120</v>
      </c>
      <c r="B16" s="24" t="s">
        <v>120</v>
      </c>
      <c r="C16" s="44" t="b">
        <f t="shared" si="0"/>
        <v>1</v>
      </c>
      <c r="D16" s="3" t="s">
        <v>114</v>
      </c>
      <c r="E16" s="18">
        <v>45723.604166666664</v>
      </c>
      <c r="F16" s="19">
        <v>10</v>
      </c>
      <c r="G16" s="19">
        <v>50</v>
      </c>
      <c r="H16" s="19">
        <v>1.49</v>
      </c>
      <c r="I16" s="22">
        <f t="shared" si="1"/>
        <v>7.45</v>
      </c>
      <c r="J16" s="20">
        <v>7.45</v>
      </c>
    </row>
    <row r="17" spans="1:10" x14ac:dyDescent="0.3">
      <c r="A17" s="3" t="s">
        <v>121</v>
      </c>
      <c r="B17" s="24" t="s">
        <v>121</v>
      </c>
      <c r="C17" s="44" t="b">
        <f t="shared" si="0"/>
        <v>1</v>
      </c>
      <c r="D17" s="3" t="s">
        <v>114</v>
      </c>
      <c r="E17" s="18">
        <v>45726.458333333336</v>
      </c>
      <c r="F17" s="19">
        <v>10</v>
      </c>
      <c r="G17" s="19">
        <v>50</v>
      </c>
      <c r="H17" s="19">
        <v>1.26</v>
      </c>
      <c r="I17" s="22">
        <f t="shared" si="1"/>
        <v>6.3</v>
      </c>
      <c r="J17" s="20">
        <v>6.3</v>
      </c>
    </row>
    <row r="18" spans="1:10" x14ac:dyDescent="0.3">
      <c r="A18" s="24" t="s">
        <v>122</v>
      </c>
      <c r="B18" s="24" t="s">
        <v>122</v>
      </c>
      <c r="C18" s="44"/>
      <c r="D18" s="3"/>
      <c r="E18" s="18"/>
      <c r="F18" s="19"/>
      <c r="G18" s="19"/>
      <c r="H18" s="19"/>
      <c r="I18" s="22"/>
      <c r="J18" s="20"/>
    </row>
    <row r="19" spans="1:10" x14ac:dyDescent="0.3">
      <c r="A19" s="3" t="s">
        <v>124</v>
      </c>
      <c r="B19" s="24" t="s">
        <v>124</v>
      </c>
      <c r="C19" s="44" t="b">
        <f>EXACT(A19,B19)</f>
        <v>1</v>
      </c>
      <c r="D19" s="3" t="s">
        <v>123</v>
      </c>
      <c r="E19" s="18">
        <v>45730.445833333331</v>
      </c>
      <c r="F19" s="19">
        <v>10</v>
      </c>
      <c r="G19" s="19">
        <v>50</v>
      </c>
      <c r="H19" s="19">
        <v>0.16</v>
      </c>
      <c r="I19" s="22">
        <f t="shared" ref="I19:I28" si="2">(G19*H19)/F19</f>
        <v>0.8</v>
      </c>
      <c r="J19" s="20">
        <v>0.8</v>
      </c>
    </row>
    <row r="20" spans="1:10" x14ac:dyDescent="0.3">
      <c r="A20" s="3" t="s">
        <v>125</v>
      </c>
      <c r="B20" s="24" t="s">
        <v>125</v>
      </c>
      <c r="C20" s="44" t="b">
        <f t="shared" ref="C20:C28" si="3">EXACT(A20,B20)</f>
        <v>1</v>
      </c>
      <c r="D20" s="3" t="s">
        <v>123</v>
      </c>
      <c r="E20" s="18">
        <v>45731.458333333336</v>
      </c>
      <c r="F20" s="19">
        <v>10</v>
      </c>
      <c r="G20" s="19">
        <v>50</v>
      </c>
      <c r="H20" s="19">
        <v>0.59</v>
      </c>
      <c r="I20" s="22">
        <f t="shared" si="2"/>
        <v>2.95</v>
      </c>
      <c r="J20" s="20">
        <v>2.95</v>
      </c>
    </row>
    <row r="21" spans="1:10" x14ac:dyDescent="0.3">
      <c r="A21" s="3" t="s">
        <v>126</v>
      </c>
      <c r="B21" s="24" t="s">
        <v>126</v>
      </c>
      <c r="C21" s="44" t="b">
        <f t="shared" si="3"/>
        <v>1</v>
      </c>
      <c r="D21" s="3" t="s">
        <v>123</v>
      </c>
      <c r="E21" s="18">
        <v>45731.618055555555</v>
      </c>
      <c r="F21" s="19">
        <v>10</v>
      </c>
      <c r="G21" s="19">
        <v>50</v>
      </c>
      <c r="H21" s="19">
        <v>0.68</v>
      </c>
      <c r="I21" s="22">
        <f t="shared" si="2"/>
        <v>3.4</v>
      </c>
      <c r="J21" s="20">
        <v>3.4</v>
      </c>
    </row>
    <row r="22" spans="1:10" x14ac:dyDescent="0.3">
      <c r="A22" s="3" t="s">
        <v>127</v>
      </c>
      <c r="B22" s="24" t="s">
        <v>127</v>
      </c>
      <c r="C22" s="44" t="b">
        <f t="shared" si="3"/>
        <v>1</v>
      </c>
      <c r="D22" s="3" t="s">
        <v>123</v>
      </c>
      <c r="E22" s="18">
        <v>45732.46875</v>
      </c>
      <c r="F22" s="19">
        <v>10</v>
      </c>
      <c r="G22" s="19">
        <v>50</v>
      </c>
      <c r="H22" s="19">
        <v>1.51</v>
      </c>
      <c r="I22" s="22">
        <f t="shared" si="2"/>
        <v>7.55</v>
      </c>
      <c r="J22" s="20">
        <v>7.55</v>
      </c>
    </row>
    <row r="23" spans="1:10" x14ac:dyDescent="0.3">
      <c r="A23" s="3" t="s">
        <v>128</v>
      </c>
      <c r="B23" s="24" t="s">
        <v>128</v>
      </c>
      <c r="C23" s="44" t="b">
        <f t="shared" si="3"/>
        <v>1</v>
      </c>
      <c r="D23" s="3" t="s">
        <v>123</v>
      </c>
      <c r="E23" s="18">
        <v>45733.451388888891</v>
      </c>
      <c r="F23" s="19">
        <v>10</v>
      </c>
      <c r="G23" s="19">
        <v>50</v>
      </c>
      <c r="H23" s="19">
        <v>1.85</v>
      </c>
      <c r="I23" s="22">
        <f t="shared" si="2"/>
        <v>9.25</v>
      </c>
      <c r="J23" s="20">
        <v>9.25</v>
      </c>
    </row>
    <row r="24" spans="1:10" x14ac:dyDescent="0.3">
      <c r="A24" s="3" t="s">
        <v>129</v>
      </c>
      <c r="B24" s="24" t="s">
        <v>129</v>
      </c>
      <c r="C24" s="44" t="b">
        <f t="shared" si="3"/>
        <v>1</v>
      </c>
      <c r="D24" s="3" t="s">
        <v>123</v>
      </c>
      <c r="E24" s="18">
        <v>45733.645833333336</v>
      </c>
      <c r="F24" s="19">
        <v>10</v>
      </c>
      <c r="G24" s="19">
        <v>50</v>
      </c>
      <c r="H24" s="1">
        <f>1.44-0.3</f>
        <v>1.1399999999999999</v>
      </c>
      <c r="I24" s="22">
        <f t="shared" si="2"/>
        <v>5.6999999999999993</v>
      </c>
      <c r="J24" s="20">
        <v>5.6999999999999993</v>
      </c>
    </row>
    <row r="25" spans="1:10" x14ac:dyDescent="0.3">
      <c r="A25" s="3" t="s">
        <v>130</v>
      </c>
      <c r="B25" s="24" t="s">
        <v>130</v>
      </c>
      <c r="C25" s="44" t="b">
        <f t="shared" si="3"/>
        <v>1</v>
      </c>
      <c r="D25" s="3" t="s">
        <v>123</v>
      </c>
      <c r="E25" s="18">
        <v>45734.430555555555</v>
      </c>
      <c r="F25" s="19">
        <v>10</v>
      </c>
      <c r="G25" s="19">
        <v>50</v>
      </c>
      <c r="H25" s="1">
        <f>1.68-0.3</f>
        <v>1.38</v>
      </c>
      <c r="I25" s="22">
        <f t="shared" si="2"/>
        <v>6.9</v>
      </c>
      <c r="J25" s="20">
        <v>6.9</v>
      </c>
    </row>
    <row r="26" spans="1:10" x14ac:dyDescent="0.3">
      <c r="A26" s="3" t="s">
        <v>131</v>
      </c>
      <c r="B26" s="24" t="s">
        <v>131</v>
      </c>
      <c r="C26" s="44" t="b">
        <f t="shared" si="3"/>
        <v>1</v>
      </c>
      <c r="D26" s="3" t="s">
        <v>123</v>
      </c>
      <c r="E26" s="18">
        <v>45734.631944444445</v>
      </c>
      <c r="F26" s="19">
        <v>10</v>
      </c>
      <c r="G26" s="19">
        <v>50</v>
      </c>
      <c r="H26" s="1">
        <f>1.66-0.3</f>
        <v>1.3599999999999999</v>
      </c>
      <c r="I26" s="22">
        <f t="shared" si="2"/>
        <v>6.8</v>
      </c>
      <c r="J26" s="20">
        <v>6.8</v>
      </c>
    </row>
    <row r="27" spans="1:10" x14ac:dyDescent="0.3">
      <c r="A27" s="3" t="s">
        <v>132</v>
      </c>
      <c r="B27" s="24" t="s">
        <v>132</v>
      </c>
      <c r="C27" s="44" t="b">
        <f t="shared" si="3"/>
        <v>1</v>
      </c>
      <c r="D27" s="3" t="s">
        <v>123</v>
      </c>
      <c r="E27" s="18">
        <v>45735.385416666664</v>
      </c>
      <c r="F27" s="19">
        <v>10</v>
      </c>
      <c r="G27" s="19">
        <v>50</v>
      </c>
      <c r="H27" s="1">
        <f>2.16-0.3</f>
        <v>1.86</v>
      </c>
      <c r="I27" s="22">
        <f t="shared" si="2"/>
        <v>9.3000000000000007</v>
      </c>
      <c r="J27" s="20">
        <v>9.3000000000000007</v>
      </c>
    </row>
    <row r="28" spans="1:10" x14ac:dyDescent="0.3">
      <c r="A28" s="3" t="s">
        <v>133</v>
      </c>
      <c r="B28" s="24" t="s">
        <v>133</v>
      </c>
      <c r="C28" s="44" t="b">
        <f t="shared" si="3"/>
        <v>1</v>
      </c>
      <c r="D28" s="3" t="s">
        <v>123</v>
      </c>
      <c r="E28" s="18">
        <v>45735.618055555555</v>
      </c>
      <c r="F28" s="19">
        <v>10</v>
      </c>
      <c r="G28" s="19">
        <v>50</v>
      </c>
      <c r="H28" s="1">
        <f>1.75-0.3</f>
        <v>1.45</v>
      </c>
      <c r="I28" s="22">
        <f t="shared" si="2"/>
        <v>7.25</v>
      </c>
      <c r="J28" s="20">
        <v>7.25</v>
      </c>
    </row>
    <row r="29" spans="1:10" x14ac:dyDescent="0.3">
      <c r="A29" s="24" t="s">
        <v>134</v>
      </c>
      <c r="B29" s="24" t="s">
        <v>134</v>
      </c>
      <c r="C29" s="44"/>
      <c r="D29" s="3"/>
      <c r="E29" s="18"/>
      <c r="F29" s="19"/>
      <c r="G29" s="19"/>
      <c r="H29" s="1"/>
      <c r="I29" s="22"/>
      <c r="J29" s="20"/>
    </row>
    <row r="30" spans="1:10" x14ac:dyDescent="0.3">
      <c r="A30" s="3" t="s">
        <v>136</v>
      </c>
      <c r="B30" s="24" t="s">
        <v>136</v>
      </c>
      <c r="C30" s="44" t="b">
        <f>EXACT(A30,B30)</f>
        <v>1</v>
      </c>
      <c r="D30" s="3" t="s">
        <v>135</v>
      </c>
      <c r="E30" s="18">
        <v>45730.445833333331</v>
      </c>
      <c r="F30" s="19">
        <v>10</v>
      </c>
      <c r="G30" s="19">
        <v>50</v>
      </c>
      <c r="H30" s="19">
        <v>0.26</v>
      </c>
      <c r="I30" s="22">
        <f>(G30*H30)/F30</f>
        <v>1.3</v>
      </c>
      <c r="J30" s="20">
        <v>1.3</v>
      </c>
    </row>
    <row r="31" spans="1:10" x14ac:dyDescent="0.3">
      <c r="A31" s="3" t="s">
        <v>137</v>
      </c>
      <c r="B31" s="24" t="s">
        <v>137</v>
      </c>
      <c r="C31" s="44" t="b">
        <f t="shared" ref="C31:C41" si="4">EXACT(A31,B31)</f>
        <v>1</v>
      </c>
      <c r="D31" s="3" t="s">
        <v>135</v>
      </c>
      <c r="E31" s="18">
        <v>45736.618055497682</v>
      </c>
      <c r="F31" s="19">
        <v>10</v>
      </c>
      <c r="G31" s="19">
        <v>50</v>
      </c>
      <c r="H31" s="1">
        <f>1.71-0.3</f>
        <v>1.41</v>
      </c>
      <c r="I31" s="22">
        <f>(G31*H31)/F31</f>
        <v>7.05</v>
      </c>
      <c r="J31" s="20">
        <v>7.05</v>
      </c>
    </row>
    <row r="32" spans="1:10" x14ac:dyDescent="0.3">
      <c r="A32" s="3" t="s">
        <v>138</v>
      </c>
      <c r="B32" s="24" t="s">
        <v>138</v>
      </c>
      <c r="C32" s="44" t="b">
        <f t="shared" si="4"/>
        <v>1</v>
      </c>
      <c r="D32" s="3" t="s">
        <v>135</v>
      </c>
      <c r="E32" s="18">
        <v>45736.416666666664</v>
      </c>
      <c r="F32" s="19">
        <v>10</v>
      </c>
      <c r="G32" s="19">
        <v>50</v>
      </c>
      <c r="H32" s="1">
        <f>1.87-0.3</f>
        <v>1.57</v>
      </c>
      <c r="I32" s="22">
        <f>(G30*H32)/F30</f>
        <v>7.85</v>
      </c>
      <c r="J32" s="20">
        <v>7.85</v>
      </c>
    </row>
    <row r="33" spans="1:10" x14ac:dyDescent="0.3">
      <c r="A33" s="3" t="s">
        <v>139</v>
      </c>
      <c r="B33" s="24" t="s">
        <v>139</v>
      </c>
      <c r="C33" s="44" t="b">
        <f t="shared" si="4"/>
        <v>1</v>
      </c>
      <c r="D33" s="3" t="s">
        <v>135</v>
      </c>
      <c r="E33" s="18">
        <v>45731.458333333336</v>
      </c>
      <c r="F33" s="19">
        <v>10</v>
      </c>
      <c r="G33" s="19">
        <v>50</v>
      </c>
      <c r="H33" s="19">
        <v>0.45</v>
      </c>
      <c r="I33" s="22">
        <f t="shared" ref="I33:I41" si="5">(G33*H33)/F33</f>
        <v>2.25</v>
      </c>
      <c r="J33" s="20">
        <v>2.25</v>
      </c>
    </row>
    <row r="34" spans="1:10" x14ac:dyDescent="0.3">
      <c r="A34" s="3" t="s">
        <v>140</v>
      </c>
      <c r="B34" s="24" t="s">
        <v>140</v>
      </c>
      <c r="C34" s="44" t="b">
        <f t="shared" si="4"/>
        <v>1</v>
      </c>
      <c r="D34" s="3" t="s">
        <v>135</v>
      </c>
      <c r="E34" s="18">
        <v>45731.618055555555</v>
      </c>
      <c r="F34" s="19">
        <v>10</v>
      </c>
      <c r="G34" s="19">
        <v>50</v>
      </c>
      <c r="H34" s="19">
        <v>0.38</v>
      </c>
      <c r="I34" s="22">
        <f t="shared" si="5"/>
        <v>1.9</v>
      </c>
      <c r="J34" s="20">
        <v>1.9</v>
      </c>
    </row>
    <row r="35" spans="1:10" x14ac:dyDescent="0.3">
      <c r="A35" s="3" t="s">
        <v>141</v>
      </c>
      <c r="B35" s="24" t="s">
        <v>141</v>
      </c>
      <c r="C35" s="44" t="b">
        <f t="shared" si="4"/>
        <v>1</v>
      </c>
      <c r="D35" s="3" t="s">
        <v>135</v>
      </c>
      <c r="E35" s="18">
        <v>45732.46875</v>
      </c>
      <c r="F35" s="19">
        <v>10</v>
      </c>
      <c r="G35" s="19">
        <v>50</v>
      </c>
      <c r="H35" s="19">
        <v>0.56000000000000005</v>
      </c>
      <c r="I35" s="22">
        <f t="shared" si="5"/>
        <v>2.8000000000000003</v>
      </c>
      <c r="J35" s="20">
        <v>2.8000000000000003</v>
      </c>
    </row>
    <row r="36" spans="1:10" x14ac:dyDescent="0.3">
      <c r="A36" s="3" t="s">
        <v>142</v>
      </c>
      <c r="B36" s="24" t="s">
        <v>142</v>
      </c>
      <c r="C36" s="44" t="b">
        <f t="shared" si="4"/>
        <v>1</v>
      </c>
      <c r="D36" s="3" t="s">
        <v>135</v>
      </c>
      <c r="E36" s="18">
        <v>45733.451388888891</v>
      </c>
      <c r="F36" s="19">
        <v>10</v>
      </c>
      <c r="G36" s="19">
        <v>50</v>
      </c>
      <c r="H36" s="19">
        <v>1.57</v>
      </c>
      <c r="I36" s="22">
        <f t="shared" si="5"/>
        <v>7.85</v>
      </c>
      <c r="J36" s="20">
        <v>7.85</v>
      </c>
    </row>
    <row r="37" spans="1:10" x14ac:dyDescent="0.3">
      <c r="A37" s="3" t="s">
        <v>143</v>
      </c>
      <c r="B37" s="24" t="s">
        <v>143</v>
      </c>
      <c r="C37" s="44" t="b">
        <f t="shared" si="4"/>
        <v>1</v>
      </c>
      <c r="D37" s="3" t="s">
        <v>135</v>
      </c>
      <c r="E37" s="18">
        <v>45733.645833333336</v>
      </c>
      <c r="F37" s="19">
        <v>10</v>
      </c>
      <c r="G37" s="19">
        <v>50</v>
      </c>
      <c r="H37" s="1">
        <f>1.26-0.3</f>
        <v>0.96</v>
      </c>
      <c r="I37" s="22">
        <f t="shared" si="5"/>
        <v>4.8</v>
      </c>
      <c r="J37" s="20">
        <v>4.8</v>
      </c>
    </row>
    <row r="38" spans="1:10" x14ac:dyDescent="0.3">
      <c r="A38" s="3" t="s">
        <v>144</v>
      </c>
      <c r="B38" s="24" t="s">
        <v>144</v>
      </c>
      <c r="C38" s="44" t="b">
        <f t="shared" si="4"/>
        <v>1</v>
      </c>
      <c r="D38" s="3" t="s">
        <v>135</v>
      </c>
      <c r="E38" s="18">
        <v>45734.430555555555</v>
      </c>
      <c r="F38" s="19">
        <v>10</v>
      </c>
      <c r="G38" s="19">
        <v>50</v>
      </c>
      <c r="H38" s="1">
        <f>1.71-0.3</f>
        <v>1.41</v>
      </c>
      <c r="I38" s="22">
        <f t="shared" si="5"/>
        <v>7.05</v>
      </c>
      <c r="J38" s="20">
        <v>7.05</v>
      </c>
    </row>
    <row r="39" spans="1:10" x14ac:dyDescent="0.3">
      <c r="A39" s="3" t="s">
        <v>145</v>
      </c>
      <c r="B39" s="24" t="s">
        <v>145</v>
      </c>
      <c r="C39" s="44" t="b">
        <f t="shared" si="4"/>
        <v>1</v>
      </c>
      <c r="D39" s="3" t="s">
        <v>135</v>
      </c>
      <c r="E39" s="18">
        <v>45734.631944444445</v>
      </c>
      <c r="F39" s="19">
        <v>10</v>
      </c>
      <c r="G39" s="19">
        <v>50</v>
      </c>
      <c r="H39" s="1">
        <f>1.38-0.3</f>
        <v>1.0799999999999998</v>
      </c>
      <c r="I39" s="22">
        <f t="shared" si="5"/>
        <v>5.3999999999999995</v>
      </c>
      <c r="J39" s="20">
        <v>5.3999999999999995</v>
      </c>
    </row>
    <row r="40" spans="1:10" x14ac:dyDescent="0.3">
      <c r="A40" s="3" t="s">
        <v>146</v>
      </c>
      <c r="B40" s="24" t="s">
        <v>146</v>
      </c>
      <c r="C40" s="44" t="b">
        <f t="shared" si="4"/>
        <v>1</v>
      </c>
      <c r="D40" s="3" t="s">
        <v>135</v>
      </c>
      <c r="E40" s="18">
        <v>45735.385416666664</v>
      </c>
      <c r="F40" s="19">
        <v>10</v>
      </c>
      <c r="G40" s="19">
        <v>50</v>
      </c>
      <c r="H40" s="1">
        <f>1.76-0.3</f>
        <v>1.46</v>
      </c>
      <c r="I40" s="22">
        <f t="shared" si="5"/>
        <v>7.3</v>
      </c>
      <c r="J40" s="20">
        <v>7.3</v>
      </c>
    </row>
    <row r="41" spans="1:10" x14ac:dyDescent="0.3">
      <c r="A41" s="3" t="s">
        <v>147</v>
      </c>
      <c r="B41" s="24" t="s">
        <v>147</v>
      </c>
      <c r="C41" s="44" t="b">
        <f t="shared" si="4"/>
        <v>1</v>
      </c>
      <c r="D41" s="3" t="s">
        <v>135</v>
      </c>
      <c r="E41" s="18">
        <v>45737.416666666664</v>
      </c>
      <c r="F41" s="19">
        <v>10</v>
      </c>
      <c r="G41" s="19">
        <v>50</v>
      </c>
      <c r="H41" s="1">
        <f>0.81-0.3</f>
        <v>0.51</v>
      </c>
      <c r="I41" s="22">
        <f t="shared" si="5"/>
        <v>2.5499999999999998</v>
      </c>
      <c r="J41" s="20">
        <v>2.5499999999999998</v>
      </c>
    </row>
    <row r="42" spans="1:10" x14ac:dyDescent="0.3">
      <c r="A42" s="24" t="s">
        <v>148</v>
      </c>
      <c r="B42" s="24" t="s">
        <v>148</v>
      </c>
      <c r="C42" s="44"/>
      <c r="D42" s="3"/>
      <c r="E42" s="18"/>
      <c r="F42" s="19"/>
      <c r="G42" s="19"/>
      <c r="H42" s="1"/>
      <c r="I42" s="22"/>
      <c r="J42" s="20"/>
    </row>
    <row r="43" spans="1:10" x14ac:dyDescent="0.3">
      <c r="A43" s="3" t="s">
        <v>150</v>
      </c>
      <c r="B43" s="24" t="s">
        <v>150</v>
      </c>
      <c r="C43" s="44" t="b">
        <f>EXACT(A43,B43)</f>
        <v>1</v>
      </c>
      <c r="D43" s="3" t="s">
        <v>149</v>
      </c>
      <c r="E43" s="18">
        <v>45730.445833333331</v>
      </c>
      <c r="F43" s="19">
        <v>10</v>
      </c>
      <c r="G43" s="19">
        <v>50</v>
      </c>
      <c r="H43" s="19">
        <v>0.13</v>
      </c>
      <c r="I43" s="22">
        <f t="shared" ref="I43:I51" si="6">(G43*H43)/F43</f>
        <v>0.65</v>
      </c>
      <c r="J43" s="20">
        <v>0.65</v>
      </c>
    </row>
    <row r="44" spans="1:10" x14ac:dyDescent="0.3">
      <c r="A44" s="3" t="s">
        <v>151</v>
      </c>
      <c r="B44" s="24" t="s">
        <v>151</v>
      </c>
      <c r="C44" s="44" t="b">
        <f t="shared" ref="C44:C52" si="7">EXACT(A44,B44)</f>
        <v>1</v>
      </c>
      <c r="D44" s="3" t="s">
        <v>149</v>
      </c>
      <c r="E44" s="18">
        <v>45731.458333333336</v>
      </c>
      <c r="F44" s="19">
        <v>10</v>
      </c>
      <c r="G44" s="19">
        <v>50</v>
      </c>
      <c r="H44" s="19">
        <v>0.57999999999999996</v>
      </c>
      <c r="I44" s="22">
        <f t="shared" si="6"/>
        <v>2.8999999999999995</v>
      </c>
      <c r="J44" s="20">
        <v>2.8999999999999995</v>
      </c>
    </row>
    <row r="45" spans="1:10" x14ac:dyDescent="0.3">
      <c r="A45" s="3" t="s">
        <v>152</v>
      </c>
      <c r="B45" s="24" t="s">
        <v>152</v>
      </c>
      <c r="C45" s="44" t="b">
        <f t="shared" si="7"/>
        <v>1</v>
      </c>
      <c r="D45" s="3" t="s">
        <v>149</v>
      </c>
      <c r="E45" s="18">
        <v>45731.618055555555</v>
      </c>
      <c r="F45" s="19">
        <v>10</v>
      </c>
      <c r="G45" s="19">
        <v>50</v>
      </c>
      <c r="H45" s="19">
        <v>0.7</v>
      </c>
      <c r="I45" s="22">
        <f t="shared" si="6"/>
        <v>3.5</v>
      </c>
      <c r="J45" s="20">
        <v>3.5</v>
      </c>
    </row>
    <row r="46" spans="1:10" x14ac:dyDescent="0.3">
      <c r="A46" s="3" t="s">
        <v>153</v>
      </c>
      <c r="B46" s="24" t="s">
        <v>153</v>
      </c>
      <c r="C46" s="44" t="b">
        <f t="shared" si="7"/>
        <v>1</v>
      </c>
      <c r="D46" s="3" t="s">
        <v>149</v>
      </c>
      <c r="E46" s="18">
        <v>45732.46875</v>
      </c>
      <c r="F46" s="19">
        <v>10</v>
      </c>
      <c r="G46" s="19">
        <v>50</v>
      </c>
      <c r="H46" s="19">
        <v>1.53</v>
      </c>
      <c r="I46" s="22">
        <f t="shared" si="6"/>
        <v>7.65</v>
      </c>
      <c r="J46" s="20">
        <v>7.65</v>
      </c>
    </row>
    <row r="47" spans="1:10" x14ac:dyDescent="0.3">
      <c r="A47" s="3" t="s">
        <v>154</v>
      </c>
      <c r="B47" s="24" t="s">
        <v>154</v>
      </c>
      <c r="C47" s="44" t="b">
        <f t="shared" si="7"/>
        <v>1</v>
      </c>
      <c r="D47" s="3" t="s">
        <v>149</v>
      </c>
      <c r="E47" s="18">
        <v>45733.451388888891</v>
      </c>
      <c r="F47" s="19">
        <v>10</v>
      </c>
      <c r="G47" s="19">
        <v>50</v>
      </c>
      <c r="H47" s="19">
        <v>1.87</v>
      </c>
      <c r="I47" s="22">
        <f t="shared" si="6"/>
        <v>9.35</v>
      </c>
      <c r="J47" s="20">
        <v>9.35</v>
      </c>
    </row>
    <row r="48" spans="1:10" x14ac:dyDescent="0.3">
      <c r="A48" s="3" t="s">
        <v>155</v>
      </c>
      <c r="B48" s="24" t="s">
        <v>155</v>
      </c>
      <c r="C48" s="44" t="b">
        <f t="shared" si="7"/>
        <v>1</v>
      </c>
      <c r="D48" s="3" t="s">
        <v>149</v>
      </c>
      <c r="E48" s="18">
        <v>45733.645833333336</v>
      </c>
      <c r="F48" s="19">
        <v>10</v>
      </c>
      <c r="G48" s="19">
        <v>50</v>
      </c>
      <c r="H48" s="1">
        <v>1.01</v>
      </c>
      <c r="I48" s="22">
        <f t="shared" si="6"/>
        <v>5.05</v>
      </c>
      <c r="J48" s="20">
        <v>5.05</v>
      </c>
    </row>
    <row r="49" spans="1:10" x14ac:dyDescent="0.3">
      <c r="A49" s="3" t="s">
        <v>157</v>
      </c>
      <c r="B49" s="24" t="s">
        <v>157</v>
      </c>
      <c r="C49" s="44" t="b">
        <f t="shared" si="7"/>
        <v>1</v>
      </c>
      <c r="D49" s="3" t="s">
        <v>149</v>
      </c>
      <c r="E49" s="18">
        <v>45734.430555555555</v>
      </c>
      <c r="F49" s="19">
        <v>10</v>
      </c>
      <c r="G49" s="19">
        <v>50</v>
      </c>
      <c r="H49" s="1">
        <f>1.6-0.3</f>
        <v>1.3</v>
      </c>
      <c r="I49" s="22">
        <f t="shared" si="6"/>
        <v>6.5</v>
      </c>
      <c r="J49" s="20">
        <v>6.5</v>
      </c>
    </row>
    <row r="50" spans="1:10" x14ac:dyDescent="0.3">
      <c r="A50" s="3" t="s">
        <v>158</v>
      </c>
      <c r="B50" s="24" t="s">
        <v>158</v>
      </c>
      <c r="C50" s="44" t="b">
        <f t="shared" si="7"/>
        <v>1</v>
      </c>
      <c r="D50" s="3" t="s">
        <v>149</v>
      </c>
      <c r="E50" s="18">
        <v>45734.631944444445</v>
      </c>
      <c r="F50" s="19">
        <v>10</v>
      </c>
      <c r="G50" s="19">
        <v>50</v>
      </c>
      <c r="H50" s="1">
        <f>1.99-0.3</f>
        <v>1.69</v>
      </c>
      <c r="I50" s="22">
        <f t="shared" si="6"/>
        <v>8.4499999999999993</v>
      </c>
      <c r="J50" s="20">
        <v>8.4499999999999993</v>
      </c>
    </row>
    <row r="51" spans="1:10" x14ac:dyDescent="0.3">
      <c r="A51" s="3" t="s">
        <v>159</v>
      </c>
      <c r="B51" s="24" t="s">
        <v>159</v>
      </c>
      <c r="C51" s="44" t="b">
        <f t="shared" si="7"/>
        <v>1</v>
      </c>
      <c r="D51" s="3" t="s">
        <v>149</v>
      </c>
      <c r="E51" s="18">
        <v>45735.385416666664</v>
      </c>
      <c r="F51" s="19">
        <v>10</v>
      </c>
      <c r="G51" s="19">
        <v>50</v>
      </c>
      <c r="H51" s="1">
        <f>1.93-0.3</f>
        <v>1.63</v>
      </c>
      <c r="I51" s="22">
        <f t="shared" si="6"/>
        <v>8.15</v>
      </c>
      <c r="J51" s="20">
        <v>8.15</v>
      </c>
    </row>
    <row r="52" spans="1:10" x14ac:dyDescent="0.3">
      <c r="A52" s="3" t="s">
        <v>160</v>
      </c>
      <c r="B52" s="24" t="s">
        <v>160</v>
      </c>
      <c r="C52" s="44" t="b">
        <f t="shared" si="7"/>
        <v>1</v>
      </c>
      <c r="D52" s="3" t="s">
        <v>149</v>
      </c>
      <c r="E52" s="18">
        <v>45735.618055555555</v>
      </c>
      <c r="F52" s="19">
        <v>10</v>
      </c>
      <c r="G52" s="19">
        <v>50</v>
      </c>
      <c r="H52" s="1">
        <f>0.87-0.3</f>
        <v>0.57000000000000006</v>
      </c>
      <c r="I52" s="22">
        <f>(G50*H52)/F50</f>
        <v>2.8500000000000005</v>
      </c>
      <c r="J52" s="20">
        <v>2.8500000000000005</v>
      </c>
    </row>
    <row r="53" spans="1:10" x14ac:dyDescent="0.3">
      <c r="A53" s="24" t="s">
        <v>161</v>
      </c>
      <c r="B53" s="24" t="s">
        <v>161</v>
      </c>
      <c r="C53" s="44"/>
      <c r="D53" s="3"/>
      <c r="E53" s="18"/>
      <c r="F53" s="19"/>
      <c r="G53" s="19"/>
      <c r="H53" s="1"/>
      <c r="I53" s="22"/>
      <c r="J53" s="20"/>
    </row>
    <row r="54" spans="1:10" x14ac:dyDescent="0.3">
      <c r="A54" s="3" t="s">
        <v>163</v>
      </c>
      <c r="B54" s="24" t="s">
        <v>163</v>
      </c>
      <c r="C54" s="44" t="b">
        <f>EXACT(A54,B54)</f>
        <v>1</v>
      </c>
      <c r="D54" s="3" t="s">
        <v>162</v>
      </c>
      <c r="E54" s="18">
        <v>45730.445833333331</v>
      </c>
      <c r="F54" s="19">
        <v>10</v>
      </c>
      <c r="G54" s="19">
        <v>50</v>
      </c>
      <c r="H54" s="19">
        <v>0.28000000000000003</v>
      </c>
      <c r="I54" s="22">
        <f>(G54*H54)/F54</f>
        <v>1.4000000000000001</v>
      </c>
      <c r="J54" s="20">
        <v>1.4000000000000001</v>
      </c>
    </row>
    <row r="55" spans="1:10" x14ac:dyDescent="0.3">
      <c r="A55" s="3" t="s">
        <v>164</v>
      </c>
      <c r="B55" s="24" t="s">
        <v>164</v>
      </c>
      <c r="C55" s="44" t="b">
        <f t="shared" ref="C55:C117" si="8">EXACT(A55,B55)</f>
        <v>1</v>
      </c>
      <c r="D55" s="3" t="s">
        <v>162</v>
      </c>
      <c r="E55" s="18">
        <v>45736.416666666664</v>
      </c>
      <c r="F55" s="19">
        <v>10</v>
      </c>
      <c r="G55" s="19">
        <v>50</v>
      </c>
      <c r="H55" s="1">
        <f>1.37-0.3</f>
        <v>1.07</v>
      </c>
      <c r="I55" s="22">
        <f>(G51*H55)/F51</f>
        <v>5.35</v>
      </c>
      <c r="J55" s="20">
        <v>5.35</v>
      </c>
    </row>
    <row r="56" spans="1:10" x14ac:dyDescent="0.3">
      <c r="A56" s="3" t="s">
        <v>165</v>
      </c>
      <c r="B56" s="24" t="s">
        <v>165</v>
      </c>
      <c r="C56" s="44" t="b">
        <f t="shared" si="8"/>
        <v>1</v>
      </c>
      <c r="D56" s="3" t="s">
        <v>162</v>
      </c>
      <c r="E56" s="18">
        <v>45736.416666666664</v>
      </c>
      <c r="F56" s="19">
        <v>10</v>
      </c>
      <c r="G56" s="19">
        <v>50</v>
      </c>
      <c r="H56" s="1">
        <f>1.59-0.3</f>
        <v>1.29</v>
      </c>
      <c r="I56" s="22">
        <f>(G55*H56)/F55</f>
        <v>6.45</v>
      </c>
      <c r="J56" s="20">
        <v>6.45</v>
      </c>
    </row>
    <row r="57" spans="1:10" x14ac:dyDescent="0.3">
      <c r="A57" s="3" t="s">
        <v>166</v>
      </c>
      <c r="B57" s="24" t="s">
        <v>166</v>
      </c>
      <c r="C57" s="44" t="b">
        <f t="shared" si="8"/>
        <v>1</v>
      </c>
      <c r="D57" s="3" t="s">
        <v>162</v>
      </c>
      <c r="E57" s="18">
        <v>45731.458333333336</v>
      </c>
      <c r="F57" s="19">
        <v>10</v>
      </c>
      <c r="G57" s="19">
        <v>50</v>
      </c>
      <c r="H57" s="19">
        <v>0.47</v>
      </c>
      <c r="I57" s="22">
        <f t="shared" ref="I57:I65" si="9">(G57*H57)/F57</f>
        <v>2.35</v>
      </c>
      <c r="J57" s="20">
        <v>2.35</v>
      </c>
    </row>
    <row r="58" spans="1:10" x14ac:dyDescent="0.3">
      <c r="A58" s="3" t="s">
        <v>167</v>
      </c>
      <c r="B58" s="24" t="s">
        <v>167</v>
      </c>
      <c r="C58" s="44" t="b">
        <f t="shared" si="8"/>
        <v>1</v>
      </c>
      <c r="D58" s="3" t="s">
        <v>162</v>
      </c>
      <c r="E58" s="18">
        <v>45731.618055555555</v>
      </c>
      <c r="F58" s="19">
        <v>10</v>
      </c>
      <c r="G58" s="19">
        <v>50</v>
      </c>
      <c r="H58" s="19">
        <v>0.5</v>
      </c>
      <c r="I58" s="22">
        <f t="shared" si="9"/>
        <v>2.5</v>
      </c>
      <c r="J58" s="20">
        <v>2.5</v>
      </c>
    </row>
    <row r="59" spans="1:10" x14ac:dyDescent="0.3">
      <c r="A59" s="3" t="s">
        <v>168</v>
      </c>
      <c r="B59" s="24" t="s">
        <v>168</v>
      </c>
      <c r="C59" s="44" t="b">
        <f t="shared" si="8"/>
        <v>1</v>
      </c>
      <c r="D59" s="3" t="s">
        <v>162</v>
      </c>
      <c r="E59" s="18">
        <v>45732.46875</v>
      </c>
      <c r="F59" s="19">
        <v>10</v>
      </c>
      <c r="G59" s="19">
        <v>50</v>
      </c>
      <c r="H59" s="19">
        <v>1.05</v>
      </c>
      <c r="I59" s="22">
        <f t="shared" si="9"/>
        <v>5.25</v>
      </c>
      <c r="J59" s="20">
        <v>5.25</v>
      </c>
    </row>
    <row r="60" spans="1:10" x14ac:dyDescent="0.3">
      <c r="A60" s="3" t="s">
        <v>170</v>
      </c>
      <c r="B60" s="24" t="s">
        <v>170</v>
      </c>
      <c r="C60" s="44" t="b">
        <f t="shared" si="8"/>
        <v>1</v>
      </c>
      <c r="D60" s="3" t="s">
        <v>162</v>
      </c>
      <c r="E60" s="18">
        <v>45733.451388888891</v>
      </c>
      <c r="F60" s="19">
        <v>10</v>
      </c>
      <c r="G60" s="19">
        <v>50</v>
      </c>
      <c r="H60" s="19">
        <v>1.48</v>
      </c>
      <c r="I60" s="22">
        <f t="shared" si="9"/>
        <v>7.4</v>
      </c>
      <c r="J60" s="20">
        <v>7.4</v>
      </c>
    </row>
    <row r="61" spans="1:10" x14ac:dyDescent="0.3">
      <c r="A61" s="3" t="s">
        <v>171</v>
      </c>
      <c r="B61" s="24" t="s">
        <v>171</v>
      </c>
      <c r="C61" s="44" t="b">
        <f t="shared" si="8"/>
        <v>1</v>
      </c>
      <c r="D61" s="3" t="s">
        <v>162</v>
      </c>
      <c r="E61" s="18">
        <v>45733.645833333336</v>
      </c>
      <c r="F61" s="19">
        <v>10</v>
      </c>
      <c r="G61" s="19">
        <v>50</v>
      </c>
      <c r="H61" s="1">
        <f>0.98-0.3</f>
        <v>0.67999999999999994</v>
      </c>
      <c r="I61" s="22">
        <f t="shared" si="9"/>
        <v>3.4</v>
      </c>
      <c r="J61" s="20">
        <v>3.4</v>
      </c>
    </row>
    <row r="62" spans="1:10" x14ac:dyDescent="0.3">
      <c r="A62" s="3" t="s">
        <v>173</v>
      </c>
      <c r="B62" s="24" t="s">
        <v>173</v>
      </c>
      <c r="C62" s="44" t="b">
        <f t="shared" si="8"/>
        <v>1</v>
      </c>
      <c r="D62" s="3" t="s">
        <v>162</v>
      </c>
      <c r="E62" s="18">
        <v>45734.430555555555</v>
      </c>
      <c r="F62" s="19">
        <v>10</v>
      </c>
      <c r="G62" s="19">
        <v>50</v>
      </c>
      <c r="H62" s="1">
        <f>1.18-0.3</f>
        <v>0.87999999999999989</v>
      </c>
      <c r="I62" s="22">
        <f t="shared" si="9"/>
        <v>4.3999999999999995</v>
      </c>
      <c r="J62" s="20">
        <v>4.3999999999999995</v>
      </c>
    </row>
    <row r="63" spans="1:10" x14ac:dyDescent="0.3">
      <c r="A63" s="3" t="s">
        <v>174</v>
      </c>
      <c r="B63" s="24" t="s">
        <v>174</v>
      </c>
      <c r="C63" s="44" t="b">
        <f t="shared" si="8"/>
        <v>1</v>
      </c>
      <c r="D63" s="3" t="s">
        <v>162</v>
      </c>
      <c r="E63" s="18">
        <v>45734.631944444445</v>
      </c>
      <c r="F63" s="19">
        <v>10</v>
      </c>
      <c r="G63" s="19">
        <v>50</v>
      </c>
      <c r="H63" s="1">
        <f>1.46-0.3</f>
        <v>1.1599999999999999</v>
      </c>
      <c r="I63" s="22">
        <f t="shared" si="9"/>
        <v>5.7999999999999989</v>
      </c>
      <c r="J63" s="20">
        <v>5.7999999999999989</v>
      </c>
    </row>
    <row r="64" spans="1:10" x14ac:dyDescent="0.3">
      <c r="A64" s="3" t="s">
        <v>175</v>
      </c>
      <c r="B64" s="24" t="s">
        <v>175</v>
      </c>
      <c r="C64" s="44" t="b">
        <f t="shared" si="8"/>
        <v>1</v>
      </c>
      <c r="D64" s="3" t="s">
        <v>162</v>
      </c>
      <c r="E64" s="18">
        <v>45735.385416666664</v>
      </c>
      <c r="F64" s="19">
        <v>10</v>
      </c>
      <c r="G64" s="19">
        <v>50</v>
      </c>
      <c r="H64" s="1">
        <f>1.74-0.3</f>
        <v>1.44</v>
      </c>
      <c r="I64" s="22">
        <f t="shared" si="9"/>
        <v>7.2</v>
      </c>
      <c r="J64" s="20">
        <v>7.2</v>
      </c>
    </row>
    <row r="65" spans="1:10" x14ac:dyDescent="0.3">
      <c r="A65" s="3" t="s">
        <v>176</v>
      </c>
      <c r="B65" s="24" t="s">
        <v>176</v>
      </c>
      <c r="C65" s="44" t="b">
        <f t="shared" si="8"/>
        <v>1</v>
      </c>
      <c r="D65" s="3" t="s">
        <v>162</v>
      </c>
      <c r="E65" s="18">
        <v>45737.416666666664</v>
      </c>
      <c r="F65" s="19">
        <v>10</v>
      </c>
      <c r="G65" s="19">
        <v>50</v>
      </c>
      <c r="H65" s="1">
        <f>1.47-0.3</f>
        <v>1.17</v>
      </c>
      <c r="I65" s="22">
        <f t="shared" si="9"/>
        <v>5.85</v>
      </c>
      <c r="J65" s="20">
        <v>5.85</v>
      </c>
    </row>
    <row r="66" spans="1:10" x14ac:dyDescent="0.3">
      <c r="A66" s="3" t="s">
        <v>177</v>
      </c>
      <c r="B66" s="24" t="s">
        <v>177</v>
      </c>
      <c r="C66" s="44" t="b">
        <f t="shared" si="8"/>
        <v>1</v>
      </c>
      <c r="D66" s="3" t="s">
        <v>178</v>
      </c>
      <c r="E66" s="18">
        <v>45742.375</v>
      </c>
      <c r="F66" s="19">
        <v>10</v>
      </c>
      <c r="G66" s="19">
        <v>50</v>
      </c>
      <c r="J66" s="19">
        <v>0</v>
      </c>
    </row>
    <row r="67" spans="1:10" x14ac:dyDescent="0.3">
      <c r="A67" s="3" t="s">
        <v>179</v>
      </c>
      <c r="B67" s="24" t="s">
        <v>179</v>
      </c>
      <c r="C67" s="44" t="b">
        <f t="shared" si="8"/>
        <v>1</v>
      </c>
      <c r="D67" s="3" t="s">
        <v>178</v>
      </c>
      <c r="E67" s="18">
        <v>45742.375</v>
      </c>
      <c r="F67" s="19">
        <v>10</v>
      </c>
      <c r="G67" s="19">
        <v>50</v>
      </c>
      <c r="H67" s="1">
        <f>0.54-0.3</f>
        <v>0.24000000000000005</v>
      </c>
      <c r="I67" s="22" t="e">
        <f>(#REF!*H67)/#REF!</f>
        <v>#REF!</v>
      </c>
      <c r="J67" s="20">
        <v>1.2000000000000002</v>
      </c>
    </row>
    <row r="68" spans="1:10" x14ac:dyDescent="0.3">
      <c r="A68" s="3" t="s">
        <v>181</v>
      </c>
      <c r="B68" s="24" t="s">
        <v>181</v>
      </c>
      <c r="C68" s="44" t="b">
        <f t="shared" si="8"/>
        <v>1</v>
      </c>
      <c r="D68" s="3" t="s">
        <v>178</v>
      </c>
      <c r="E68" s="18">
        <v>45747.395833333336</v>
      </c>
      <c r="F68" s="19">
        <v>10</v>
      </c>
      <c r="G68" s="19">
        <v>50</v>
      </c>
      <c r="H68" s="1">
        <f>1.44-0.3</f>
        <v>1.1399999999999999</v>
      </c>
      <c r="I68" s="22">
        <f t="shared" ref="I68:I80" si="10">(G68*H68)/F68</f>
        <v>5.6999999999999993</v>
      </c>
      <c r="J68" s="20">
        <v>5.6999999999999993</v>
      </c>
    </row>
    <row r="69" spans="1:10" x14ac:dyDescent="0.3">
      <c r="A69" s="3" t="s">
        <v>182</v>
      </c>
      <c r="B69" s="24" t="s">
        <v>182</v>
      </c>
      <c r="C69" s="44" t="b">
        <f t="shared" si="8"/>
        <v>1</v>
      </c>
      <c r="D69" s="3" t="s">
        <v>178</v>
      </c>
      <c r="E69" s="18">
        <v>45747.680555555555</v>
      </c>
      <c r="F69" s="19">
        <v>10</v>
      </c>
      <c r="G69" s="19">
        <v>50</v>
      </c>
      <c r="H69" s="1">
        <f>1.59-0.3</f>
        <v>1.29</v>
      </c>
      <c r="I69" s="22">
        <f t="shared" si="10"/>
        <v>6.45</v>
      </c>
      <c r="J69" s="20">
        <v>6.45</v>
      </c>
    </row>
    <row r="70" spans="1:10" x14ac:dyDescent="0.3">
      <c r="A70" s="3" t="s">
        <v>183</v>
      </c>
      <c r="B70" s="24" t="s">
        <v>183</v>
      </c>
      <c r="C70" s="44" t="b">
        <f t="shared" si="8"/>
        <v>1</v>
      </c>
      <c r="D70" s="3" t="s">
        <v>178</v>
      </c>
      <c r="E70" s="18">
        <v>45747.680555555555</v>
      </c>
      <c r="F70" s="19">
        <v>10</v>
      </c>
      <c r="G70" s="19">
        <v>50</v>
      </c>
      <c r="H70" s="1">
        <f>1.59-0.3</f>
        <v>1.29</v>
      </c>
      <c r="I70" s="22">
        <f t="shared" si="10"/>
        <v>6.45</v>
      </c>
      <c r="J70" s="20">
        <v>6.45</v>
      </c>
    </row>
    <row r="71" spans="1:10" x14ac:dyDescent="0.3">
      <c r="A71" s="3" t="s">
        <v>184</v>
      </c>
      <c r="B71" s="24" t="s">
        <v>184</v>
      </c>
      <c r="C71" s="44" t="b">
        <f t="shared" si="8"/>
        <v>1</v>
      </c>
      <c r="D71" s="3" t="s">
        <v>178</v>
      </c>
      <c r="E71" s="18">
        <v>45748.375</v>
      </c>
      <c r="F71" s="19">
        <v>10</v>
      </c>
      <c r="G71" s="19">
        <v>50</v>
      </c>
      <c r="H71" s="1">
        <f>2-0.3</f>
        <v>1.7</v>
      </c>
      <c r="I71" s="22">
        <f t="shared" si="10"/>
        <v>8.5</v>
      </c>
      <c r="J71" s="20">
        <v>8.5</v>
      </c>
    </row>
    <row r="72" spans="1:10" x14ac:dyDescent="0.3">
      <c r="A72" s="3" t="s">
        <v>185</v>
      </c>
      <c r="B72" s="24" t="s">
        <v>185</v>
      </c>
      <c r="C72" s="44" t="b">
        <f t="shared" si="8"/>
        <v>1</v>
      </c>
      <c r="D72" s="3" t="s">
        <v>178</v>
      </c>
      <c r="E72" s="18">
        <v>45748.625</v>
      </c>
      <c r="F72" s="19">
        <v>10</v>
      </c>
      <c r="G72" s="19">
        <v>50</v>
      </c>
      <c r="H72" s="1">
        <f>2.24-0.3</f>
        <v>1.9400000000000002</v>
      </c>
      <c r="I72" s="22">
        <f t="shared" si="10"/>
        <v>9.7000000000000011</v>
      </c>
      <c r="J72" s="20">
        <v>9.7000000000000011</v>
      </c>
    </row>
    <row r="73" spans="1:10" x14ac:dyDescent="0.3">
      <c r="A73" s="3" t="s">
        <v>186</v>
      </c>
      <c r="B73" s="24" t="s">
        <v>186</v>
      </c>
      <c r="C73" s="44" t="b">
        <f t="shared" si="8"/>
        <v>1</v>
      </c>
      <c r="D73" s="3" t="s">
        <v>178</v>
      </c>
      <c r="E73" s="18">
        <v>45749.395833333336</v>
      </c>
      <c r="F73" s="19">
        <v>10</v>
      </c>
      <c r="G73" s="19">
        <v>50</v>
      </c>
      <c r="H73" s="1">
        <f>2.24-0.3</f>
        <v>1.9400000000000002</v>
      </c>
      <c r="I73" s="22">
        <f t="shared" si="10"/>
        <v>9.7000000000000011</v>
      </c>
      <c r="J73" s="20">
        <v>9.7000000000000011</v>
      </c>
    </row>
    <row r="74" spans="1:10" x14ac:dyDescent="0.3">
      <c r="A74" s="3" t="s">
        <v>187</v>
      </c>
      <c r="B74" s="24" t="s">
        <v>187</v>
      </c>
      <c r="C74" s="44" t="b">
        <f t="shared" si="8"/>
        <v>1</v>
      </c>
      <c r="D74" s="3" t="s">
        <v>178</v>
      </c>
      <c r="E74" s="18">
        <v>45749.666666666664</v>
      </c>
      <c r="F74" s="19">
        <v>10</v>
      </c>
      <c r="G74" s="19">
        <v>50</v>
      </c>
      <c r="H74" s="1">
        <f>2.26-0.3</f>
        <v>1.9599999999999997</v>
      </c>
      <c r="I74" s="22">
        <f t="shared" si="10"/>
        <v>9.7999999999999989</v>
      </c>
      <c r="J74" s="20">
        <v>9.7999999999999989</v>
      </c>
    </row>
    <row r="75" spans="1:10" x14ac:dyDescent="0.3">
      <c r="A75" s="3" t="s">
        <v>188</v>
      </c>
      <c r="B75" s="24" t="s">
        <v>188</v>
      </c>
      <c r="C75" s="44" t="b">
        <f t="shared" si="8"/>
        <v>1</v>
      </c>
      <c r="D75" s="3" t="s">
        <v>178</v>
      </c>
      <c r="E75" s="18">
        <v>45750.416666666664</v>
      </c>
      <c r="F75" s="19">
        <v>10</v>
      </c>
      <c r="G75" s="19">
        <v>50</v>
      </c>
      <c r="H75" s="1">
        <f>1.43-0.3</f>
        <v>1.1299999999999999</v>
      </c>
      <c r="I75" s="22">
        <f t="shared" si="10"/>
        <v>5.6499999999999995</v>
      </c>
      <c r="J75" s="20">
        <v>5.6499999999999995</v>
      </c>
    </row>
    <row r="76" spans="1:10" x14ac:dyDescent="0.3">
      <c r="A76" s="3" t="s">
        <v>189</v>
      </c>
      <c r="B76" s="24" t="s">
        <v>189</v>
      </c>
      <c r="C76" s="44" t="b">
        <f t="shared" si="8"/>
        <v>1</v>
      </c>
      <c r="D76" s="3" t="s">
        <v>178</v>
      </c>
      <c r="E76" s="18">
        <v>45750.625</v>
      </c>
      <c r="F76" s="19">
        <v>10</v>
      </c>
      <c r="G76" s="19">
        <v>50</v>
      </c>
      <c r="H76" s="1">
        <f>1.18-0.3</f>
        <v>0.87999999999999989</v>
      </c>
      <c r="I76" s="22">
        <f t="shared" si="10"/>
        <v>4.3999999999999995</v>
      </c>
      <c r="J76" s="20">
        <v>4.3999999999999995</v>
      </c>
    </row>
    <row r="77" spans="1:10" x14ac:dyDescent="0.3">
      <c r="A77" s="3" t="s">
        <v>190</v>
      </c>
      <c r="B77" s="24" t="s">
        <v>190</v>
      </c>
      <c r="C77" s="44" t="b">
        <f t="shared" si="8"/>
        <v>1</v>
      </c>
      <c r="D77" s="3" t="s">
        <v>178</v>
      </c>
      <c r="E77" s="18">
        <v>45742.625</v>
      </c>
      <c r="F77" s="19">
        <v>10</v>
      </c>
      <c r="G77" s="19">
        <v>50</v>
      </c>
      <c r="H77" s="1">
        <f>1.04-0.3</f>
        <v>0.74</v>
      </c>
      <c r="I77" s="22">
        <f t="shared" si="10"/>
        <v>3.7</v>
      </c>
      <c r="J77" s="20">
        <v>3.7</v>
      </c>
    </row>
    <row r="78" spans="1:10" x14ac:dyDescent="0.3">
      <c r="A78" s="3" t="s">
        <v>191</v>
      </c>
      <c r="B78" s="24" t="s">
        <v>191</v>
      </c>
      <c r="C78" s="44" t="b">
        <f t="shared" si="8"/>
        <v>1</v>
      </c>
      <c r="D78" s="3" t="s">
        <v>178</v>
      </c>
      <c r="E78" s="18">
        <v>45743.604166666664</v>
      </c>
      <c r="F78" s="19">
        <v>10</v>
      </c>
      <c r="G78" s="19">
        <v>50</v>
      </c>
      <c r="H78" s="1">
        <f>0.57-0.3</f>
        <v>0.26999999999999996</v>
      </c>
      <c r="I78" s="22">
        <f t="shared" si="10"/>
        <v>1.3499999999999999</v>
      </c>
      <c r="J78" s="20">
        <v>1.3499999999999999</v>
      </c>
    </row>
    <row r="79" spans="1:10" x14ac:dyDescent="0.3">
      <c r="A79" s="3" t="s">
        <v>192</v>
      </c>
      <c r="B79" s="24" t="s">
        <v>192</v>
      </c>
      <c r="C79" s="44" t="b">
        <f t="shared" si="8"/>
        <v>1</v>
      </c>
      <c r="D79" s="3" t="s">
        <v>178</v>
      </c>
      <c r="E79" s="18">
        <v>45743.416666666664</v>
      </c>
      <c r="F79" s="19">
        <v>10</v>
      </c>
      <c r="G79" s="19">
        <v>50</v>
      </c>
      <c r="H79" s="1">
        <f>0.69-0.3</f>
        <v>0.38999999999999996</v>
      </c>
      <c r="I79" s="22">
        <f t="shared" si="10"/>
        <v>1.9499999999999997</v>
      </c>
      <c r="J79" s="20">
        <v>1.9499999999999997</v>
      </c>
    </row>
    <row r="80" spans="1:10" x14ac:dyDescent="0.3">
      <c r="A80" s="3" t="s">
        <v>193</v>
      </c>
      <c r="B80" s="24" t="s">
        <v>193</v>
      </c>
      <c r="C80" s="44" t="b">
        <f t="shared" si="8"/>
        <v>1</v>
      </c>
      <c r="D80" s="3" t="s">
        <v>178</v>
      </c>
      <c r="E80" s="18">
        <v>45743.604166666664</v>
      </c>
      <c r="F80" s="19">
        <v>10</v>
      </c>
      <c r="G80" s="19">
        <v>50</v>
      </c>
      <c r="H80" s="1">
        <f>0.6-0.3</f>
        <v>0.3</v>
      </c>
      <c r="I80" s="22">
        <f t="shared" si="10"/>
        <v>1.5</v>
      </c>
      <c r="J80" s="20">
        <v>1.5</v>
      </c>
    </row>
    <row r="81" spans="1:10" x14ac:dyDescent="0.3">
      <c r="A81" s="3" t="s">
        <v>194</v>
      </c>
      <c r="B81" s="24" t="s">
        <v>194</v>
      </c>
      <c r="C81" s="44" t="b">
        <f t="shared" si="8"/>
        <v>1</v>
      </c>
      <c r="D81" s="3" t="s">
        <v>178</v>
      </c>
      <c r="E81" s="18">
        <v>45744.416666666664</v>
      </c>
      <c r="F81" s="19">
        <v>10</v>
      </c>
      <c r="G81" s="19">
        <v>50</v>
      </c>
      <c r="H81" s="1">
        <f>0.63-0.3</f>
        <v>0.33</v>
      </c>
      <c r="I81" s="22">
        <f>(G82*H81)/F82</f>
        <v>1.65</v>
      </c>
      <c r="J81" s="20">
        <v>1.65</v>
      </c>
    </row>
    <row r="82" spans="1:10" x14ac:dyDescent="0.3">
      <c r="A82" s="3" t="s">
        <v>195</v>
      </c>
      <c r="B82" s="24" t="s">
        <v>195</v>
      </c>
      <c r="C82" s="44" t="b">
        <f t="shared" si="8"/>
        <v>1</v>
      </c>
      <c r="D82" s="3" t="s">
        <v>178</v>
      </c>
      <c r="E82" s="18">
        <v>45744.416666666664</v>
      </c>
      <c r="F82" s="19">
        <v>10</v>
      </c>
      <c r="G82" s="19">
        <v>50</v>
      </c>
      <c r="H82" s="1">
        <f>1.08-0.3</f>
        <v>0.78</v>
      </c>
      <c r="I82" s="22">
        <f>(G82*H82)/F82</f>
        <v>3.9</v>
      </c>
      <c r="J82" s="20">
        <v>3.9</v>
      </c>
    </row>
    <row r="83" spans="1:10" x14ac:dyDescent="0.3">
      <c r="A83" s="3" t="s">
        <v>196</v>
      </c>
      <c r="B83" s="24" t="s">
        <v>196</v>
      </c>
      <c r="C83" s="44" t="b">
        <f t="shared" si="8"/>
        <v>1</v>
      </c>
      <c r="D83" s="3" t="s">
        <v>178</v>
      </c>
      <c r="E83" s="18">
        <v>45744.625</v>
      </c>
      <c r="F83" s="19">
        <v>10</v>
      </c>
      <c r="G83" s="19">
        <v>50</v>
      </c>
      <c r="H83" s="1">
        <f>0.64-0.3</f>
        <v>0.34</v>
      </c>
      <c r="I83" s="22">
        <f>(G83*H83)/F83</f>
        <v>1.7</v>
      </c>
      <c r="J83" s="20">
        <v>1.7</v>
      </c>
    </row>
    <row r="84" spans="1:10" x14ac:dyDescent="0.3">
      <c r="A84" s="3" t="s">
        <v>197</v>
      </c>
      <c r="B84" s="24" t="s">
        <v>197</v>
      </c>
      <c r="C84" s="44" t="b">
        <f t="shared" si="8"/>
        <v>1</v>
      </c>
      <c r="D84" s="3" t="s">
        <v>178</v>
      </c>
      <c r="E84" s="18">
        <v>45745.5</v>
      </c>
      <c r="F84" s="19">
        <v>10</v>
      </c>
      <c r="G84" s="19">
        <v>50</v>
      </c>
      <c r="H84" s="1">
        <f>0.79-0.3</f>
        <v>0.49000000000000005</v>
      </c>
      <c r="I84" s="22">
        <f>(G84*H84)/F84</f>
        <v>2.4500000000000002</v>
      </c>
      <c r="J84" s="20">
        <v>2.4500000000000002</v>
      </c>
    </row>
    <row r="85" spans="1:10" x14ac:dyDescent="0.3">
      <c r="A85" s="3" t="s">
        <v>198</v>
      </c>
      <c r="B85" s="24" t="s">
        <v>198</v>
      </c>
      <c r="C85" s="44" t="b">
        <f t="shared" si="8"/>
        <v>1</v>
      </c>
      <c r="D85" s="3" t="s">
        <v>178</v>
      </c>
      <c r="E85" s="18">
        <v>45751.375</v>
      </c>
      <c r="F85" s="19">
        <v>10</v>
      </c>
      <c r="G85" s="19">
        <v>50</v>
      </c>
      <c r="H85" s="1">
        <f>2.57-0.3</f>
        <v>2.27</v>
      </c>
      <c r="I85" s="22">
        <f>(G85*H85)/F85</f>
        <v>11.35</v>
      </c>
      <c r="J85" s="20">
        <v>11.35</v>
      </c>
    </row>
    <row r="86" spans="1:10" x14ac:dyDescent="0.3">
      <c r="A86" s="3" t="s">
        <v>199</v>
      </c>
      <c r="B86" s="24" t="s">
        <v>199</v>
      </c>
      <c r="C86" s="44" t="b">
        <f t="shared" si="8"/>
        <v>1</v>
      </c>
      <c r="D86" s="3" t="s">
        <v>178</v>
      </c>
      <c r="E86" s="18">
        <v>45741.75</v>
      </c>
      <c r="F86" s="19">
        <v>10</v>
      </c>
      <c r="G86" s="19">
        <v>50</v>
      </c>
      <c r="H86" s="1">
        <f>0.41-0.3</f>
        <v>0.10999999999999999</v>
      </c>
      <c r="I86" s="22">
        <f>(G85*H86)/F85</f>
        <v>0.54999999999999993</v>
      </c>
      <c r="J86" s="20">
        <v>0.54999999999999993</v>
      </c>
    </row>
    <row r="87" spans="1:10" x14ac:dyDescent="0.3">
      <c r="A87" s="24" t="s">
        <v>200</v>
      </c>
      <c r="B87" s="24" t="s">
        <v>200</v>
      </c>
      <c r="C87" s="44" t="b">
        <f t="shared" si="8"/>
        <v>1</v>
      </c>
      <c r="D87" s="3" t="s">
        <v>201</v>
      </c>
      <c r="E87" s="18">
        <v>45742.375</v>
      </c>
      <c r="F87" s="19">
        <v>10</v>
      </c>
      <c r="G87" s="19">
        <v>50</v>
      </c>
      <c r="J87" s="19">
        <v>0</v>
      </c>
    </row>
    <row r="88" spans="1:10" x14ac:dyDescent="0.3">
      <c r="A88" s="24" t="s">
        <v>202</v>
      </c>
      <c r="B88" s="24" t="s">
        <v>202</v>
      </c>
      <c r="C88" s="44" t="b">
        <f t="shared" si="8"/>
        <v>1</v>
      </c>
      <c r="D88" s="3" t="s">
        <v>201</v>
      </c>
      <c r="E88" s="18">
        <v>45742.375</v>
      </c>
      <c r="F88" s="19">
        <v>10</v>
      </c>
      <c r="G88" s="19">
        <v>50</v>
      </c>
      <c r="H88" s="1">
        <f>0.47-0.3</f>
        <v>0.16999999999999998</v>
      </c>
      <c r="I88" s="22" t="e">
        <f>(#REF!*H88)/#REF!</f>
        <v>#REF!</v>
      </c>
      <c r="J88" s="20">
        <v>0.85</v>
      </c>
    </row>
    <row r="89" spans="1:10" x14ac:dyDescent="0.3">
      <c r="A89" s="24" t="s">
        <v>203</v>
      </c>
      <c r="B89" s="24" t="s">
        <v>203</v>
      </c>
      <c r="C89" s="44" t="b">
        <f t="shared" si="8"/>
        <v>1</v>
      </c>
      <c r="D89" s="3" t="s">
        <v>201</v>
      </c>
      <c r="E89" s="18">
        <v>45746.6875</v>
      </c>
      <c r="F89" s="19">
        <v>10</v>
      </c>
      <c r="G89" s="19">
        <v>50</v>
      </c>
      <c r="H89" s="1">
        <f>1.3-0.3</f>
        <v>1</v>
      </c>
      <c r="I89" s="22">
        <f t="shared" ref="I89:I100" si="11">(G89*H89)/F89</f>
        <v>5</v>
      </c>
      <c r="J89" s="20">
        <v>5</v>
      </c>
    </row>
    <row r="90" spans="1:10" x14ac:dyDescent="0.3">
      <c r="A90" s="3" t="s">
        <v>204</v>
      </c>
      <c r="B90" s="24" t="s">
        <v>204</v>
      </c>
      <c r="C90" s="44" t="b">
        <f t="shared" si="8"/>
        <v>1</v>
      </c>
      <c r="D90" s="3" t="s">
        <v>201</v>
      </c>
      <c r="E90" s="18">
        <v>45747.395833333336</v>
      </c>
      <c r="F90" s="19">
        <v>10</v>
      </c>
      <c r="G90" s="19">
        <v>50</v>
      </c>
      <c r="H90" s="1">
        <f>2.03-0.3</f>
        <v>1.7299999999999998</v>
      </c>
      <c r="I90" s="22">
        <f t="shared" si="11"/>
        <v>8.6499999999999986</v>
      </c>
      <c r="J90" s="20">
        <v>8.6499999999999986</v>
      </c>
    </row>
    <row r="91" spans="1:10" x14ac:dyDescent="0.3">
      <c r="A91" s="3" t="s">
        <v>205</v>
      </c>
      <c r="B91" s="24" t="s">
        <v>205</v>
      </c>
      <c r="C91" s="44" t="b">
        <f t="shared" si="8"/>
        <v>1</v>
      </c>
      <c r="D91" s="3" t="s">
        <v>201</v>
      </c>
      <c r="E91" s="18">
        <v>45747.680555555555</v>
      </c>
      <c r="F91" s="19">
        <v>10</v>
      </c>
      <c r="G91" s="19">
        <v>50</v>
      </c>
      <c r="H91" s="1">
        <f>1.74-0.3</f>
        <v>1.44</v>
      </c>
      <c r="I91" s="22">
        <f t="shared" si="11"/>
        <v>7.2</v>
      </c>
      <c r="J91" s="20">
        <v>7.2</v>
      </c>
    </row>
    <row r="92" spans="1:10" x14ac:dyDescent="0.3">
      <c r="A92" s="3" t="s">
        <v>206</v>
      </c>
      <c r="B92" s="24" t="s">
        <v>206</v>
      </c>
      <c r="C92" s="44" t="b">
        <f t="shared" si="8"/>
        <v>1</v>
      </c>
      <c r="D92" s="3" t="s">
        <v>201</v>
      </c>
      <c r="E92" s="18">
        <v>45748.375</v>
      </c>
      <c r="F92" s="19">
        <v>10</v>
      </c>
      <c r="G92" s="19">
        <v>50</v>
      </c>
      <c r="H92" s="1">
        <f>1.97-0.3</f>
        <v>1.67</v>
      </c>
      <c r="I92" s="22">
        <f t="shared" si="11"/>
        <v>8.35</v>
      </c>
      <c r="J92" s="20">
        <v>8.35</v>
      </c>
    </row>
    <row r="93" spans="1:10" x14ac:dyDescent="0.3">
      <c r="A93" s="3" t="s">
        <v>207</v>
      </c>
      <c r="B93" s="24" t="s">
        <v>207</v>
      </c>
      <c r="C93" s="44" t="b">
        <f t="shared" si="8"/>
        <v>1</v>
      </c>
      <c r="D93" s="3" t="s">
        <v>201</v>
      </c>
      <c r="E93" s="18">
        <v>45748.625</v>
      </c>
      <c r="F93" s="19">
        <v>10</v>
      </c>
      <c r="G93" s="19">
        <v>50</v>
      </c>
      <c r="H93" s="1">
        <f>1.85-0.3</f>
        <v>1.55</v>
      </c>
      <c r="I93" s="22">
        <f t="shared" si="11"/>
        <v>7.75</v>
      </c>
      <c r="J93" s="20">
        <v>7.75</v>
      </c>
    </row>
    <row r="94" spans="1:10" x14ac:dyDescent="0.3">
      <c r="A94" s="3" t="s">
        <v>208</v>
      </c>
      <c r="B94" s="24" t="s">
        <v>208</v>
      </c>
      <c r="C94" s="44" t="b">
        <f t="shared" si="8"/>
        <v>1</v>
      </c>
      <c r="D94" s="3" t="s">
        <v>201</v>
      </c>
      <c r="E94" s="18">
        <v>45749.395833333336</v>
      </c>
      <c r="F94" s="19">
        <v>10</v>
      </c>
      <c r="G94" s="19">
        <v>50</v>
      </c>
      <c r="H94" s="1">
        <f>2.33-0.3</f>
        <v>2.0300000000000002</v>
      </c>
      <c r="I94" s="22">
        <f t="shared" si="11"/>
        <v>10.150000000000002</v>
      </c>
      <c r="J94" s="20">
        <v>10.150000000000002</v>
      </c>
    </row>
    <row r="95" spans="1:10" x14ac:dyDescent="0.3">
      <c r="A95" s="3" t="s">
        <v>209</v>
      </c>
      <c r="B95" s="24" t="s">
        <v>209</v>
      </c>
      <c r="C95" s="44" t="b">
        <f t="shared" si="8"/>
        <v>1</v>
      </c>
      <c r="D95" s="3" t="s">
        <v>201</v>
      </c>
      <c r="E95" s="18">
        <v>45749.666666666664</v>
      </c>
      <c r="F95" s="19">
        <v>10</v>
      </c>
      <c r="G95" s="19">
        <v>50</v>
      </c>
      <c r="H95" s="1">
        <f>2.21-0.3</f>
        <v>1.91</v>
      </c>
      <c r="I95" s="22">
        <f t="shared" si="11"/>
        <v>9.5500000000000007</v>
      </c>
      <c r="J95" s="20">
        <v>9.5500000000000007</v>
      </c>
    </row>
    <row r="96" spans="1:10" x14ac:dyDescent="0.3">
      <c r="A96" s="3" t="s">
        <v>210</v>
      </c>
      <c r="B96" s="24" t="s">
        <v>210</v>
      </c>
      <c r="C96" s="44" t="b">
        <f t="shared" si="8"/>
        <v>1</v>
      </c>
      <c r="D96" s="3" t="s">
        <v>201</v>
      </c>
      <c r="E96" s="18">
        <v>45750.416666666664</v>
      </c>
      <c r="F96" s="19">
        <v>10</v>
      </c>
      <c r="G96" s="19">
        <v>50</v>
      </c>
      <c r="H96" s="1">
        <f>1.97-0.3</f>
        <v>1.67</v>
      </c>
      <c r="I96" s="22">
        <f t="shared" si="11"/>
        <v>8.35</v>
      </c>
      <c r="J96" s="20">
        <v>8.35</v>
      </c>
    </row>
    <row r="97" spans="1:10" x14ac:dyDescent="0.3">
      <c r="A97" s="3" t="s">
        <v>211</v>
      </c>
      <c r="B97" s="24" t="s">
        <v>211</v>
      </c>
      <c r="C97" s="44" t="b">
        <f t="shared" si="8"/>
        <v>1</v>
      </c>
      <c r="D97" s="3" t="s">
        <v>201</v>
      </c>
      <c r="E97" s="18">
        <v>45750.625</v>
      </c>
      <c r="F97" s="19">
        <v>10</v>
      </c>
      <c r="G97" s="19">
        <v>50</v>
      </c>
      <c r="H97" s="1">
        <f>1.6-0.3</f>
        <v>1.3</v>
      </c>
      <c r="I97" s="22">
        <f t="shared" si="11"/>
        <v>6.5</v>
      </c>
      <c r="J97" s="20">
        <v>6.5</v>
      </c>
    </row>
    <row r="98" spans="1:10" x14ac:dyDescent="0.3">
      <c r="A98" s="24" t="s">
        <v>212</v>
      </c>
      <c r="B98" s="24" t="s">
        <v>212</v>
      </c>
      <c r="C98" s="44" t="b">
        <f t="shared" si="8"/>
        <v>1</v>
      </c>
      <c r="D98" s="3" t="s">
        <v>201</v>
      </c>
      <c r="E98" s="18">
        <v>45742.625</v>
      </c>
      <c r="F98" s="19">
        <v>10</v>
      </c>
      <c r="G98" s="19">
        <v>50</v>
      </c>
      <c r="H98" s="1">
        <f>0.53-0.3</f>
        <v>0.23000000000000004</v>
      </c>
      <c r="I98" s="22">
        <f t="shared" si="11"/>
        <v>1.1500000000000001</v>
      </c>
      <c r="J98" s="20">
        <v>1.1500000000000001</v>
      </c>
    </row>
    <row r="99" spans="1:10" x14ac:dyDescent="0.3">
      <c r="A99" s="24" t="s">
        <v>213</v>
      </c>
      <c r="B99" s="24" t="s">
        <v>213</v>
      </c>
      <c r="C99" s="44" t="b">
        <f t="shared" si="8"/>
        <v>1</v>
      </c>
      <c r="D99" s="3" t="s">
        <v>201</v>
      </c>
      <c r="E99" s="18">
        <v>45743.604166666664</v>
      </c>
      <c r="F99" s="19">
        <v>10</v>
      </c>
      <c r="G99" s="19">
        <v>50</v>
      </c>
      <c r="H99" s="1">
        <f>0.58-0.3</f>
        <v>0.27999999999999997</v>
      </c>
      <c r="I99" s="22">
        <f t="shared" si="11"/>
        <v>1.4</v>
      </c>
      <c r="J99" s="20">
        <v>1.4</v>
      </c>
    </row>
    <row r="100" spans="1:10" x14ac:dyDescent="0.3">
      <c r="A100" s="3" t="s">
        <v>214</v>
      </c>
      <c r="B100" s="24" t="s">
        <v>214</v>
      </c>
      <c r="C100" s="44" t="b">
        <f t="shared" si="8"/>
        <v>1</v>
      </c>
      <c r="D100" s="3" t="s">
        <v>201</v>
      </c>
      <c r="E100" s="18">
        <v>45743.416666666664</v>
      </c>
      <c r="F100" s="19">
        <v>10</v>
      </c>
      <c r="G100" s="19">
        <v>50</v>
      </c>
      <c r="H100" s="1">
        <f>0.7-0.3</f>
        <v>0.39999999999999997</v>
      </c>
      <c r="I100" s="22">
        <f t="shared" si="11"/>
        <v>2</v>
      </c>
      <c r="J100" s="20">
        <v>2</v>
      </c>
    </row>
    <row r="101" spans="1:10" x14ac:dyDescent="0.3">
      <c r="A101" s="24" t="s">
        <v>215</v>
      </c>
      <c r="B101" s="24" t="s">
        <v>215</v>
      </c>
      <c r="C101" s="44" t="b">
        <f t="shared" si="8"/>
        <v>1</v>
      </c>
      <c r="D101" s="3" t="s">
        <v>201</v>
      </c>
      <c r="E101" s="18">
        <v>45743.604166666664</v>
      </c>
      <c r="F101" s="19">
        <v>10</v>
      </c>
      <c r="G101" s="19">
        <v>50</v>
      </c>
      <c r="H101" s="1">
        <f>0.55-0.3</f>
        <v>0.25000000000000006</v>
      </c>
      <c r="I101" s="22">
        <f>(G97*H101)/F97</f>
        <v>1.2500000000000004</v>
      </c>
      <c r="J101" s="20">
        <v>1.2500000000000004</v>
      </c>
    </row>
    <row r="102" spans="1:10" x14ac:dyDescent="0.3">
      <c r="A102" s="24" t="s">
        <v>216</v>
      </c>
      <c r="B102" s="24" t="s">
        <v>216</v>
      </c>
      <c r="C102" s="44" t="b">
        <f t="shared" si="8"/>
        <v>1</v>
      </c>
      <c r="D102" s="3" t="s">
        <v>201</v>
      </c>
      <c r="E102" s="18">
        <v>45744.416666666664</v>
      </c>
      <c r="F102" s="19">
        <v>10</v>
      </c>
      <c r="G102" s="19">
        <v>50</v>
      </c>
      <c r="H102" s="1">
        <f>0.71-0.3</f>
        <v>0.41</v>
      </c>
      <c r="I102" s="22">
        <f>(G103*H102)/F103</f>
        <v>2.0499999999999998</v>
      </c>
      <c r="J102" s="20">
        <v>2.0499999999999998</v>
      </c>
    </row>
    <row r="103" spans="1:10" x14ac:dyDescent="0.3">
      <c r="A103" s="24" t="s">
        <v>217</v>
      </c>
      <c r="B103" s="24" t="s">
        <v>217</v>
      </c>
      <c r="C103" s="44" t="b">
        <f t="shared" si="8"/>
        <v>1</v>
      </c>
      <c r="D103" s="3" t="s">
        <v>201</v>
      </c>
      <c r="E103" s="18">
        <v>45744.416666666664</v>
      </c>
      <c r="F103" s="19">
        <v>10</v>
      </c>
      <c r="G103" s="19">
        <v>50</v>
      </c>
      <c r="H103" s="1">
        <f>0.99-0.3</f>
        <v>0.69</v>
      </c>
      <c r="I103" s="22">
        <f>(G103*H103)/F103</f>
        <v>3.45</v>
      </c>
      <c r="J103" s="20">
        <v>3.45</v>
      </c>
    </row>
    <row r="104" spans="1:10" x14ac:dyDescent="0.3">
      <c r="A104" s="24" t="s">
        <v>218</v>
      </c>
      <c r="B104" s="24" t="s">
        <v>218</v>
      </c>
      <c r="C104" s="44" t="b">
        <f t="shared" si="8"/>
        <v>1</v>
      </c>
      <c r="D104" s="3" t="s">
        <v>201</v>
      </c>
      <c r="E104" s="18">
        <v>45744.625</v>
      </c>
      <c r="F104" s="19">
        <v>10</v>
      </c>
      <c r="G104" s="19">
        <v>50</v>
      </c>
      <c r="H104" s="1">
        <f>0.88-0.3</f>
        <v>0.58000000000000007</v>
      </c>
      <c r="I104" s="22">
        <f>(G104*H104)/F104</f>
        <v>2.9000000000000004</v>
      </c>
      <c r="J104" s="20">
        <v>2.9000000000000004</v>
      </c>
    </row>
    <row r="105" spans="1:10" x14ac:dyDescent="0.3">
      <c r="A105" s="24" t="s">
        <v>219</v>
      </c>
      <c r="B105" s="24" t="s">
        <v>219</v>
      </c>
      <c r="C105" s="44" t="b">
        <f t="shared" si="8"/>
        <v>1</v>
      </c>
      <c r="D105" s="3" t="s">
        <v>201</v>
      </c>
      <c r="E105" s="18">
        <v>45745.5</v>
      </c>
      <c r="F105" s="19">
        <v>10</v>
      </c>
      <c r="G105" s="19">
        <v>50</v>
      </c>
      <c r="H105" s="1">
        <f>1.3-0.3</f>
        <v>1</v>
      </c>
      <c r="I105" s="22">
        <f>(G105*H105)/F105</f>
        <v>5</v>
      </c>
      <c r="J105" s="20">
        <v>5</v>
      </c>
    </row>
    <row r="106" spans="1:10" x14ac:dyDescent="0.3">
      <c r="A106" s="3" t="s">
        <v>220</v>
      </c>
      <c r="B106" s="24" t="s">
        <v>220</v>
      </c>
      <c r="C106" s="44" t="b">
        <f t="shared" si="8"/>
        <v>1</v>
      </c>
      <c r="D106" s="3" t="s">
        <v>201</v>
      </c>
      <c r="E106" s="18">
        <v>45751.375</v>
      </c>
      <c r="F106" s="19">
        <v>10</v>
      </c>
      <c r="G106" s="19">
        <v>50</v>
      </c>
      <c r="H106" s="1">
        <f>1.47-0.3</f>
        <v>1.17</v>
      </c>
      <c r="I106" s="22">
        <f>(G106*H106)/F106</f>
        <v>5.85</v>
      </c>
      <c r="J106" s="20">
        <v>5.85</v>
      </c>
    </row>
    <row r="107" spans="1:10" x14ac:dyDescent="0.3">
      <c r="A107" s="24" t="s">
        <v>221</v>
      </c>
      <c r="B107" s="24" t="s">
        <v>221</v>
      </c>
      <c r="C107" s="44" t="b">
        <f t="shared" si="8"/>
        <v>1</v>
      </c>
      <c r="D107" s="3" t="s">
        <v>201</v>
      </c>
      <c r="E107" s="18">
        <v>45741.75</v>
      </c>
      <c r="F107" s="19">
        <v>10</v>
      </c>
      <c r="G107" s="19">
        <v>50</v>
      </c>
      <c r="H107" s="1">
        <f>0.48-0.3</f>
        <v>0.18</v>
      </c>
      <c r="I107" s="22">
        <f>(G106*H107)/F106</f>
        <v>0.9</v>
      </c>
      <c r="J107" s="20">
        <v>0.9</v>
      </c>
    </row>
    <row r="108" spans="1:10" x14ac:dyDescent="0.3">
      <c r="A108" s="3" t="s">
        <v>222</v>
      </c>
      <c r="B108" s="24" t="s">
        <v>222</v>
      </c>
      <c r="C108" s="44" t="b">
        <f t="shared" si="8"/>
        <v>1</v>
      </c>
      <c r="D108" s="3" t="s">
        <v>223</v>
      </c>
      <c r="E108" s="18">
        <v>45755.75</v>
      </c>
      <c r="F108" s="19">
        <v>10</v>
      </c>
      <c r="G108" s="19">
        <v>50</v>
      </c>
      <c r="H108" s="1">
        <f>0.55-0.3</f>
        <v>0.25000000000000006</v>
      </c>
      <c r="I108" s="22">
        <f t="shared" ref="I108:I139" si="12">(G108*H108)/F108</f>
        <v>1.2500000000000004</v>
      </c>
      <c r="J108" s="20">
        <v>1.2500000000000004</v>
      </c>
    </row>
    <row r="109" spans="1:10" x14ac:dyDescent="0.3">
      <c r="A109" s="3" t="s">
        <v>225</v>
      </c>
      <c r="B109" s="24" t="s">
        <v>225</v>
      </c>
      <c r="C109" s="44" t="b">
        <f t="shared" si="8"/>
        <v>1</v>
      </c>
      <c r="D109" s="3" t="s">
        <v>223</v>
      </c>
      <c r="E109" s="18">
        <v>45756.375</v>
      </c>
      <c r="F109" s="19">
        <v>10</v>
      </c>
      <c r="G109" s="19">
        <v>50</v>
      </c>
      <c r="H109" s="1">
        <f>0.72-0.3</f>
        <v>0.42</v>
      </c>
      <c r="I109" s="22">
        <f t="shared" si="12"/>
        <v>2.1</v>
      </c>
      <c r="J109" s="20">
        <v>2.1</v>
      </c>
    </row>
    <row r="110" spans="1:10" x14ac:dyDescent="0.3">
      <c r="A110" s="26" t="s">
        <v>226</v>
      </c>
      <c r="B110" s="26" t="s">
        <v>226</v>
      </c>
      <c r="C110" s="44" t="b">
        <f t="shared" si="8"/>
        <v>1</v>
      </c>
      <c r="D110" s="3" t="s">
        <v>223</v>
      </c>
      <c r="E110" s="18">
        <v>45761.375</v>
      </c>
      <c r="F110" s="19">
        <v>10</v>
      </c>
      <c r="G110" s="19">
        <v>50</v>
      </c>
      <c r="H110" s="1">
        <f>2.26-0.3</f>
        <v>1.9599999999999997</v>
      </c>
      <c r="I110" s="22">
        <f t="shared" si="12"/>
        <v>9.7999999999999989</v>
      </c>
      <c r="J110" s="20">
        <v>9.7999999999999989</v>
      </c>
    </row>
    <row r="111" spans="1:10" x14ac:dyDescent="0.3">
      <c r="A111" s="3" t="s">
        <v>227</v>
      </c>
      <c r="B111" s="24" t="s">
        <v>227</v>
      </c>
      <c r="C111" s="44" t="b">
        <f t="shared" si="8"/>
        <v>1</v>
      </c>
      <c r="D111" s="3" t="s">
        <v>223</v>
      </c>
      <c r="E111" s="18">
        <v>45761.625</v>
      </c>
      <c r="F111" s="19">
        <v>10</v>
      </c>
      <c r="G111" s="19">
        <v>50</v>
      </c>
      <c r="H111" s="1">
        <f>1.24-0.3</f>
        <v>0.94</v>
      </c>
      <c r="I111" s="22">
        <f t="shared" si="12"/>
        <v>4.7</v>
      </c>
      <c r="J111" s="20">
        <v>4.7</v>
      </c>
    </row>
    <row r="112" spans="1:10" x14ac:dyDescent="0.3">
      <c r="A112" s="3" t="s">
        <v>228</v>
      </c>
      <c r="B112" s="24" t="s">
        <v>228</v>
      </c>
      <c r="C112" s="44" t="b">
        <f t="shared" si="8"/>
        <v>1</v>
      </c>
      <c r="D112" s="3" t="s">
        <v>223</v>
      </c>
      <c r="E112" s="18">
        <v>45762.375</v>
      </c>
      <c r="F112" s="19">
        <v>10</v>
      </c>
      <c r="G112" s="19">
        <v>50</v>
      </c>
      <c r="H112" s="1">
        <f>2.18-0.3</f>
        <v>1.8800000000000001</v>
      </c>
      <c r="I112" s="22">
        <f t="shared" si="12"/>
        <v>9.4</v>
      </c>
      <c r="J112" s="20">
        <v>9.4</v>
      </c>
    </row>
    <row r="113" spans="1:10" x14ac:dyDescent="0.3">
      <c r="A113" s="3" t="s">
        <v>229</v>
      </c>
      <c r="B113" s="24" t="s">
        <v>229</v>
      </c>
      <c r="C113" s="44" t="b">
        <f t="shared" si="8"/>
        <v>1</v>
      </c>
      <c r="D113" s="3" t="s">
        <v>223</v>
      </c>
      <c r="E113" s="18">
        <v>45762.625</v>
      </c>
      <c r="F113" s="19">
        <v>10</v>
      </c>
      <c r="G113" s="19">
        <v>50</v>
      </c>
      <c r="H113" s="1">
        <f>2.06-0.3</f>
        <v>1.76</v>
      </c>
      <c r="I113" s="22">
        <f t="shared" si="12"/>
        <v>8.8000000000000007</v>
      </c>
      <c r="J113" s="20">
        <v>8.8000000000000007</v>
      </c>
    </row>
    <row r="114" spans="1:10" x14ac:dyDescent="0.3">
      <c r="A114" s="3" t="s">
        <v>230</v>
      </c>
      <c r="B114" s="24" t="s">
        <v>230</v>
      </c>
      <c r="C114" s="44" t="b">
        <f t="shared" si="8"/>
        <v>1</v>
      </c>
      <c r="D114" s="3" t="s">
        <v>223</v>
      </c>
      <c r="E114" s="18">
        <v>45763.375</v>
      </c>
      <c r="F114" s="19">
        <v>10</v>
      </c>
      <c r="G114" s="19">
        <v>50</v>
      </c>
      <c r="H114" s="1">
        <f>2.36-0.3</f>
        <v>2.06</v>
      </c>
      <c r="I114" s="22">
        <f t="shared" si="12"/>
        <v>10.3</v>
      </c>
      <c r="J114" s="20">
        <v>10.3</v>
      </c>
    </row>
    <row r="115" spans="1:10" x14ac:dyDescent="0.3">
      <c r="A115" s="3" t="s">
        <v>231</v>
      </c>
      <c r="B115" s="24" t="s">
        <v>231</v>
      </c>
      <c r="C115" s="44" t="b">
        <f t="shared" si="8"/>
        <v>1</v>
      </c>
      <c r="D115" s="3" t="s">
        <v>223</v>
      </c>
      <c r="E115" s="18">
        <v>45756.625</v>
      </c>
      <c r="F115" s="19">
        <v>10</v>
      </c>
      <c r="G115" s="19">
        <v>50</v>
      </c>
      <c r="H115" s="1">
        <f>0.75-0.3</f>
        <v>0.45</v>
      </c>
      <c r="I115" s="22">
        <f>(G115*H115)/F115</f>
        <v>2.25</v>
      </c>
      <c r="J115" s="20">
        <v>2.25</v>
      </c>
    </row>
    <row r="116" spans="1:10" x14ac:dyDescent="0.3">
      <c r="A116" s="3" t="s">
        <v>232</v>
      </c>
      <c r="B116" s="24" t="s">
        <v>232</v>
      </c>
      <c r="C116" s="44" t="b">
        <f t="shared" si="8"/>
        <v>1</v>
      </c>
      <c r="D116" s="3" t="s">
        <v>223</v>
      </c>
      <c r="E116" s="18">
        <v>45757.375</v>
      </c>
      <c r="F116" s="19">
        <v>10</v>
      </c>
      <c r="G116" s="19">
        <v>50</v>
      </c>
      <c r="H116" s="1">
        <f>0.89-0.3</f>
        <v>0.59000000000000008</v>
      </c>
      <c r="I116" s="22">
        <f>(G116*H116)/F116</f>
        <v>2.95</v>
      </c>
      <c r="J116" s="20">
        <v>2.95</v>
      </c>
    </row>
    <row r="117" spans="1:10" x14ac:dyDescent="0.3">
      <c r="A117" s="3" t="s">
        <v>233</v>
      </c>
      <c r="B117" s="24" t="s">
        <v>233</v>
      </c>
      <c r="C117" s="44" t="b">
        <f t="shared" si="8"/>
        <v>1</v>
      </c>
      <c r="D117" s="3" t="s">
        <v>223</v>
      </c>
      <c r="E117" s="18">
        <v>45757.5</v>
      </c>
      <c r="F117" s="19">
        <v>10</v>
      </c>
      <c r="G117" s="19">
        <v>50</v>
      </c>
      <c r="H117" s="1">
        <f>0.91-0.3</f>
        <v>0.6100000000000001</v>
      </c>
      <c r="I117" s="22">
        <f t="shared" si="12"/>
        <v>3.0500000000000003</v>
      </c>
      <c r="J117" s="20">
        <v>3.0500000000000003</v>
      </c>
    </row>
    <row r="118" spans="1:10" x14ac:dyDescent="0.3">
      <c r="A118" s="24" t="s">
        <v>234</v>
      </c>
      <c r="B118" s="24" t="s">
        <v>234</v>
      </c>
      <c r="C118" s="44" t="b">
        <f>EXACT(A118,B118)</f>
        <v>1</v>
      </c>
      <c r="D118" s="3" t="s">
        <v>223</v>
      </c>
      <c r="E118" s="18">
        <v>45757.645833333336</v>
      </c>
      <c r="F118" s="19">
        <v>10</v>
      </c>
      <c r="G118" s="19">
        <v>50</v>
      </c>
      <c r="H118" s="1">
        <f>0.75-0.3</f>
        <v>0.45</v>
      </c>
      <c r="I118" s="22">
        <f t="shared" si="12"/>
        <v>2.25</v>
      </c>
      <c r="J118" s="20">
        <v>2.25</v>
      </c>
    </row>
    <row r="119" spans="1:10" x14ac:dyDescent="0.3">
      <c r="A119" s="3" t="s">
        <v>235</v>
      </c>
      <c r="B119" s="24" t="s">
        <v>235</v>
      </c>
      <c r="C119" s="44" t="b">
        <f t="shared" ref="C119:C139" si="13">EXACT(A119,B119)</f>
        <v>1</v>
      </c>
      <c r="D119" s="3" t="s">
        <v>223</v>
      </c>
      <c r="E119" s="18">
        <v>45758.375</v>
      </c>
      <c r="F119" s="19">
        <v>10</v>
      </c>
      <c r="G119" s="19">
        <v>50</v>
      </c>
      <c r="H119" s="1">
        <f>1.18-0.3</f>
        <v>0.87999999999999989</v>
      </c>
      <c r="I119" s="22">
        <f t="shared" si="12"/>
        <v>4.3999999999999995</v>
      </c>
      <c r="J119" s="20">
        <v>4.3999999999999995</v>
      </c>
    </row>
    <row r="120" spans="1:10" x14ac:dyDescent="0.3">
      <c r="A120" s="3" t="s">
        <v>236</v>
      </c>
      <c r="B120" s="24" t="s">
        <v>236</v>
      </c>
      <c r="C120" s="44" t="b">
        <f t="shared" si="13"/>
        <v>1</v>
      </c>
      <c r="D120" s="3" t="s">
        <v>223</v>
      </c>
      <c r="E120" s="18">
        <v>45758.604166666664</v>
      </c>
      <c r="F120" s="19">
        <v>10</v>
      </c>
      <c r="G120" s="19">
        <v>50</v>
      </c>
      <c r="H120" s="1">
        <f>1.45-0.3</f>
        <v>1.1499999999999999</v>
      </c>
      <c r="I120" s="22">
        <f t="shared" si="12"/>
        <v>5.7499999999999991</v>
      </c>
      <c r="J120" s="20">
        <v>5.7499999999999991</v>
      </c>
    </row>
    <row r="121" spans="1:10" x14ac:dyDescent="0.3">
      <c r="A121" s="3" t="s">
        <v>237</v>
      </c>
      <c r="B121" s="24" t="s">
        <v>237</v>
      </c>
      <c r="C121" s="44" t="b">
        <f t="shared" si="13"/>
        <v>1</v>
      </c>
      <c r="D121" s="3" t="s">
        <v>223</v>
      </c>
      <c r="E121" s="18">
        <v>45759.416666666664</v>
      </c>
      <c r="F121" s="19">
        <v>10</v>
      </c>
      <c r="G121" s="19">
        <v>50</v>
      </c>
      <c r="H121" s="1">
        <f>1.67-0.3</f>
        <v>1.3699999999999999</v>
      </c>
      <c r="I121" s="22">
        <f t="shared" si="12"/>
        <v>6.85</v>
      </c>
      <c r="J121" s="20">
        <v>6.85</v>
      </c>
    </row>
    <row r="122" spans="1:10" x14ac:dyDescent="0.3">
      <c r="A122" s="26" t="s">
        <v>238</v>
      </c>
      <c r="B122" s="26" t="s">
        <v>238</v>
      </c>
      <c r="C122" s="44" t="b">
        <f t="shared" si="13"/>
        <v>1</v>
      </c>
      <c r="D122" s="3" t="s">
        <v>223</v>
      </c>
      <c r="E122" s="18">
        <v>45760.708333333336</v>
      </c>
      <c r="F122" s="19">
        <v>10</v>
      </c>
      <c r="G122" s="19">
        <v>50</v>
      </c>
      <c r="H122" s="1">
        <f>1.38-0.3</f>
        <v>1.0799999999999998</v>
      </c>
      <c r="I122" s="22">
        <f t="shared" si="12"/>
        <v>5.3999999999999995</v>
      </c>
      <c r="J122" s="20">
        <v>5.3999999999999995</v>
      </c>
    </row>
    <row r="123" spans="1:10" x14ac:dyDescent="0.3">
      <c r="A123" s="3" t="s">
        <v>239</v>
      </c>
      <c r="B123" s="24" t="s">
        <v>239</v>
      </c>
      <c r="C123" s="44" t="b">
        <f t="shared" si="13"/>
        <v>1</v>
      </c>
      <c r="D123" s="3" t="s">
        <v>223</v>
      </c>
      <c r="E123" s="18">
        <v>45763.625</v>
      </c>
      <c r="F123" s="19">
        <v>10</v>
      </c>
      <c r="G123" s="19">
        <v>50</v>
      </c>
      <c r="H123" s="1">
        <f>2.31-0.3</f>
        <v>2.0100000000000002</v>
      </c>
      <c r="I123" s="22">
        <f t="shared" si="12"/>
        <v>10.050000000000001</v>
      </c>
      <c r="J123" s="20">
        <v>10.050000000000001</v>
      </c>
    </row>
    <row r="124" spans="1:10" x14ac:dyDescent="0.3">
      <c r="A124" s="3" t="s">
        <v>240</v>
      </c>
      <c r="B124" s="24" t="s">
        <v>240</v>
      </c>
      <c r="C124" s="44" t="b">
        <f t="shared" si="13"/>
        <v>1</v>
      </c>
      <c r="D124" s="3" t="s">
        <v>241</v>
      </c>
      <c r="E124" s="18">
        <v>45755.75</v>
      </c>
      <c r="F124" s="19">
        <v>10</v>
      </c>
      <c r="G124" s="19">
        <v>50</v>
      </c>
      <c r="H124" s="1">
        <f>0.65-0.3</f>
        <v>0.35000000000000003</v>
      </c>
      <c r="I124" s="22">
        <f t="shared" si="12"/>
        <v>1.75</v>
      </c>
      <c r="J124" s="20">
        <v>1.75</v>
      </c>
    </row>
    <row r="125" spans="1:10" x14ac:dyDescent="0.3">
      <c r="A125" s="3" t="s">
        <v>242</v>
      </c>
      <c r="B125" s="24" t="s">
        <v>242</v>
      </c>
      <c r="C125" s="44" t="b">
        <f t="shared" si="13"/>
        <v>1</v>
      </c>
      <c r="D125" s="3" t="s">
        <v>241</v>
      </c>
      <c r="E125" s="18">
        <v>45756.375</v>
      </c>
      <c r="F125" s="19">
        <v>10</v>
      </c>
      <c r="G125" s="19">
        <v>50</v>
      </c>
      <c r="H125" s="1">
        <f>0.57-0.3</f>
        <v>0.26999999999999996</v>
      </c>
      <c r="I125" s="22">
        <f t="shared" si="12"/>
        <v>1.3499999999999999</v>
      </c>
      <c r="J125" s="20">
        <v>1.3499999999999999</v>
      </c>
    </row>
    <row r="126" spans="1:10" x14ac:dyDescent="0.3">
      <c r="A126" s="26" t="s">
        <v>243</v>
      </c>
      <c r="B126" s="26" t="s">
        <v>243</v>
      </c>
      <c r="C126" s="44" t="b">
        <f t="shared" si="13"/>
        <v>1</v>
      </c>
      <c r="D126" s="3" t="s">
        <v>241</v>
      </c>
      <c r="E126" s="18">
        <v>45761.375</v>
      </c>
      <c r="F126" s="19">
        <v>10</v>
      </c>
      <c r="G126" s="19">
        <v>50</v>
      </c>
      <c r="H126" s="1">
        <f>1.07-0.3</f>
        <v>0.77</v>
      </c>
      <c r="I126" s="22">
        <f t="shared" si="12"/>
        <v>3.85</v>
      </c>
      <c r="J126" s="20">
        <v>3.85</v>
      </c>
    </row>
    <row r="127" spans="1:10" x14ac:dyDescent="0.3">
      <c r="A127" s="3" t="s">
        <v>244</v>
      </c>
      <c r="B127" s="24" t="s">
        <v>244</v>
      </c>
      <c r="C127" s="44" t="b">
        <f t="shared" si="13"/>
        <v>1</v>
      </c>
      <c r="D127" s="3" t="s">
        <v>241</v>
      </c>
      <c r="E127" s="18">
        <v>45761.625</v>
      </c>
      <c r="F127" s="19">
        <v>10</v>
      </c>
      <c r="G127" s="19">
        <v>50</v>
      </c>
      <c r="H127" s="1">
        <f>1.2-0.3</f>
        <v>0.89999999999999991</v>
      </c>
      <c r="I127" s="22">
        <f t="shared" si="12"/>
        <v>4.4999999999999991</v>
      </c>
      <c r="J127" s="20">
        <v>4.4999999999999991</v>
      </c>
    </row>
    <row r="128" spans="1:10" x14ac:dyDescent="0.3">
      <c r="A128" s="3" t="s">
        <v>245</v>
      </c>
      <c r="B128" s="24" t="s">
        <v>245</v>
      </c>
      <c r="C128" s="44" t="b">
        <f t="shared" si="13"/>
        <v>1</v>
      </c>
      <c r="D128" s="3" t="s">
        <v>241</v>
      </c>
      <c r="E128" s="18">
        <v>45762.375</v>
      </c>
      <c r="F128" s="19">
        <v>10</v>
      </c>
      <c r="G128" s="19">
        <v>50</v>
      </c>
      <c r="H128" s="1">
        <f>1.47-0.3</f>
        <v>1.17</v>
      </c>
      <c r="I128" s="22">
        <f t="shared" si="12"/>
        <v>5.85</v>
      </c>
      <c r="J128" s="20">
        <v>5.85</v>
      </c>
    </row>
    <row r="129" spans="1:10" x14ac:dyDescent="0.3">
      <c r="A129" s="3" t="s">
        <v>246</v>
      </c>
      <c r="B129" s="24" t="s">
        <v>246</v>
      </c>
      <c r="C129" s="44" t="b">
        <f t="shared" si="13"/>
        <v>1</v>
      </c>
      <c r="D129" s="3" t="s">
        <v>241</v>
      </c>
      <c r="E129" s="18">
        <v>45762.625</v>
      </c>
      <c r="F129" s="19">
        <v>10</v>
      </c>
      <c r="G129" s="19">
        <v>50</v>
      </c>
      <c r="H129" s="1">
        <f>1.92-0.3</f>
        <v>1.6199999999999999</v>
      </c>
      <c r="I129" s="22">
        <f t="shared" si="12"/>
        <v>8.1</v>
      </c>
      <c r="J129" s="20">
        <v>8.1</v>
      </c>
    </row>
    <row r="130" spans="1:10" x14ac:dyDescent="0.3">
      <c r="A130" s="3" t="s">
        <v>247</v>
      </c>
      <c r="B130" s="24" t="s">
        <v>247</v>
      </c>
      <c r="C130" s="44" t="b">
        <f t="shared" si="13"/>
        <v>1</v>
      </c>
      <c r="D130" s="3" t="s">
        <v>241</v>
      </c>
      <c r="E130" s="18">
        <v>45763.375</v>
      </c>
      <c r="F130" s="19">
        <v>10</v>
      </c>
      <c r="G130" s="19">
        <v>50</v>
      </c>
      <c r="H130" s="1">
        <f>1.91-0.3</f>
        <v>1.6099999999999999</v>
      </c>
      <c r="I130" s="22">
        <f t="shared" si="12"/>
        <v>8.0500000000000007</v>
      </c>
      <c r="J130" s="20">
        <v>8.0500000000000007</v>
      </c>
    </row>
    <row r="131" spans="1:10" x14ac:dyDescent="0.3">
      <c r="A131" s="3" t="s">
        <v>248</v>
      </c>
      <c r="B131" s="24" t="s">
        <v>248</v>
      </c>
      <c r="C131" s="44" t="b">
        <f t="shared" si="13"/>
        <v>1</v>
      </c>
      <c r="D131" s="3" t="s">
        <v>241</v>
      </c>
      <c r="E131" s="18">
        <v>45756.625</v>
      </c>
      <c r="F131" s="19">
        <v>10</v>
      </c>
      <c r="G131" s="19">
        <v>50</v>
      </c>
      <c r="H131" s="1">
        <f>0.61-0.3</f>
        <v>0.31</v>
      </c>
      <c r="I131" s="22">
        <f t="shared" si="12"/>
        <v>1.55</v>
      </c>
      <c r="J131" s="20">
        <v>1.55</v>
      </c>
    </row>
    <row r="132" spans="1:10" x14ac:dyDescent="0.3">
      <c r="A132" s="3" t="s">
        <v>249</v>
      </c>
      <c r="B132" s="24" t="s">
        <v>249</v>
      </c>
      <c r="C132" s="44" t="b">
        <f t="shared" si="13"/>
        <v>1</v>
      </c>
      <c r="D132" s="3" t="s">
        <v>241</v>
      </c>
      <c r="E132" s="18">
        <v>45757.375</v>
      </c>
      <c r="F132" s="19">
        <v>10</v>
      </c>
      <c r="G132" s="19">
        <v>50</v>
      </c>
      <c r="H132" s="1">
        <f>1.04-0.3</f>
        <v>0.74</v>
      </c>
      <c r="I132" s="22">
        <f t="shared" si="12"/>
        <v>3.7</v>
      </c>
      <c r="J132" s="20">
        <v>3.7</v>
      </c>
    </row>
    <row r="133" spans="1:10" x14ac:dyDescent="0.3">
      <c r="A133" s="3" t="s">
        <v>250</v>
      </c>
      <c r="B133" s="24" t="s">
        <v>250</v>
      </c>
      <c r="C133" s="44" t="b">
        <f t="shared" si="13"/>
        <v>1</v>
      </c>
      <c r="D133" s="3" t="s">
        <v>241</v>
      </c>
      <c r="E133" s="18">
        <v>45757.5</v>
      </c>
      <c r="F133" s="19">
        <v>10</v>
      </c>
      <c r="G133" s="19">
        <v>50</v>
      </c>
      <c r="H133" s="1">
        <f>0.83-0.3</f>
        <v>0.53</v>
      </c>
      <c r="I133" s="22">
        <f t="shared" si="12"/>
        <v>2.65</v>
      </c>
      <c r="J133" s="20">
        <v>2.65</v>
      </c>
    </row>
    <row r="134" spans="1:10" x14ac:dyDescent="0.3">
      <c r="A134" s="3" t="s">
        <v>251</v>
      </c>
      <c r="B134" s="24" t="s">
        <v>251</v>
      </c>
      <c r="C134" s="44" t="b">
        <f t="shared" si="13"/>
        <v>1</v>
      </c>
      <c r="D134" s="3" t="s">
        <v>241</v>
      </c>
      <c r="E134" s="18">
        <v>45757.645833333336</v>
      </c>
      <c r="F134" s="19">
        <v>10</v>
      </c>
      <c r="G134" s="19">
        <v>50</v>
      </c>
      <c r="H134" s="1">
        <f>0.83-0.3</f>
        <v>0.53</v>
      </c>
      <c r="I134" s="22">
        <f t="shared" si="12"/>
        <v>2.65</v>
      </c>
      <c r="J134" s="20">
        <v>2.65</v>
      </c>
    </row>
    <row r="135" spans="1:10" x14ac:dyDescent="0.3">
      <c r="A135" s="3" t="s">
        <v>252</v>
      </c>
      <c r="B135" s="24" t="s">
        <v>252</v>
      </c>
      <c r="C135" s="44" t="b">
        <f t="shared" si="13"/>
        <v>1</v>
      </c>
      <c r="D135" s="3" t="s">
        <v>241</v>
      </c>
      <c r="E135" s="18">
        <v>45758.375</v>
      </c>
      <c r="F135" s="19">
        <v>10</v>
      </c>
      <c r="G135" s="19">
        <v>50</v>
      </c>
      <c r="H135" s="1">
        <f>1.6-0.3</f>
        <v>1.3</v>
      </c>
      <c r="I135" s="22">
        <f t="shared" si="12"/>
        <v>6.5</v>
      </c>
      <c r="J135" s="20">
        <v>6.5</v>
      </c>
    </row>
    <row r="136" spans="1:10" x14ac:dyDescent="0.3">
      <c r="A136" s="3" t="s">
        <v>253</v>
      </c>
      <c r="B136" s="24" t="s">
        <v>253</v>
      </c>
      <c r="C136" s="44" t="b">
        <f t="shared" si="13"/>
        <v>1</v>
      </c>
      <c r="D136" s="3" t="s">
        <v>241</v>
      </c>
      <c r="E136" s="18">
        <v>45758.604166666664</v>
      </c>
      <c r="F136" s="19">
        <v>10</v>
      </c>
      <c r="G136" s="19">
        <v>50</v>
      </c>
      <c r="H136" s="1">
        <f>1.39-0.3</f>
        <v>1.0899999999999999</v>
      </c>
      <c r="I136" s="22">
        <f t="shared" si="12"/>
        <v>5.4499999999999993</v>
      </c>
      <c r="J136" s="20">
        <v>5.4499999999999993</v>
      </c>
    </row>
    <row r="137" spans="1:10" x14ac:dyDescent="0.3">
      <c r="A137" s="3" t="s">
        <v>254</v>
      </c>
      <c r="B137" s="24" t="s">
        <v>254</v>
      </c>
      <c r="C137" s="44" t="b">
        <f t="shared" si="13"/>
        <v>1</v>
      </c>
      <c r="D137" s="3" t="s">
        <v>241</v>
      </c>
      <c r="E137" s="18">
        <v>45759.416666666664</v>
      </c>
      <c r="F137" s="19">
        <v>10</v>
      </c>
      <c r="G137" s="19">
        <v>50</v>
      </c>
      <c r="H137" s="1">
        <f>0.87-0.3</f>
        <v>0.57000000000000006</v>
      </c>
      <c r="I137" s="22">
        <f t="shared" si="12"/>
        <v>2.8500000000000005</v>
      </c>
      <c r="J137" s="20">
        <v>2.8500000000000005</v>
      </c>
    </row>
    <row r="138" spans="1:10" x14ac:dyDescent="0.3">
      <c r="A138" s="26" t="s">
        <v>255</v>
      </c>
      <c r="B138" s="26" t="s">
        <v>255</v>
      </c>
      <c r="C138" s="44" t="b">
        <f t="shared" si="13"/>
        <v>1</v>
      </c>
      <c r="D138" s="3" t="s">
        <v>241</v>
      </c>
      <c r="E138" s="18">
        <v>45760.708333333336</v>
      </c>
      <c r="F138" s="19">
        <v>10</v>
      </c>
      <c r="G138" s="19">
        <v>50</v>
      </c>
      <c r="H138" s="1">
        <f>1.71-0.3</f>
        <v>1.41</v>
      </c>
      <c r="I138" s="22">
        <f t="shared" si="12"/>
        <v>7.05</v>
      </c>
      <c r="J138" s="20">
        <v>7.05</v>
      </c>
    </row>
    <row r="139" spans="1:10" x14ac:dyDescent="0.3">
      <c r="A139" s="3" t="s">
        <v>256</v>
      </c>
      <c r="B139" s="24" t="s">
        <v>256</v>
      </c>
      <c r="C139" s="44" t="b">
        <f t="shared" si="13"/>
        <v>1</v>
      </c>
      <c r="D139" s="3" t="s">
        <v>241</v>
      </c>
      <c r="E139" s="18">
        <v>45763.625</v>
      </c>
      <c r="F139" s="19">
        <v>10</v>
      </c>
      <c r="G139" s="19">
        <v>50</v>
      </c>
      <c r="H139" s="1">
        <f>1.38-0.3</f>
        <v>1.0799999999999998</v>
      </c>
      <c r="I139" s="22">
        <f t="shared" si="12"/>
        <v>5.3999999999999995</v>
      </c>
      <c r="J139" s="20">
        <v>5.3999999999999995</v>
      </c>
    </row>
  </sheetData>
  <autoFilter ref="A1:J139" xr:uid="{DB748906-54C0-449F-B0A0-66717C13EB83}">
    <sortState xmlns:xlrd2="http://schemas.microsoft.com/office/spreadsheetml/2017/richdata2" ref="A2:J139">
      <sortCondition ref="A1:A139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ECE70-8344-4556-8E16-B4FB6DB502A8}">
  <dimension ref="A1:H121"/>
  <sheetViews>
    <sheetView workbookViewId="0">
      <selection activeCell="C24" sqref="C24"/>
    </sheetView>
  </sheetViews>
  <sheetFormatPr baseColWidth="10" defaultColWidth="9.109375" defaultRowHeight="20.100000000000001" customHeight="1" x14ac:dyDescent="0.3"/>
  <cols>
    <col min="1" max="1" width="22" style="24" customWidth="1"/>
    <col min="2" max="2" width="12.6640625" style="24" customWidth="1"/>
    <col min="3" max="3" width="16.109375" style="24" customWidth="1"/>
    <col min="4" max="5" width="18.109375" style="24" customWidth="1"/>
    <col min="6" max="6" width="19.5546875" style="24" customWidth="1"/>
    <col min="7" max="7" width="39.109375" style="24" hidden="1" customWidth="1"/>
    <col min="8" max="8" width="23.44140625" style="24" customWidth="1"/>
    <col min="9" max="16384" width="9.109375" style="1"/>
  </cols>
  <sheetData>
    <row r="1" spans="1:8" ht="20.100000000000001" customHeight="1" x14ac:dyDescent="0.3">
      <c r="A1" s="23" t="s">
        <v>316</v>
      </c>
      <c r="B1" s="23" t="s">
        <v>317</v>
      </c>
      <c r="C1" s="23" t="s">
        <v>83</v>
      </c>
      <c r="D1" s="23" t="s">
        <v>0</v>
      </c>
      <c r="E1" s="23" t="s">
        <v>318</v>
      </c>
      <c r="F1" s="27" t="s">
        <v>319</v>
      </c>
      <c r="G1" s="28" t="s">
        <v>320</v>
      </c>
      <c r="H1" s="23" t="s">
        <v>321</v>
      </c>
    </row>
    <row r="2" spans="1:8" ht="20.100000000000001" customHeight="1" x14ac:dyDescent="0.3">
      <c r="A2" s="24" t="s">
        <v>123</v>
      </c>
      <c r="B2" s="24" t="s">
        <v>32</v>
      </c>
      <c r="C2" s="24">
        <v>1040.0999999999999</v>
      </c>
      <c r="D2" s="29">
        <v>45731</v>
      </c>
      <c r="E2" s="29" t="s">
        <v>322</v>
      </c>
      <c r="F2" s="24">
        <v>42.5</v>
      </c>
      <c r="G2" s="26" t="s">
        <v>323</v>
      </c>
      <c r="H2" s="24" t="s">
        <v>324</v>
      </c>
    </row>
    <row r="3" spans="1:8" ht="20.100000000000001" customHeight="1" x14ac:dyDescent="0.3">
      <c r="A3" s="24" t="s">
        <v>123</v>
      </c>
      <c r="B3" s="24" t="s">
        <v>33</v>
      </c>
      <c r="C3" s="24">
        <v>1040.0999999999999</v>
      </c>
      <c r="D3" s="29">
        <v>45731</v>
      </c>
      <c r="E3" s="29" t="s">
        <v>322</v>
      </c>
      <c r="F3" s="24">
        <v>13.5</v>
      </c>
      <c r="G3" s="26" t="s">
        <v>323</v>
      </c>
      <c r="H3" s="24" t="s">
        <v>324</v>
      </c>
    </row>
    <row r="4" spans="1:8" ht="20.100000000000001" customHeight="1" x14ac:dyDescent="0.3">
      <c r="A4" s="24" t="s">
        <v>135</v>
      </c>
      <c r="B4" s="24" t="s">
        <v>32</v>
      </c>
      <c r="C4" s="24">
        <v>1050.4000000000001</v>
      </c>
      <c r="D4" s="29">
        <v>45731</v>
      </c>
      <c r="E4" s="29" t="s">
        <v>322</v>
      </c>
      <c r="F4" s="24">
        <v>15</v>
      </c>
      <c r="G4" s="26" t="s">
        <v>325</v>
      </c>
      <c r="H4" s="24" t="s">
        <v>324</v>
      </c>
    </row>
    <row r="5" spans="1:8" ht="20.100000000000001" customHeight="1" x14ac:dyDescent="0.3">
      <c r="A5" s="24" t="s">
        <v>135</v>
      </c>
      <c r="B5" s="24" t="s">
        <v>33</v>
      </c>
      <c r="C5" s="24">
        <v>1050.4000000000001</v>
      </c>
      <c r="D5" s="29">
        <v>45731</v>
      </c>
      <c r="E5" s="29" t="s">
        <v>322</v>
      </c>
      <c r="F5" s="24">
        <v>6.5</v>
      </c>
      <c r="G5" s="26" t="s">
        <v>325</v>
      </c>
      <c r="H5" s="24" t="s">
        <v>324</v>
      </c>
    </row>
    <row r="6" spans="1:8" ht="20.100000000000001" customHeight="1" x14ac:dyDescent="0.3">
      <c r="A6" s="26" t="s">
        <v>123</v>
      </c>
      <c r="B6" s="24" t="s">
        <v>32</v>
      </c>
      <c r="C6" s="24">
        <v>1016.2</v>
      </c>
      <c r="D6" s="29">
        <v>45732</v>
      </c>
      <c r="E6" s="29" t="s">
        <v>326</v>
      </c>
      <c r="F6" s="24">
        <v>62.5</v>
      </c>
      <c r="G6" s="26" t="s">
        <v>327</v>
      </c>
      <c r="H6" s="24" t="s">
        <v>324</v>
      </c>
    </row>
    <row r="7" spans="1:8" ht="20.100000000000001" customHeight="1" x14ac:dyDescent="0.3">
      <c r="A7" s="26" t="s">
        <v>123</v>
      </c>
      <c r="B7" s="24" t="s">
        <v>33</v>
      </c>
      <c r="C7" s="24">
        <v>1016.2</v>
      </c>
      <c r="D7" s="29">
        <v>45732</v>
      </c>
      <c r="E7" s="29" t="s">
        <v>326</v>
      </c>
      <c r="F7" s="24">
        <v>29</v>
      </c>
      <c r="G7" s="26" t="s">
        <v>327</v>
      </c>
      <c r="H7" s="24" t="s">
        <v>324</v>
      </c>
    </row>
    <row r="8" spans="1:8" ht="20.100000000000001" customHeight="1" x14ac:dyDescent="0.3">
      <c r="A8" s="24" t="s">
        <v>135</v>
      </c>
      <c r="B8" s="24" t="s">
        <v>32</v>
      </c>
      <c r="C8" s="24">
        <v>1028</v>
      </c>
      <c r="D8" s="29">
        <v>45733</v>
      </c>
      <c r="E8" s="29" t="s">
        <v>322</v>
      </c>
      <c r="F8" s="24">
        <v>67.5</v>
      </c>
      <c r="G8" s="26" t="s">
        <v>328</v>
      </c>
      <c r="H8" s="24" t="s">
        <v>324</v>
      </c>
    </row>
    <row r="9" spans="1:8" ht="20.100000000000001" customHeight="1" x14ac:dyDescent="0.3">
      <c r="A9" s="24" t="s">
        <v>135</v>
      </c>
      <c r="B9" s="24" t="s">
        <v>33</v>
      </c>
      <c r="C9" s="24">
        <v>1028</v>
      </c>
      <c r="D9" s="29">
        <v>45733</v>
      </c>
      <c r="E9" s="29" t="s">
        <v>322</v>
      </c>
      <c r="F9" s="24">
        <v>33</v>
      </c>
      <c r="G9" s="26" t="s">
        <v>329</v>
      </c>
      <c r="H9" s="24" t="s">
        <v>324</v>
      </c>
    </row>
    <row r="10" spans="1:8" ht="20.100000000000001" customHeight="1" x14ac:dyDescent="0.3">
      <c r="A10" s="30" t="s">
        <v>123</v>
      </c>
      <c r="B10" s="30" t="s">
        <v>32</v>
      </c>
      <c r="C10" s="30">
        <v>998.8</v>
      </c>
      <c r="D10" s="31">
        <v>45733</v>
      </c>
      <c r="E10" s="31" t="s">
        <v>330</v>
      </c>
      <c r="F10" s="30">
        <v>45</v>
      </c>
      <c r="G10" s="32" t="s">
        <v>331</v>
      </c>
      <c r="H10" s="24" t="s">
        <v>324</v>
      </c>
    </row>
    <row r="11" spans="1:8" ht="20.100000000000001" customHeight="1" x14ac:dyDescent="0.3">
      <c r="A11" s="30" t="s">
        <v>123</v>
      </c>
      <c r="B11" s="30" t="s">
        <v>33</v>
      </c>
      <c r="C11" s="30">
        <v>998.8</v>
      </c>
      <c r="D11" s="31">
        <v>45733</v>
      </c>
      <c r="E11" s="31" t="s">
        <v>330</v>
      </c>
      <c r="F11" s="30">
        <v>25</v>
      </c>
      <c r="G11" s="32" t="s">
        <v>332</v>
      </c>
      <c r="H11" s="24" t="s">
        <v>324</v>
      </c>
    </row>
    <row r="12" spans="1:8" ht="20.100000000000001" customHeight="1" x14ac:dyDescent="0.3">
      <c r="A12" s="24" t="s">
        <v>135</v>
      </c>
      <c r="B12" s="24" t="s">
        <v>32</v>
      </c>
      <c r="C12" s="24">
        <v>1000.3</v>
      </c>
      <c r="D12" s="29">
        <v>45734</v>
      </c>
      <c r="E12" s="29" t="s">
        <v>333</v>
      </c>
      <c r="F12" s="24">
        <v>27.5</v>
      </c>
      <c r="G12" s="26" t="s">
        <v>334</v>
      </c>
      <c r="H12" s="24" t="s">
        <v>324</v>
      </c>
    </row>
    <row r="13" spans="1:8" ht="20.100000000000001" customHeight="1" x14ac:dyDescent="0.3">
      <c r="A13" s="24" t="s">
        <v>135</v>
      </c>
      <c r="B13" s="24" t="s">
        <v>33</v>
      </c>
      <c r="C13" s="24">
        <v>1000.3</v>
      </c>
      <c r="D13" s="29">
        <v>45734</v>
      </c>
      <c r="E13" s="29" t="s">
        <v>333</v>
      </c>
      <c r="F13" s="24">
        <v>15</v>
      </c>
      <c r="G13" s="26" t="s">
        <v>335</v>
      </c>
      <c r="H13" s="24" t="s">
        <v>324</v>
      </c>
    </row>
    <row r="14" spans="1:8" ht="20.100000000000001" customHeight="1" x14ac:dyDescent="0.3">
      <c r="A14" s="25" t="s">
        <v>123</v>
      </c>
      <c r="B14" s="25" t="s">
        <v>32</v>
      </c>
      <c r="C14" s="25">
        <v>990.7</v>
      </c>
      <c r="D14" s="33">
        <v>45735</v>
      </c>
      <c r="E14" s="33" t="s">
        <v>336</v>
      </c>
      <c r="F14" s="25">
        <v>29</v>
      </c>
      <c r="G14" s="34" t="s">
        <v>337</v>
      </c>
      <c r="H14" s="24" t="s">
        <v>324</v>
      </c>
    </row>
    <row r="15" spans="1:8" ht="20.100000000000001" customHeight="1" x14ac:dyDescent="0.3">
      <c r="A15" s="25" t="s">
        <v>123</v>
      </c>
      <c r="B15" s="25" t="s">
        <v>33</v>
      </c>
      <c r="C15" s="25">
        <v>990.7</v>
      </c>
      <c r="D15" s="33">
        <v>45735</v>
      </c>
      <c r="E15" s="33" t="s">
        <v>336</v>
      </c>
      <c r="F15" s="25">
        <v>15</v>
      </c>
      <c r="G15" s="34" t="s">
        <v>338</v>
      </c>
      <c r="H15" s="24" t="s">
        <v>324</v>
      </c>
    </row>
    <row r="16" spans="1:8" ht="20.100000000000001" customHeight="1" x14ac:dyDescent="0.3">
      <c r="A16" s="24" t="s">
        <v>135</v>
      </c>
      <c r="B16" s="24" t="s">
        <v>32</v>
      </c>
      <c r="C16" s="24">
        <v>994</v>
      </c>
      <c r="D16" s="29">
        <v>45737</v>
      </c>
      <c r="E16" s="29" t="s">
        <v>339</v>
      </c>
      <c r="F16" s="24" t="s">
        <v>340</v>
      </c>
      <c r="G16" s="26" t="s">
        <v>341</v>
      </c>
      <c r="H16" s="24" t="s">
        <v>324</v>
      </c>
    </row>
    <row r="17" spans="1:8" ht="20.100000000000001" customHeight="1" x14ac:dyDescent="0.3">
      <c r="A17" s="24" t="s">
        <v>135</v>
      </c>
      <c r="B17" s="24" t="s">
        <v>33</v>
      </c>
      <c r="C17" s="24">
        <v>994.6</v>
      </c>
      <c r="D17" s="29">
        <v>45737</v>
      </c>
      <c r="E17" s="29" t="s">
        <v>339</v>
      </c>
      <c r="F17" s="35">
        <v>22</v>
      </c>
      <c r="G17" s="26" t="s">
        <v>342</v>
      </c>
      <c r="H17" s="24" t="s">
        <v>324</v>
      </c>
    </row>
    <row r="18" spans="1:8" ht="20.100000000000001" customHeight="1" x14ac:dyDescent="0.3">
      <c r="A18" s="24" t="s">
        <v>178</v>
      </c>
      <c r="B18" s="24" t="s">
        <v>32</v>
      </c>
      <c r="C18" s="24">
        <v>1037.2</v>
      </c>
      <c r="D18" s="29">
        <v>45744</v>
      </c>
      <c r="E18" s="29" t="s">
        <v>339</v>
      </c>
      <c r="F18" s="24">
        <v>34.9</v>
      </c>
      <c r="G18" s="26" t="s">
        <v>343</v>
      </c>
      <c r="H18" s="24" t="s">
        <v>324</v>
      </c>
    </row>
    <row r="19" spans="1:8" ht="20.100000000000001" customHeight="1" x14ac:dyDescent="0.3">
      <c r="A19" s="24" t="s">
        <v>178</v>
      </c>
      <c r="B19" s="24" t="s">
        <v>33</v>
      </c>
      <c r="C19" s="24">
        <v>1037.2</v>
      </c>
      <c r="D19" s="29">
        <v>45744</v>
      </c>
      <c r="E19" s="29" t="s">
        <v>339</v>
      </c>
      <c r="F19" s="24">
        <v>15.3</v>
      </c>
      <c r="G19" s="26" t="s">
        <v>343</v>
      </c>
      <c r="H19" s="24" t="s">
        <v>324</v>
      </c>
    </row>
    <row r="20" spans="1:8" ht="20.100000000000001" customHeight="1" x14ac:dyDescent="0.3">
      <c r="A20" s="24" t="s">
        <v>201</v>
      </c>
      <c r="B20" s="24" t="s">
        <v>32</v>
      </c>
      <c r="C20" s="24">
        <v>1036.7</v>
      </c>
      <c r="D20" s="29">
        <v>45744</v>
      </c>
      <c r="E20" s="29" t="s">
        <v>339</v>
      </c>
      <c r="F20" s="24">
        <v>35.799999999999997</v>
      </c>
      <c r="G20" s="26" t="s">
        <v>344</v>
      </c>
      <c r="H20" s="24" t="s">
        <v>324</v>
      </c>
    </row>
    <row r="21" spans="1:8" ht="20.100000000000001" customHeight="1" x14ac:dyDescent="0.3">
      <c r="A21" s="24" t="s">
        <v>201</v>
      </c>
      <c r="B21" s="24" t="s">
        <v>33</v>
      </c>
      <c r="C21" s="24">
        <v>1036.7</v>
      </c>
      <c r="D21" s="29">
        <v>45744</v>
      </c>
      <c r="E21" s="29" t="s">
        <v>339</v>
      </c>
      <c r="F21" s="24">
        <v>15.4</v>
      </c>
      <c r="G21" s="26" t="s">
        <v>344</v>
      </c>
      <c r="H21" s="24" t="s">
        <v>324</v>
      </c>
    </row>
    <row r="22" spans="1:8" ht="20.100000000000001" customHeight="1" x14ac:dyDescent="0.3">
      <c r="A22" s="24" t="s">
        <v>178</v>
      </c>
      <c r="B22" s="24" t="s">
        <v>32</v>
      </c>
      <c r="C22" s="24">
        <v>1023</v>
      </c>
      <c r="D22" s="29">
        <v>45746</v>
      </c>
      <c r="E22" s="29" t="s">
        <v>345</v>
      </c>
      <c r="F22" s="24">
        <v>31.9</v>
      </c>
      <c r="G22" s="26" t="s">
        <v>346</v>
      </c>
      <c r="H22" s="24" t="s">
        <v>324</v>
      </c>
    </row>
    <row r="23" spans="1:8" ht="20.100000000000001" customHeight="1" x14ac:dyDescent="0.3">
      <c r="A23" s="24" t="s">
        <v>178</v>
      </c>
      <c r="B23" s="24" t="s">
        <v>33</v>
      </c>
      <c r="C23" s="24">
        <v>1023</v>
      </c>
      <c r="D23" s="29">
        <v>45746</v>
      </c>
      <c r="E23" s="29" t="s">
        <v>345</v>
      </c>
      <c r="F23" s="24">
        <v>15</v>
      </c>
      <c r="G23" s="26" t="s">
        <v>346</v>
      </c>
      <c r="H23" s="24" t="s">
        <v>324</v>
      </c>
    </row>
    <row r="24" spans="1:8" ht="20.100000000000001" customHeight="1" x14ac:dyDescent="0.3">
      <c r="A24" s="24" t="s">
        <v>201</v>
      </c>
      <c r="B24" s="24" t="s">
        <v>32</v>
      </c>
      <c r="C24" s="24">
        <v>1022.8</v>
      </c>
      <c r="D24" s="29">
        <v>45746</v>
      </c>
      <c r="E24" s="29" t="s">
        <v>345</v>
      </c>
      <c r="F24" s="24">
        <v>30</v>
      </c>
      <c r="G24" s="26" t="s">
        <v>347</v>
      </c>
      <c r="H24" s="24" t="s">
        <v>324</v>
      </c>
    </row>
    <row r="25" spans="1:8" ht="20.100000000000001" customHeight="1" x14ac:dyDescent="0.3">
      <c r="A25" s="24" t="s">
        <v>201</v>
      </c>
      <c r="B25" s="24" t="s">
        <v>33</v>
      </c>
      <c r="C25" s="24">
        <v>1022.8</v>
      </c>
      <c r="D25" s="29">
        <v>45746</v>
      </c>
      <c r="E25" s="29" t="s">
        <v>345</v>
      </c>
      <c r="F25" s="24">
        <v>14.9</v>
      </c>
      <c r="G25" s="26" t="s">
        <v>347</v>
      </c>
      <c r="H25" s="24" t="s">
        <v>324</v>
      </c>
    </row>
    <row r="26" spans="1:8" ht="20.100000000000001" customHeight="1" x14ac:dyDescent="0.3">
      <c r="A26" s="24" t="s">
        <v>178</v>
      </c>
      <c r="B26" s="24" t="s">
        <v>32</v>
      </c>
      <c r="C26" s="24">
        <v>1003.9</v>
      </c>
      <c r="D26" s="29">
        <v>45747</v>
      </c>
      <c r="E26" s="29" t="s">
        <v>348</v>
      </c>
      <c r="F26" s="24">
        <v>35.1</v>
      </c>
      <c r="G26" s="26" t="s">
        <v>349</v>
      </c>
      <c r="H26" s="24" t="s">
        <v>324</v>
      </c>
    </row>
    <row r="27" spans="1:8" ht="20.100000000000001" customHeight="1" x14ac:dyDescent="0.3">
      <c r="A27" s="24" t="s">
        <v>178</v>
      </c>
      <c r="B27" s="24" t="s">
        <v>33</v>
      </c>
      <c r="C27" s="24">
        <v>1003.9</v>
      </c>
      <c r="D27" s="29">
        <v>45747</v>
      </c>
      <c r="E27" s="29" t="s">
        <v>348</v>
      </c>
      <c r="F27" s="24">
        <v>21.9</v>
      </c>
      <c r="G27" s="26" t="s">
        <v>349</v>
      </c>
      <c r="H27" s="24" t="s">
        <v>324</v>
      </c>
    </row>
    <row r="28" spans="1:8" ht="20.100000000000001" customHeight="1" x14ac:dyDescent="0.3">
      <c r="A28" s="24" t="s">
        <v>201</v>
      </c>
      <c r="B28" s="24" t="s">
        <v>32</v>
      </c>
      <c r="C28" s="24">
        <v>1005.1</v>
      </c>
      <c r="D28" s="29">
        <v>45747</v>
      </c>
      <c r="E28" s="29" t="s">
        <v>348</v>
      </c>
      <c r="F28" s="24">
        <v>35.4</v>
      </c>
      <c r="G28" s="26" t="s">
        <v>350</v>
      </c>
      <c r="H28" s="24" t="s">
        <v>324</v>
      </c>
    </row>
    <row r="29" spans="1:8" ht="20.100000000000001" customHeight="1" x14ac:dyDescent="0.3">
      <c r="A29" s="24" t="s">
        <v>201</v>
      </c>
      <c r="B29" s="24" t="s">
        <v>33</v>
      </c>
      <c r="C29" s="24">
        <v>1005.1</v>
      </c>
      <c r="D29" s="29">
        <v>45747</v>
      </c>
      <c r="E29" s="29" t="s">
        <v>348</v>
      </c>
      <c r="F29" s="24">
        <v>21.2</v>
      </c>
      <c r="G29" s="26" t="s">
        <v>350</v>
      </c>
      <c r="H29" s="24" t="s">
        <v>324</v>
      </c>
    </row>
    <row r="30" spans="1:8" ht="20.100000000000001" customHeight="1" x14ac:dyDescent="0.3">
      <c r="A30" s="24" t="s">
        <v>178</v>
      </c>
      <c r="B30" s="24" t="s">
        <v>32</v>
      </c>
      <c r="C30" s="24">
        <v>994.1</v>
      </c>
      <c r="D30" s="29">
        <v>45751</v>
      </c>
      <c r="E30" s="29" t="s">
        <v>339</v>
      </c>
      <c r="F30" s="24">
        <v>24.9</v>
      </c>
      <c r="G30" s="26" t="s">
        <v>351</v>
      </c>
      <c r="H30" s="24" t="s">
        <v>324</v>
      </c>
    </row>
    <row r="31" spans="1:8" ht="20.100000000000001" customHeight="1" x14ac:dyDescent="0.3">
      <c r="A31" s="24" t="s">
        <v>178</v>
      </c>
      <c r="B31" s="24" t="s">
        <v>33</v>
      </c>
      <c r="C31" s="24">
        <v>994.1</v>
      </c>
      <c r="D31" s="29">
        <v>45751</v>
      </c>
      <c r="E31" s="29" t="s">
        <v>339</v>
      </c>
      <c r="F31" s="24">
        <v>16</v>
      </c>
      <c r="G31" s="26" t="s">
        <v>351</v>
      </c>
      <c r="H31" s="24" t="s">
        <v>324</v>
      </c>
    </row>
    <row r="32" spans="1:8" ht="20.100000000000001" customHeight="1" x14ac:dyDescent="0.3">
      <c r="A32" s="24" t="s">
        <v>201</v>
      </c>
      <c r="B32" s="24" t="s">
        <v>32</v>
      </c>
      <c r="C32" s="24">
        <v>995.1</v>
      </c>
      <c r="D32" s="29">
        <v>45751</v>
      </c>
      <c r="E32" s="29" t="s">
        <v>339</v>
      </c>
      <c r="F32" s="24">
        <v>19.3</v>
      </c>
      <c r="G32" s="26" t="s">
        <v>352</v>
      </c>
      <c r="H32" s="24" t="s">
        <v>324</v>
      </c>
    </row>
    <row r="33" spans="1:8" ht="20.100000000000001" customHeight="1" x14ac:dyDescent="0.3">
      <c r="A33" s="24" t="s">
        <v>201</v>
      </c>
      <c r="B33" s="24" t="s">
        <v>33</v>
      </c>
      <c r="C33" s="24">
        <v>995.1</v>
      </c>
      <c r="D33" s="29">
        <v>45751</v>
      </c>
      <c r="E33" s="29" t="s">
        <v>339</v>
      </c>
      <c r="F33" s="24">
        <v>17.100000000000001</v>
      </c>
      <c r="G33" s="26" t="s">
        <v>352</v>
      </c>
      <c r="H33" s="24" t="s">
        <v>324</v>
      </c>
    </row>
    <row r="34" spans="1:8" ht="20.100000000000001" customHeight="1" x14ac:dyDescent="0.3">
      <c r="A34" s="24" t="s">
        <v>223</v>
      </c>
      <c r="B34" s="24" t="s">
        <v>32</v>
      </c>
      <c r="C34" s="24">
        <v>1044.9000000000001</v>
      </c>
      <c r="D34" s="29">
        <v>45757</v>
      </c>
      <c r="E34" s="29" t="s">
        <v>353</v>
      </c>
      <c r="F34" s="24">
        <v>22</v>
      </c>
      <c r="G34" s="26" t="s">
        <v>354</v>
      </c>
      <c r="H34" s="24" t="s">
        <v>324</v>
      </c>
    </row>
    <row r="35" spans="1:8" ht="20.100000000000001" customHeight="1" x14ac:dyDescent="0.3">
      <c r="A35" s="24" t="s">
        <v>223</v>
      </c>
      <c r="B35" s="24" t="s">
        <v>33</v>
      </c>
      <c r="C35" s="24">
        <v>1044.9000000000001</v>
      </c>
      <c r="D35" s="29">
        <v>45757</v>
      </c>
      <c r="E35" s="29" t="s">
        <v>353</v>
      </c>
      <c r="F35" s="24">
        <v>11.5</v>
      </c>
      <c r="G35" s="26" t="s">
        <v>354</v>
      </c>
      <c r="H35" s="24" t="s">
        <v>324</v>
      </c>
    </row>
    <row r="36" spans="1:8" ht="20.100000000000001" customHeight="1" x14ac:dyDescent="0.3">
      <c r="A36" s="24" t="s">
        <v>241</v>
      </c>
      <c r="B36" s="24" t="s">
        <v>32</v>
      </c>
      <c r="C36" s="24">
        <v>1043.5999999999999</v>
      </c>
      <c r="D36" s="29">
        <v>45757</v>
      </c>
      <c r="E36" s="29" t="s">
        <v>353</v>
      </c>
      <c r="F36" s="24">
        <v>22.5</v>
      </c>
      <c r="G36" s="26" t="s">
        <v>355</v>
      </c>
      <c r="H36" s="24" t="s">
        <v>324</v>
      </c>
    </row>
    <row r="37" spans="1:8" ht="20.100000000000001" customHeight="1" x14ac:dyDescent="0.3">
      <c r="A37" s="24" t="s">
        <v>241</v>
      </c>
      <c r="B37" s="24" t="s">
        <v>33</v>
      </c>
      <c r="C37" s="24">
        <v>1043.5999999999999</v>
      </c>
      <c r="D37" s="29">
        <v>45757</v>
      </c>
      <c r="E37" s="29" t="s">
        <v>353</v>
      </c>
      <c r="F37" s="24">
        <v>12.4</v>
      </c>
      <c r="G37" s="26" t="s">
        <v>356</v>
      </c>
      <c r="H37" s="24" t="s">
        <v>324</v>
      </c>
    </row>
    <row r="38" spans="1:8" ht="20.100000000000001" customHeight="1" x14ac:dyDescent="0.3">
      <c r="A38" s="24" t="s">
        <v>223</v>
      </c>
      <c r="B38" s="24" t="s">
        <v>32</v>
      </c>
      <c r="C38" s="24">
        <v>1025.9000000000001</v>
      </c>
      <c r="D38" s="29">
        <v>45758</v>
      </c>
      <c r="E38" s="29" t="s">
        <v>357</v>
      </c>
      <c r="F38" s="24">
        <v>32</v>
      </c>
      <c r="G38" s="26" t="s">
        <v>358</v>
      </c>
      <c r="H38" s="24" t="s">
        <v>324</v>
      </c>
    </row>
    <row r="39" spans="1:8" ht="20.100000000000001" customHeight="1" x14ac:dyDescent="0.3">
      <c r="A39" s="24" t="s">
        <v>223</v>
      </c>
      <c r="B39" s="24" t="s">
        <v>33</v>
      </c>
      <c r="C39" s="24">
        <v>1025.9000000000001</v>
      </c>
      <c r="D39" s="29">
        <v>45758</v>
      </c>
      <c r="E39" s="29" t="s">
        <v>357</v>
      </c>
      <c r="F39" s="24">
        <v>19.8</v>
      </c>
      <c r="G39" s="26" t="s">
        <v>358</v>
      </c>
      <c r="H39" s="24" t="s">
        <v>324</v>
      </c>
    </row>
    <row r="40" spans="1:8" ht="20.100000000000001" customHeight="1" x14ac:dyDescent="0.3">
      <c r="A40" s="24" t="s">
        <v>241</v>
      </c>
      <c r="B40" s="24" t="s">
        <v>32</v>
      </c>
      <c r="C40" s="24">
        <v>1024.8</v>
      </c>
      <c r="D40" s="29">
        <v>45758</v>
      </c>
      <c r="E40" s="29" t="s">
        <v>357</v>
      </c>
      <c r="F40" s="24">
        <v>34</v>
      </c>
      <c r="G40" s="26" t="s">
        <v>359</v>
      </c>
      <c r="H40" s="24" t="s">
        <v>324</v>
      </c>
    </row>
    <row r="41" spans="1:8" ht="20.100000000000001" customHeight="1" x14ac:dyDescent="0.3">
      <c r="A41" s="24" t="s">
        <v>241</v>
      </c>
      <c r="B41" s="24" t="s">
        <v>33</v>
      </c>
      <c r="C41" s="24">
        <v>1024.8</v>
      </c>
      <c r="D41" s="29">
        <v>45758</v>
      </c>
      <c r="E41" s="29" t="s">
        <v>357</v>
      </c>
      <c r="F41" s="24">
        <v>19.899999999999999</v>
      </c>
      <c r="G41" s="26" t="s">
        <v>359</v>
      </c>
      <c r="H41" s="24" t="s">
        <v>324</v>
      </c>
    </row>
    <row r="42" spans="1:8" ht="20.100000000000001" customHeight="1" x14ac:dyDescent="0.3">
      <c r="A42" s="24" t="s">
        <v>223</v>
      </c>
      <c r="B42" s="24" t="s">
        <v>32</v>
      </c>
      <c r="C42" s="24">
        <v>1013.3</v>
      </c>
      <c r="D42" s="29">
        <v>45759</v>
      </c>
      <c r="E42" s="29" t="s">
        <v>339</v>
      </c>
      <c r="F42" s="24">
        <v>25</v>
      </c>
      <c r="G42" s="26" t="s">
        <v>360</v>
      </c>
      <c r="H42" s="24" t="s">
        <v>324</v>
      </c>
    </row>
    <row r="43" spans="1:8" ht="20.100000000000001" customHeight="1" x14ac:dyDescent="0.3">
      <c r="A43" s="24" t="s">
        <v>223</v>
      </c>
      <c r="B43" s="24" t="s">
        <v>33</v>
      </c>
      <c r="C43" s="24">
        <v>1013.3</v>
      </c>
      <c r="D43" s="29">
        <v>45759</v>
      </c>
      <c r="E43" s="29" t="s">
        <v>339</v>
      </c>
      <c r="F43" s="24">
        <v>15</v>
      </c>
      <c r="G43" s="26" t="s">
        <v>361</v>
      </c>
      <c r="H43" s="24" t="s">
        <v>324</v>
      </c>
    </row>
    <row r="44" spans="1:8" ht="20.100000000000001" customHeight="1" x14ac:dyDescent="0.3">
      <c r="A44" s="24" t="s">
        <v>241</v>
      </c>
      <c r="B44" s="24" t="s">
        <v>32</v>
      </c>
      <c r="C44" s="24">
        <v>1012.7</v>
      </c>
      <c r="D44" s="29">
        <v>45759</v>
      </c>
      <c r="E44" s="29" t="s">
        <v>339</v>
      </c>
      <c r="F44" s="24">
        <v>27.5</v>
      </c>
      <c r="G44" s="26" t="s">
        <v>362</v>
      </c>
      <c r="H44" s="24" t="s">
        <v>324</v>
      </c>
    </row>
    <row r="45" spans="1:8" ht="20.100000000000001" customHeight="1" x14ac:dyDescent="0.3">
      <c r="A45" s="24" t="s">
        <v>241</v>
      </c>
      <c r="B45" s="24" t="s">
        <v>33</v>
      </c>
      <c r="C45" s="24">
        <v>1012.7</v>
      </c>
      <c r="D45" s="29">
        <v>45759</v>
      </c>
      <c r="E45" s="29" t="s">
        <v>339</v>
      </c>
      <c r="F45" s="24">
        <v>17.5</v>
      </c>
      <c r="G45" s="26" t="s">
        <v>362</v>
      </c>
      <c r="H45" s="24" t="s">
        <v>324</v>
      </c>
    </row>
    <row r="46" spans="1:8" ht="20.100000000000001" customHeight="1" x14ac:dyDescent="0.3">
      <c r="A46" s="24" t="s">
        <v>223</v>
      </c>
      <c r="B46" s="24" t="s">
        <v>32</v>
      </c>
      <c r="C46" s="24">
        <v>1003.7</v>
      </c>
      <c r="D46" s="29">
        <v>45760</v>
      </c>
      <c r="E46" s="36">
        <v>0.70833333333333337</v>
      </c>
      <c r="F46" s="24">
        <v>23</v>
      </c>
      <c r="G46" s="26" t="s">
        <v>363</v>
      </c>
      <c r="H46" s="24" t="s">
        <v>324</v>
      </c>
    </row>
    <row r="47" spans="1:8" ht="20.100000000000001" customHeight="1" x14ac:dyDescent="0.3">
      <c r="A47" s="24" t="s">
        <v>223</v>
      </c>
      <c r="B47" s="24" t="s">
        <v>33</v>
      </c>
      <c r="C47" s="24">
        <v>1003.7</v>
      </c>
      <c r="D47" s="29">
        <v>45760</v>
      </c>
      <c r="E47" s="36">
        <v>0.70833333333333337</v>
      </c>
      <c r="F47" s="24">
        <v>15</v>
      </c>
      <c r="G47" s="26" t="s">
        <v>363</v>
      </c>
      <c r="H47" s="24" t="s">
        <v>324</v>
      </c>
    </row>
    <row r="48" spans="1:8" ht="20.100000000000001" customHeight="1" x14ac:dyDescent="0.3">
      <c r="A48" s="24" t="s">
        <v>241</v>
      </c>
      <c r="B48" s="24" t="s">
        <v>32</v>
      </c>
      <c r="C48" s="24">
        <v>1002.4</v>
      </c>
      <c r="D48" s="29">
        <v>45760</v>
      </c>
      <c r="E48" s="36">
        <v>0.70833333333333337</v>
      </c>
      <c r="F48" s="24">
        <v>25</v>
      </c>
      <c r="G48" s="26" t="s">
        <v>364</v>
      </c>
      <c r="H48" s="24" t="s">
        <v>324</v>
      </c>
    </row>
    <row r="49" spans="1:8" ht="20.100000000000001" customHeight="1" x14ac:dyDescent="0.3">
      <c r="A49" s="24" t="s">
        <v>241</v>
      </c>
      <c r="B49" s="24" t="s">
        <v>33</v>
      </c>
      <c r="C49" s="24">
        <v>1002.4</v>
      </c>
      <c r="D49" s="29">
        <v>45760</v>
      </c>
      <c r="E49" s="36">
        <v>0.70833333333333337</v>
      </c>
      <c r="F49" s="24">
        <v>16.5</v>
      </c>
      <c r="G49" s="26" t="s">
        <v>364</v>
      </c>
      <c r="H49" s="24" t="s">
        <v>324</v>
      </c>
    </row>
    <row r="50" spans="1:8" ht="20.100000000000001" customHeight="1" x14ac:dyDescent="0.3">
      <c r="A50" s="24" t="s">
        <v>223</v>
      </c>
      <c r="B50" s="24" t="s">
        <v>32</v>
      </c>
      <c r="C50" s="24">
        <v>997.7</v>
      </c>
      <c r="D50" s="29">
        <v>45761</v>
      </c>
      <c r="E50" s="36">
        <v>0.625</v>
      </c>
      <c r="F50" s="24">
        <v>11</v>
      </c>
      <c r="G50" s="26" t="s">
        <v>365</v>
      </c>
      <c r="H50" s="24" t="s">
        <v>324</v>
      </c>
    </row>
    <row r="51" spans="1:8" ht="20.100000000000001" customHeight="1" x14ac:dyDescent="0.3">
      <c r="A51" s="24" t="s">
        <v>223</v>
      </c>
      <c r="B51" s="24" t="s">
        <v>33</v>
      </c>
      <c r="C51" s="24">
        <v>997.7</v>
      </c>
      <c r="D51" s="29">
        <v>45761</v>
      </c>
      <c r="E51" s="36">
        <v>0.625</v>
      </c>
      <c r="F51" s="24">
        <v>6.8</v>
      </c>
      <c r="G51" s="26" t="s">
        <v>365</v>
      </c>
      <c r="H51" s="24" t="s">
        <v>324</v>
      </c>
    </row>
    <row r="52" spans="1:8" ht="20.100000000000001" customHeight="1" x14ac:dyDescent="0.3">
      <c r="A52" s="24" t="s">
        <v>241</v>
      </c>
      <c r="B52" s="24" t="s">
        <v>32</v>
      </c>
      <c r="C52" s="24">
        <v>997.3</v>
      </c>
      <c r="D52" s="29">
        <v>45761</v>
      </c>
      <c r="E52" s="36">
        <v>0.625</v>
      </c>
      <c r="F52" s="24">
        <v>9</v>
      </c>
      <c r="G52" s="26" t="s">
        <v>366</v>
      </c>
      <c r="H52" s="24" t="s">
        <v>324</v>
      </c>
    </row>
    <row r="53" spans="1:8" ht="20.100000000000001" customHeight="1" x14ac:dyDescent="0.3">
      <c r="A53" s="24" t="s">
        <v>241</v>
      </c>
      <c r="B53" s="24" t="s">
        <v>33</v>
      </c>
      <c r="C53" s="24">
        <v>997.3</v>
      </c>
      <c r="D53" s="29">
        <v>45761</v>
      </c>
      <c r="E53" s="36">
        <v>0.625</v>
      </c>
      <c r="F53" s="24">
        <v>6.8</v>
      </c>
      <c r="G53" s="26" t="s">
        <v>366</v>
      </c>
      <c r="H53" s="24" t="s">
        <v>324</v>
      </c>
    </row>
    <row r="54" spans="1:8" ht="20.100000000000001" customHeight="1" x14ac:dyDescent="0.3">
      <c r="A54" s="24" t="s">
        <v>223</v>
      </c>
      <c r="B54" s="24" t="s">
        <v>32</v>
      </c>
      <c r="C54" s="24">
        <v>994.3</v>
      </c>
      <c r="D54" s="29">
        <v>45762</v>
      </c>
      <c r="E54" s="36">
        <v>0.625</v>
      </c>
      <c r="F54" s="24">
        <v>4.5</v>
      </c>
      <c r="G54" s="26" t="s">
        <v>367</v>
      </c>
      <c r="H54" s="24" t="s">
        <v>324</v>
      </c>
    </row>
    <row r="55" spans="1:8" ht="20.100000000000001" customHeight="1" x14ac:dyDescent="0.3">
      <c r="A55" s="24" t="s">
        <v>223</v>
      </c>
      <c r="B55" s="24" t="s">
        <v>33</v>
      </c>
      <c r="C55" s="24">
        <v>994.3</v>
      </c>
      <c r="D55" s="29">
        <v>45762</v>
      </c>
      <c r="E55" s="36">
        <v>0.625</v>
      </c>
      <c r="F55" s="24">
        <v>5.8</v>
      </c>
      <c r="G55" s="26" t="s">
        <v>367</v>
      </c>
      <c r="H55" s="24" t="s">
        <v>324</v>
      </c>
    </row>
    <row r="56" spans="1:8" ht="20.100000000000001" customHeight="1" x14ac:dyDescent="0.3">
      <c r="A56" s="24" t="s">
        <v>241</v>
      </c>
      <c r="B56" s="24" t="s">
        <v>32</v>
      </c>
      <c r="C56" s="24">
        <v>993.3</v>
      </c>
      <c r="D56" s="29">
        <v>45762</v>
      </c>
      <c r="E56" s="36">
        <v>0.625</v>
      </c>
      <c r="F56" s="24">
        <v>6.8</v>
      </c>
      <c r="G56" s="26" t="s">
        <v>368</v>
      </c>
      <c r="H56" s="24" t="s">
        <v>324</v>
      </c>
    </row>
    <row r="57" spans="1:8" ht="20.100000000000001" customHeight="1" x14ac:dyDescent="0.3">
      <c r="A57" s="24" t="s">
        <v>241</v>
      </c>
      <c r="B57" s="24" t="s">
        <v>33</v>
      </c>
      <c r="C57" s="24">
        <v>993.3</v>
      </c>
      <c r="D57" s="29">
        <v>45762</v>
      </c>
      <c r="E57" s="36">
        <v>0.625</v>
      </c>
      <c r="F57" s="24">
        <v>6.1</v>
      </c>
      <c r="G57" s="26" t="s">
        <v>368</v>
      </c>
      <c r="H57" s="24" t="s">
        <v>324</v>
      </c>
    </row>
    <row r="58" spans="1:8" ht="20.100000000000001" customHeight="1" x14ac:dyDescent="0.3">
      <c r="A58" s="24" t="s">
        <v>223</v>
      </c>
      <c r="B58" s="24" t="s">
        <v>32</v>
      </c>
      <c r="C58" s="24">
        <v>991.8</v>
      </c>
      <c r="D58" s="29">
        <v>45763</v>
      </c>
      <c r="E58" s="36">
        <v>0.625</v>
      </c>
      <c r="F58" s="24">
        <v>4.0999999999999996</v>
      </c>
      <c r="G58" s="26" t="s">
        <v>369</v>
      </c>
      <c r="H58" s="24" t="s">
        <v>324</v>
      </c>
    </row>
    <row r="59" spans="1:8" ht="20.100000000000001" customHeight="1" x14ac:dyDescent="0.3">
      <c r="A59" s="24" t="s">
        <v>223</v>
      </c>
      <c r="B59" s="24" t="s">
        <v>33</v>
      </c>
      <c r="C59" s="24">
        <v>991.8</v>
      </c>
      <c r="D59" s="29">
        <v>45763</v>
      </c>
      <c r="E59" s="36">
        <v>0.625</v>
      </c>
      <c r="F59" s="24">
        <v>4</v>
      </c>
      <c r="G59" s="26" t="s">
        <v>369</v>
      </c>
      <c r="H59" s="24" t="s">
        <v>324</v>
      </c>
    </row>
    <row r="60" spans="1:8" ht="20.100000000000001" customHeight="1" x14ac:dyDescent="0.3">
      <c r="A60" s="24" t="s">
        <v>241</v>
      </c>
      <c r="B60" s="24" t="s">
        <v>32</v>
      </c>
      <c r="C60" s="24">
        <v>991.1</v>
      </c>
      <c r="D60" s="29">
        <v>45763</v>
      </c>
      <c r="E60" s="36">
        <v>0.625</v>
      </c>
      <c r="F60" s="24">
        <v>4.2</v>
      </c>
      <c r="G60" s="26" t="s">
        <v>370</v>
      </c>
      <c r="H60" s="24" t="s">
        <v>324</v>
      </c>
    </row>
    <row r="61" spans="1:8" ht="20.100000000000001" customHeight="1" x14ac:dyDescent="0.3">
      <c r="A61" s="24" t="s">
        <v>241</v>
      </c>
      <c r="B61" s="24" t="s">
        <v>33</v>
      </c>
      <c r="C61" s="24">
        <v>991.1</v>
      </c>
      <c r="D61" s="29">
        <v>45763</v>
      </c>
      <c r="E61" s="36">
        <v>0.625</v>
      </c>
      <c r="F61" s="24">
        <v>4.2</v>
      </c>
      <c r="G61" s="26" t="s">
        <v>370</v>
      </c>
      <c r="H61" s="24" t="s">
        <v>324</v>
      </c>
    </row>
    <row r="62" spans="1:8" ht="20.100000000000001" customHeight="1" x14ac:dyDescent="0.3">
      <c r="A62" s="24" t="s">
        <v>258</v>
      </c>
      <c r="B62" s="24" t="s">
        <v>32</v>
      </c>
      <c r="C62" s="24">
        <v>1058</v>
      </c>
      <c r="D62" s="29">
        <v>45770</v>
      </c>
      <c r="E62" s="36">
        <v>0.41666666666666669</v>
      </c>
      <c r="F62" s="24">
        <v>1.2</v>
      </c>
      <c r="G62" s="26" t="s">
        <v>371</v>
      </c>
      <c r="H62" s="24" t="s">
        <v>324</v>
      </c>
    </row>
    <row r="63" spans="1:8" ht="20.100000000000001" customHeight="1" x14ac:dyDescent="0.3">
      <c r="A63" s="24" t="s">
        <v>258</v>
      </c>
      <c r="B63" s="24" t="s">
        <v>33</v>
      </c>
      <c r="C63" s="24">
        <v>1058</v>
      </c>
      <c r="D63" s="29">
        <v>45770</v>
      </c>
      <c r="E63" s="36">
        <v>0.41666666666666669</v>
      </c>
      <c r="F63" s="24">
        <v>0.3</v>
      </c>
      <c r="G63" s="26" t="s">
        <v>371</v>
      </c>
      <c r="H63" s="24" t="s">
        <v>324</v>
      </c>
    </row>
    <row r="64" spans="1:8" ht="20.100000000000001" customHeight="1" x14ac:dyDescent="0.3">
      <c r="A64" s="24" t="s">
        <v>284</v>
      </c>
      <c r="B64" s="24" t="s">
        <v>32</v>
      </c>
      <c r="C64" s="24">
        <v>1058.5999999999999</v>
      </c>
      <c r="D64" s="29">
        <v>45770</v>
      </c>
      <c r="E64" s="36">
        <v>0.41666666666666669</v>
      </c>
      <c r="F64" s="24">
        <v>0.1</v>
      </c>
      <c r="G64" s="26" t="s">
        <v>372</v>
      </c>
      <c r="H64" s="24" t="s">
        <v>324</v>
      </c>
    </row>
    <row r="65" spans="1:8" ht="20.100000000000001" customHeight="1" x14ac:dyDescent="0.3">
      <c r="A65" s="24" t="s">
        <v>284</v>
      </c>
      <c r="B65" s="24" t="s">
        <v>33</v>
      </c>
      <c r="C65" s="24">
        <v>1058.5999999999999</v>
      </c>
      <c r="D65" s="29">
        <v>45770</v>
      </c>
      <c r="E65" s="36">
        <v>0.41666666666666669</v>
      </c>
      <c r="F65" s="24">
        <v>0</v>
      </c>
      <c r="G65" s="26" t="s">
        <v>372</v>
      </c>
      <c r="H65" s="24" t="s">
        <v>324</v>
      </c>
    </row>
    <row r="66" spans="1:8" ht="20.100000000000001" customHeight="1" x14ac:dyDescent="0.3">
      <c r="A66" s="24" t="s">
        <v>258</v>
      </c>
      <c r="B66" s="24" t="s">
        <v>32</v>
      </c>
      <c r="C66" s="24">
        <v>1053.5</v>
      </c>
      <c r="D66" s="29">
        <v>45771</v>
      </c>
      <c r="E66" s="36">
        <v>0.41666666666666669</v>
      </c>
      <c r="F66" s="24">
        <v>3.4</v>
      </c>
      <c r="G66" s="26" t="s">
        <v>373</v>
      </c>
      <c r="H66" s="24" t="s">
        <v>324</v>
      </c>
    </row>
    <row r="67" spans="1:8" ht="20.100000000000001" customHeight="1" x14ac:dyDescent="0.3">
      <c r="A67" s="24" t="s">
        <v>258</v>
      </c>
      <c r="B67" s="24" t="s">
        <v>33</v>
      </c>
      <c r="C67" s="24">
        <v>1053.5</v>
      </c>
      <c r="D67" s="29">
        <v>45771</v>
      </c>
      <c r="E67" s="36">
        <v>0.41666666666666669</v>
      </c>
      <c r="F67" s="24">
        <v>1.5</v>
      </c>
      <c r="G67" s="26" t="s">
        <v>373</v>
      </c>
      <c r="H67" s="24" t="s">
        <v>324</v>
      </c>
    </row>
    <row r="68" spans="1:8" ht="20.100000000000001" customHeight="1" x14ac:dyDescent="0.3">
      <c r="A68" s="24" t="s">
        <v>284</v>
      </c>
      <c r="B68" s="24" t="s">
        <v>32</v>
      </c>
      <c r="C68" s="24">
        <v>1058</v>
      </c>
      <c r="D68" s="29">
        <v>45771</v>
      </c>
      <c r="E68" s="36">
        <v>0.41666666666666669</v>
      </c>
      <c r="F68" s="24">
        <v>0.1</v>
      </c>
      <c r="G68" s="26" t="s">
        <v>374</v>
      </c>
      <c r="H68" s="24" t="s">
        <v>324</v>
      </c>
    </row>
    <row r="69" spans="1:8" ht="20.100000000000001" customHeight="1" x14ac:dyDescent="0.3">
      <c r="A69" s="24" t="s">
        <v>284</v>
      </c>
      <c r="B69" s="24" t="s">
        <v>33</v>
      </c>
      <c r="C69" s="24">
        <v>1058</v>
      </c>
      <c r="D69" s="29">
        <v>45771</v>
      </c>
      <c r="E69" s="36">
        <v>0.41666666666666669</v>
      </c>
      <c r="F69" s="24">
        <v>0.57999999999999996</v>
      </c>
      <c r="G69" s="26" t="s">
        <v>374</v>
      </c>
      <c r="H69" s="24" t="s">
        <v>324</v>
      </c>
    </row>
    <row r="70" spans="1:8" ht="20.100000000000001" customHeight="1" x14ac:dyDescent="0.3">
      <c r="A70" s="24" t="s">
        <v>258</v>
      </c>
      <c r="B70" s="24" t="s">
        <v>32</v>
      </c>
      <c r="C70" s="24">
        <v>1047.2</v>
      </c>
      <c r="D70" s="29">
        <v>45772</v>
      </c>
      <c r="E70" s="36">
        <v>0.41666666666666669</v>
      </c>
      <c r="F70" s="24">
        <v>7.3</v>
      </c>
      <c r="G70" s="26" t="s">
        <v>375</v>
      </c>
      <c r="H70" s="24" t="s">
        <v>324</v>
      </c>
    </row>
    <row r="71" spans="1:8" ht="20.100000000000001" customHeight="1" x14ac:dyDescent="0.3">
      <c r="A71" s="24" t="s">
        <v>258</v>
      </c>
      <c r="B71" s="24" t="s">
        <v>33</v>
      </c>
      <c r="C71" s="24">
        <v>1047.2</v>
      </c>
      <c r="D71" s="29">
        <v>45772</v>
      </c>
      <c r="E71" s="36">
        <v>0.41666666666666669</v>
      </c>
      <c r="F71" s="24">
        <v>3.9</v>
      </c>
      <c r="G71" s="26" t="s">
        <v>375</v>
      </c>
      <c r="H71" s="24" t="s">
        <v>324</v>
      </c>
    </row>
    <row r="72" spans="1:8" ht="20.100000000000001" customHeight="1" x14ac:dyDescent="0.3">
      <c r="A72" s="24" t="s">
        <v>284</v>
      </c>
      <c r="B72" s="24" t="s">
        <v>32</v>
      </c>
      <c r="C72" s="24">
        <v>1057.2</v>
      </c>
      <c r="D72" s="29">
        <v>45772</v>
      </c>
      <c r="E72" s="36">
        <v>0.41666666666666669</v>
      </c>
      <c r="F72" s="24">
        <v>0.51</v>
      </c>
      <c r="G72" s="26" t="s">
        <v>376</v>
      </c>
      <c r="H72" s="24" t="s">
        <v>324</v>
      </c>
    </row>
    <row r="73" spans="1:8" ht="20.100000000000001" customHeight="1" x14ac:dyDescent="0.3">
      <c r="A73" s="24" t="s">
        <v>284</v>
      </c>
      <c r="B73" s="24" t="s">
        <v>33</v>
      </c>
      <c r="C73" s="24">
        <v>1055.0999999999999</v>
      </c>
      <c r="D73" s="29">
        <v>45772</v>
      </c>
      <c r="E73" s="36">
        <v>0.41666666666666669</v>
      </c>
      <c r="F73" s="24">
        <v>2.4</v>
      </c>
      <c r="G73" s="26" t="s">
        <v>377</v>
      </c>
      <c r="H73" s="24" t="s">
        <v>324</v>
      </c>
    </row>
    <row r="74" spans="1:8" ht="20.100000000000001" customHeight="1" x14ac:dyDescent="0.3">
      <c r="A74" s="24" t="s">
        <v>284</v>
      </c>
      <c r="B74" s="24" t="s">
        <v>33</v>
      </c>
      <c r="C74" s="24">
        <v>1057.2</v>
      </c>
      <c r="D74" s="29">
        <v>45773</v>
      </c>
      <c r="E74" s="36">
        <v>0.41666666666666702</v>
      </c>
      <c r="F74" s="24">
        <v>0.8</v>
      </c>
      <c r="G74" s="26" t="s">
        <v>376</v>
      </c>
      <c r="H74" s="24" t="s">
        <v>324</v>
      </c>
    </row>
    <row r="75" spans="1:8" ht="20.100000000000001" customHeight="1" x14ac:dyDescent="0.3">
      <c r="A75" s="24" t="s">
        <v>258</v>
      </c>
      <c r="B75" s="24" t="s">
        <v>32</v>
      </c>
      <c r="C75" s="24">
        <v>1037</v>
      </c>
      <c r="D75" s="29">
        <v>45773</v>
      </c>
      <c r="E75" s="36">
        <v>0.41666666666666702</v>
      </c>
      <c r="F75" s="24">
        <v>12.6</v>
      </c>
      <c r="G75" s="26" t="s">
        <v>378</v>
      </c>
      <c r="H75" s="24" t="s">
        <v>324</v>
      </c>
    </row>
    <row r="76" spans="1:8" ht="20.100000000000001" customHeight="1" x14ac:dyDescent="0.3">
      <c r="A76" s="24" t="s">
        <v>258</v>
      </c>
      <c r="B76" s="24" t="s">
        <v>33</v>
      </c>
      <c r="C76" s="24">
        <v>1037</v>
      </c>
      <c r="D76" s="29">
        <v>45773</v>
      </c>
      <c r="E76" s="36">
        <v>0.41666666666666702</v>
      </c>
      <c r="F76" s="24">
        <v>7.9</v>
      </c>
      <c r="G76" s="26" t="s">
        <v>378</v>
      </c>
      <c r="H76" s="24" t="s">
        <v>324</v>
      </c>
    </row>
    <row r="77" spans="1:8" ht="20.100000000000001" customHeight="1" x14ac:dyDescent="0.3">
      <c r="A77" s="24" t="s">
        <v>284</v>
      </c>
      <c r="B77" s="24" t="s">
        <v>32</v>
      </c>
      <c r="C77" s="24">
        <v>1055.0999999999999</v>
      </c>
      <c r="D77" s="29">
        <v>45773</v>
      </c>
      <c r="E77" s="36">
        <v>0.41666666666666702</v>
      </c>
      <c r="F77" s="24">
        <v>2.4</v>
      </c>
      <c r="G77" s="26" t="s">
        <v>377</v>
      </c>
      <c r="H77" s="24" t="s">
        <v>324</v>
      </c>
    </row>
    <row r="78" spans="1:8" ht="20.100000000000001" customHeight="1" x14ac:dyDescent="0.3">
      <c r="A78" s="24" t="s">
        <v>258</v>
      </c>
      <c r="B78" s="24" t="s">
        <v>32</v>
      </c>
      <c r="C78" s="24">
        <v>1025.2</v>
      </c>
      <c r="D78" s="29">
        <v>45774</v>
      </c>
      <c r="E78" s="36">
        <v>0.5625</v>
      </c>
      <c r="F78" s="24">
        <v>15</v>
      </c>
      <c r="G78" s="26" t="s">
        <v>379</v>
      </c>
      <c r="H78" s="24" t="s">
        <v>324</v>
      </c>
    </row>
    <row r="79" spans="1:8" ht="20.100000000000001" customHeight="1" x14ac:dyDescent="0.3">
      <c r="A79" s="24" t="s">
        <v>258</v>
      </c>
      <c r="B79" s="24" t="s">
        <v>33</v>
      </c>
      <c r="C79" s="24">
        <v>1025.2</v>
      </c>
      <c r="D79" s="29">
        <v>45774</v>
      </c>
      <c r="E79" s="36">
        <v>0.5625</v>
      </c>
      <c r="F79" s="24">
        <v>9.6999999999999993</v>
      </c>
      <c r="G79" s="26" t="s">
        <v>379</v>
      </c>
      <c r="H79" s="24" t="s">
        <v>324</v>
      </c>
    </row>
    <row r="80" spans="1:8" ht="20.100000000000001" customHeight="1" x14ac:dyDescent="0.3">
      <c r="A80" s="24" t="s">
        <v>284</v>
      </c>
      <c r="B80" s="24" t="s">
        <v>32</v>
      </c>
      <c r="C80" s="24">
        <v>1037.5999999999999</v>
      </c>
      <c r="D80" s="29">
        <v>45774</v>
      </c>
      <c r="E80" s="36">
        <v>0.5625</v>
      </c>
      <c r="F80" s="24">
        <v>27</v>
      </c>
      <c r="G80" s="26" t="s">
        <v>380</v>
      </c>
      <c r="H80" s="24" t="s">
        <v>324</v>
      </c>
    </row>
    <row r="81" spans="1:8" ht="20.100000000000001" customHeight="1" x14ac:dyDescent="0.3">
      <c r="A81" s="24" t="s">
        <v>284</v>
      </c>
      <c r="B81" s="24" t="s">
        <v>33</v>
      </c>
      <c r="C81" s="24">
        <v>1037.5999999999999</v>
      </c>
      <c r="D81" s="29">
        <v>45774</v>
      </c>
      <c r="E81" s="36">
        <v>0.5625</v>
      </c>
      <c r="F81" s="24">
        <v>11</v>
      </c>
      <c r="G81" s="26" t="s">
        <v>380</v>
      </c>
      <c r="H81" s="24" t="s">
        <v>324</v>
      </c>
    </row>
    <row r="82" spans="1:8" ht="20.100000000000001" customHeight="1" x14ac:dyDescent="0.3">
      <c r="A82" s="24" t="s">
        <v>258</v>
      </c>
      <c r="B82" s="24" t="s">
        <v>32</v>
      </c>
      <c r="C82" s="24">
        <v>1019.3</v>
      </c>
      <c r="D82" s="29">
        <v>45775</v>
      </c>
      <c r="E82" s="36">
        <v>0.41666666666666669</v>
      </c>
      <c r="F82" s="24">
        <v>11</v>
      </c>
      <c r="G82" s="26" t="s">
        <v>381</v>
      </c>
      <c r="H82" s="24" t="s">
        <v>324</v>
      </c>
    </row>
    <row r="83" spans="1:8" ht="20.100000000000001" customHeight="1" x14ac:dyDescent="0.3">
      <c r="A83" s="24" t="s">
        <v>258</v>
      </c>
      <c r="B83" s="24" t="s">
        <v>33</v>
      </c>
      <c r="C83" s="24">
        <v>1019.3</v>
      </c>
      <c r="D83" s="29">
        <v>45775</v>
      </c>
      <c r="E83" s="36">
        <v>0.41666666666666669</v>
      </c>
      <c r="F83" s="24">
        <v>6</v>
      </c>
      <c r="G83" s="26" t="s">
        <v>381</v>
      </c>
      <c r="H83" s="24" t="s">
        <v>324</v>
      </c>
    </row>
    <row r="84" spans="1:8" ht="20.100000000000001" customHeight="1" x14ac:dyDescent="0.3">
      <c r="A84" s="24" t="s">
        <v>284</v>
      </c>
      <c r="B84" s="24" t="s">
        <v>32</v>
      </c>
      <c r="C84" s="24">
        <v>1024.5</v>
      </c>
      <c r="D84" s="29">
        <v>45775</v>
      </c>
      <c r="E84" s="36">
        <v>0.41666666666666669</v>
      </c>
      <c r="F84" s="24">
        <v>26.8</v>
      </c>
      <c r="G84" s="26" t="s">
        <v>382</v>
      </c>
      <c r="H84" s="24" t="s">
        <v>324</v>
      </c>
    </row>
    <row r="85" spans="1:8" ht="20.100000000000001" customHeight="1" x14ac:dyDescent="0.3">
      <c r="A85" s="24" t="s">
        <v>284</v>
      </c>
      <c r="B85" s="24" t="s">
        <v>33</v>
      </c>
      <c r="C85" s="37">
        <v>1024.5</v>
      </c>
      <c r="D85" s="29">
        <v>45775</v>
      </c>
      <c r="E85" s="36">
        <v>0.41666666666666669</v>
      </c>
      <c r="F85" s="24">
        <v>11.9</v>
      </c>
      <c r="G85" s="26" t="s">
        <v>382</v>
      </c>
      <c r="H85" s="24" t="s">
        <v>324</v>
      </c>
    </row>
    <row r="86" spans="1:8" ht="20.100000000000001" customHeight="1" x14ac:dyDescent="0.3">
      <c r="A86" s="24" t="s">
        <v>258</v>
      </c>
      <c r="B86" s="24" t="s">
        <v>32</v>
      </c>
      <c r="C86" s="24">
        <v>1012.9</v>
      </c>
      <c r="D86" s="29">
        <v>45776</v>
      </c>
      <c r="E86" s="36">
        <v>0.4375</v>
      </c>
      <c r="F86" s="24">
        <v>10</v>
      </c>
      <c r="G86" s="26" t="s">
        <v>383</v>
      </c>
      <c r="H86" s="24" t="s">
        <v>324</v>
      </c>
    </row>
    <row r="87" spans="1:8" ht="20.100000000000001" customHeight="1" x14ac:dyDescent="0.3">
      <c r="A87" s="24" t="s">
        <v>258</v>
      </c>
      <c r="B87" s="24" t="s">
        <v>33</v>
      </c>
      <c r="C87" s="24">
        <v>1012.9</v>
      </c>
      <c r="D87" s="29">
        <v>45776</v>
      </c>
      <c r="E87" s="36">
        <v>0.4375</v>
      </c>
      <c r="F87" s="24">
        <v>5.7</v>
      </c>
      <c r="G87" s="26" t="s">
        <v>383</v>
      </c>
      <c r="H87" s="24" t="s">
        <v>324</v>
      </c>
    </row>
    <row r="88" spans="1:8" ht="20.100000000000001" customHeight="1" x14ac:dyDescent="0.3">
      <c r="A88" s="24" t="s">
        <v>284</v>
      </c>
      <c r="B88" s="24" t="s">
        <v>32</v>
      </c>
      <c r="C88" s="24">
        <v>1015.5</v>
      </c>
      <c r="D88" s="29">
        <v>45776</v>
      </c>
      <c r="E88" s="36">
        <v>0.4375</v>
      </c>
      <c r="F88" s="24">
        <v>12.7</v>
      </c>
      <c r="G88" s="26" t="s">
        <v>384</v>
      </c>
      <c r="H88" s="24" t="s">
        <v>324</v>
      </c>
    </row>
    <row r="89" spans="1:8" ht="20.100000000000001" customHeight="1" x14ac:dyDescent="0.3">
      <c r="A89" s="24" t="s">
        <v>284</v>
      </c>
      <c r="B89" s="24" t="s">
        <v>33</v>
      </c>
      <c r="C89" s="24">
        <v>1015.5</v>
      </c>
      <c r="D89" s="29">
        <v>45776</v>
      </c>
      <c r="E89" s="36">
        <v>0.4375</v>
      </c>
      <c r="F89" s="24">
        <v>8.6</v>
      </c>
      <c r="G89" s="26" t="s">
        <v>384</v>
      </c>
      <c r="H89" s="24" t="s">
        <v>324</v>
      </c>
    </row>
    <row r="90" spans="1:8" ht="20.100000000000001" customHeight="1" x14ac:dyDescent="0.3">
      <c r="A90" s="24" t="s">
        <v>258</v>
      </c>
      <c r="B90" s="24" t="s">
        <v>32</v>
      </c>
      <c r="C90" s="24">
        <v>1008.6</v>
      </c>
      <c r="D90" s="29">
        <v>45777</v>
      </c>
      <c r="E90" s="36">
        <v>0.39583333333333331</v>
      </c>
      <c r="F90" s="24">
        <v>8.5</v>
      </c>
      <c r="G90" s="26" t="s">
        <v>385</v>
      </c>
      <c r="H90" s="24" t="s">
        <v>324</v>
      </c>
    </row>
    <row r="91" spans="1:8" ht="20.100000000000001" customHeight="1" x14ac:dyDescent="0.3">
      <c r="A91" s="24" t="s">
        <v>258</v>
      </c>
      <c r="B91" s="24" t="s">
        <v>33</v>
      </c>
      <c r="C91" s="24">
        <v>1008.6</v>
      </c>
      <c r="D91" s="29">
        <v>45777</v>
      </c>
      <c r="E91" s="36">
        <v>0.39583333333333331</v>
      </c>
      <c r="F91" s="24">
        <v>4.5</v>
      </c>
      <c r="G91" s="26" t="s">
        <v>385</v>
      </c>
      <c r="H91" s="24" t="s">
        <v>324</v>
      </c>
    </row>
    <row r="92" spans="1:8" ht="20.100000000000001" customHeight="1" x14ac:dyDescent="0.3">
      <c r="A92" s="24" t="s">
        <v>284</v>
      </c>
      <c r="B92" s="24" t="s">
        <v>32</v>
      </c>
      <c r="C92" s="24">
        <v>1010.4</v>
      </c>
      <c r="D92" s="29">
        <v>45777</v>
      </c>
      <c r="E92" s="36">
        <v>0.39583333333333331</v>
      </c>
      <c r="F92" s="24">
        <v>7.9</v>
      </c>
      <c r="G92" s="26" t="s">
        <v>386</v>
      </c>
      <c r="H92" s="24" t="s">
        <v>324</v>
      </c>
    </row>
    <row r="93" spans="1:8" ht="20.100000000000001" customHeight="1" x14ac:dyDescent="0.3">
      <c r="A93" s="24" t="s">
        <v>284</v>
      </c>
      <c r="B93" s="24" t="s">
        <v>33</v>
      </c>
      <c r="C93" s="24">
        <v>1010.4</v>
      </c>
      <c r="D93" s="29">
        <v>45777</v>
      </c>
      <c r="E93" s="36">
        <v>0.39583333333333331</v>
      </c>
      <c r="F93" s="24">
        <v>5.0999999999999996</v>
      </c>
      <c r="G93" s="26" t="s">
        <v>386</v>
      </c>
      <c r="H93" s="24" t="s">
        <v>324</v>
      </c>
    </row>
    <row r="94" spans="1:8" ht="20.100000000000001" customHeight="1" x14ac:dyDescent="0.3">
      <c r="A94" s="24" t="s">
        <v>258</v>
      </c>
      <c r="B94" s="24" t="s">
        <v>32</v>
      </c>
      <c r="C94" s="24">
        <v>1003.7</v>
      </c>
      <c r="D94" s="29">
        <v>45778</v>
      </c>
      <c r="E94" s="36">
        <v>0.72916666666666663</v>
      </c>
      <c r="F94" s="24">
        <v>9.5</v>
      </c>
      <c r="G94" s="26" t="s">
        <v>385</v>
      </c>
      <c r="H94" s="24" t="s">
        <v>324</v>
      </c>
    </row>
    <row r="95" spans="1:8" ht="20.100000000000001" customHeight="1" x14ac:dyDescent="0.3">
      <c r="A95" s="24" t="s">
        <v>258</v>
      </c>
      <c r="B95" s="24" t="s">
        <v>33</v>
      </c>
      <c r="C95" s="24">
        <v>1003.7</v>
      </c>
      <c r="D95" s="29">
        <v>45778</v>
      </c>
      <c r="E95" s="36">
        <v>0.72916666666666663</v>
      </c>
      <c r="F95" s="24">
        <v>5</v>
      </c>
      <c r="G95" s="26" t="s">
        <v>385</v>
      </c>
      <c r="H95" s="24" t="s">
        <v>324</v>
      </c>
    </row>
    <row r="96" spans="1:8" ht="20.100000000000001" customHeight="1" x14ac:dyDescent="0.3">
      <c r="A96" s="24" t="s">
        <v>284</v>
      </c>
      <c r="B96" s="24" t="s">
        <v>32</v>
      </c>
      <c r="C96" s="24">
        <v>1006.2</v>
      </c>
      <c r="D96" s="29">
        <v>45778</v>
      </c>
      <c r="E96" s="36">
        <v>0.72916666666666663</v>
      </c>
      <c r="F96" s="24">
        <v>5.5</v>
      </c>
      <c r="G96" s="26" t="s">
        <v>386</v>
      </c>
      <c r="H96" s="24" t="s">
        <v>324</v>
      </c>
    </row>
    <row r="97" spans="1:8" ht="20.100000000000001" customHeight="1" x14ac:dyDescent="0.3">
      <c r="A97" s="24" t="s">
        <v>284</v>
      </c>
      <c r="B97" s="24" t="s">
        <v>33</v>
      </c>
      <c r="C97" s="24">
        <v>1006.2</v>
      </c>
      <c r="D97" s="29">
        <v>45778</v>
      </c>
      <c r="E97" s="36">
        <v>0.72916666666666663</v>
      </c>
      <c r="F97" s="24">
        <v>5.5</v>
      </c>
      <c r="G97" s="26" t="s">
        <v>386</v>
      </c>
      <c r="H97" s="24" t="s">
        <v>324</v>
      </c>
    </row>
    <row r="98" spans="1:8" ht="20.100000000000001" customHeight="1" x14ac:dyDescent="0.3">
      <c r="A98" s="24" t="s">
        <v>258</v>
      </c>
      <c r="B98" s="24" t="s">
        <v>32</v>
      </c>
      <c r="C98" s="24">
        <v>1002.5</v>
      </c>
      <c r="D98" s="29">
        <v>45779</v>
      </c>
      <c r="E98" s="36">
        <v>0.4375</v>
      </c>
      <c r="F98" s="24">
        <v>5.5</v>
      </c>
      <c r="G98" s="26" t="s">
        <v>385</v>
      </c>
      <c r="H98" s="24" t="s">
        <v>324</v>
      </c>
    </row>
    <row r="99" spans="1:8" ht="20.100000000000001" customHeight="1" x14ac:dyDescent="0.3">
      <c r="A99" s="24" t="s">
        <v>258</v>
      </c>
      <c r="B99" s="24" t="s">
        <v>33</v>
      </c>
      <c r="C99" s="24">
        <v>1002.5</v>
      </c>
      <c r="D99" s="29">
        <v>45779</v>
      </c>
      <c r="E99" s="36">
        <v>0.4375</v>
      </c>
      <c r="F99" s="24">
        <v>2.5</v>
      </c>
      <c r="G99" s="26" t="s">
        <v>385</v>
      </c>
      <c r="H99" s="24" t="s">
        <v>324</v>
      </c>
    </row>
    <row r="100" spans="1:8" ht="20.100000000000001" customHeight="1" x14ac:dyDescent="0.3">
      <c r="A100" s="24" t="s">
        <v>284</v>
      </c>
      <c r="B100" s="24" t="s">
        <v>32</v>
      </c>
      <c r="C100" s="24">
        <v>1004.6</v>
      </c>
      <c r="D100" s="29">
        <v>45779</v>
      </c>
      <c r="E100" s="36">
        <v>0.4375</v>
      </c>
      <c r="F100" s="24">
        <v>4</v>
      </c>
      <c r="G100" s="26" t="s">
        <v>386</v>
      </c>
      <c r="H100" s="24" t="s">
        <v>324</v>
      </c>
    </row>
    <row r="101" spans="1:8" ht="20.100000000000001" customHeight="1" x14ac:dyDescent="0.3">
      <c r="A101" s="24" t="s">
        <v>284</v>
      </c>
      <c r="B101" s="24" t="s">
        <v>33</v>
      </c>
      <c r="C101" s="24">
        <v>1004.6</v>
      </c>
      <c r="D101" s="29">
        <v>45779</v>
      </c>
      <c r="E101" s="36">
        <v>0.4375</v>
      </c>
      <c r="F101" s="24">
        <v>2.75</v>
      </c>
      <c r="G101" s="26" t="s">
        <v>386</v>
      </c>
      <c r="H101" s="24" t="s">
        <v>324</v>
      </c>
    </row>
    <row r="102" spans="1:8" ht="20.100000000000001" customHeight="1" x14ac:dyDescent="0.3">
      <c r="A102" s="24" t="s">
        <v>258</v>
      </c>
      <c r="B102" s="24" t="s">
        <v>32</v>
      </c>
      <c r="C102" s="24">
        <v>998.5</v>
      </c>
      <c r="D102" s="29">
        <v>45780</v>
      </c>
      <c r="E102" s="36">
        <v>0.5</v>
      </c>
      <c r="F102" s="24">
        <v>5.4</v>
      </c>
      <c r="G102" s="26" t="s">
        <v>387</v>
      </c>
      <c r="H102" s="24" t="s">
        <v>324</v>
      </c>
    </row>
    <row r="103" spans="1:8" ht="20.100000000000001" customHeight="1" x14ac:dyDescent="0.3">
      <c r="A103" s="24" t="s">
        <v>258</v>
      </c>
      <c r="B103" s="24" t="s">
        <v>33</v>
      </c>
      <c r="C103" s="24">
        <v>998.5</v>
      </c>
      <c r="D103" s="29">
        <v>45780</v>
      </c>
      <c r="E103" s="36">
        <v>0.5</v>
      </c>
      <c r="F103" s="24">
        <v>2.9</v>
      </c>
      <c r="G103" s="26" t="s">
        <v>388</v>
      </c>
      <c r="H103" s="24" t="s">
        <v>324</v>
      </c>
    </row>
    <row r="104" spans="1:8" ht="20.100000000000001" customHeight="1" x14ac:dyDescent="0.3">
      <c r="A104" s="24" t="s">
        <v>284</v>
      </c>
      <c r="B104" s="24" t="s">
        <v>32</v>
      </c>
      <c r="C104" s="24">
        <v>1000.2</v>
      </c>
      <c r="D104" s="29">
        <v>45780</v>
      </c>
      <c r="E104" s="36">
        <v>0.5</v>
      </c>
      <c r="F104" s="24">
        <v>3.9</v>
      </c>
      <c r="G104" s="26" t="s">
        <v>389</v>
      </c>
      <c r="H104" s="24" t="s">
        <v>324</v>
      </c>
    </row>
    <row r="105" spans="1:8" ht="20.100000000000001" customHeight="1" x14ac:dyDescent="0.3">
      <c r="A105" s="24" t="s">
        <v>284</v>
      </c>
      <c r="B105" s="24" t="s">
        <v>33</v>
      </c>
      <c r="C105" s="24">
        <v>1000.2</v>
      </c>
      <c r="D105" s="29">
        <v>45780</v>
      </c>
      <c r="E105" s="36">
        <v>0.5</v>
      </c>
      <c r="F105" s="24">
        <v>1.8</v>
      </c>
      <c r="G105" s="26" t="s">
        <v>389</v>
      </c>
      <c r="H105" s="24" t="s">
        <v>324</v>
      </c>
    </row>
    <row r="106" spans="1:8" ht="20.100000000000001" customHeight="1" x14ac:dyDescent="0.3">
      <c r="A106" s="24" t="s">
        <v>258</v>
      </c>
      <c r="B106" s="24" t="s">
        <v>32</v>
      </c>
      <c r="C106" s="24">
        <v>996</v>
      </c>
      <c r="D106" s="29">
        <v>45781</v>
      </c>
      <c r="E106" s="36">
        <v>0.5</v>
      </c>
      <c r="F106" s="24">
        <v>3.3</v>
      </c>
      <c r="G106" s="26" t="s">
        <v>390</v>
      </c>
      <c r="H106" s="24" t="s">
        <v>324</v>
      </c>
    </row>
    <row r="107" spans="1:8" ht="20.100000000000001" customHeight="1" x14ac:dyDescent="0.3">
      <c r="A107" s="24" t="s">
        <v>258</v>
      </c>
      <c r="B107" s="24" t="s">
        <v>33</v>
      </c>
      <c r="C107" s="24">
        <v>996</v>
      </c>
      <c r="D107" s="29">
        <v>45781</v>
      </c>
      <c r="E107" s="36">
        <v>0.5</v>
      </c>
      <c r="F107" s="24">
        <v>2.5</v>
      </c>
      <c r="G107" s="26" t="s">
        <v>390</v>
      </c>
      <c r="H107" s="24" t="s">
        <v>324</v>
      </c>
    </row>
    <row r="108" spans="1:8" ht="20.100000000000001" customHeight="1" x14ac:dyDescent="0.3">
      <c r="A108" s="24" t="s">
        <v>284</v>
      </c>
      <c r="B108" s="24" t="s">
        <v>32</v>
      </c>
      <c r="C108" s="24">
        <v>997.8</v>
      </c>
      <c r="D108" s="29">
        <v>45781</v>
      </c>
      <c r="E108" s="36">
        <v>0.5</v>
      </c>
      <c r="F108" s="24">
        <v>1.8</v>
      </c>
      <c r="G108" s="26" t="s">
        <v>391</v>
      </c>
      <c r="H108" s="24" t="s">
        <v>324</v>
      </c>
    </row>
    <row r="109" spans="1:8" ht="20.100000000000001" customHeight="1" x14ac:dyDescent="0.3">
      <c r="A109" s="24" t="s">
        <v>284</v>
      </c>
      <c r="B109" s="24" t="s">
        <v>33</v>
      </c>
      <c r="C109" s="24">
        <v>997.8</v>
      </c>
      <c r="D109" s="29">
        <v>45781</v>
      </c>
      <c r="E109" s="36">
        <v>0.5</v>
      </c>
      <c r="F109" s="24">
        <v>2.4</v>
      </c>
      <c r="G109" s="26" t="s">
        <v>391</v>
      </c>
      <c r="H109" s="24" t="s">
        <v>324</v>
      </c>
    </row>
    <row r="110" spans="1:8" ht="20.100000000000001" customHeight="1" x14ac:dyDescent="0.3">
      <c r="A110" s="24" t="s">
        <v>258</v>
      </c>
      <c r="B110" s="24" t="s">
        <v>32</v>
      </c>
      <c r="C110" s="24">
        <v>996</v>
      </c>
      <c r="D110" s="29">
        <v>45782</v>
      </c>
      <c r="E110" s="36">
        <v>0.41666666666666669</v>
      </c>
      <c r="F110" s="24">
        <v>4.4000000000000004</v>
      </c>
      <c r="G110" s="26" t="s">
        <v>392</v>
      </c>
      <c r="H110" s="24" t="s">
        <v>324</v>
      </c>
    </row>
    <row r="111" spans="1:8" ht="20.100000000000001" customHeight="1" x14ac:dyDescent="0.3">
      <c r="A111" s="24" t="s">
        <v>258</v>
      </c>
      <c r="B111" s="24" t="s">
        <v>33</v>
      </c>
      <c r="C111" s="24">
        <v>996</v>
      </c>
      <c r="D111" s="29">
        <v>45782</v>
      </c>
      <c r="E111" s="36">
        <v>0.41666666666666669</v>
      </c>
      <c r="F111" s="24">
        <v>2.2000000000000002</v>
      </c>
      <c r="G111" s="26" t="s">
        <v>392</v>
      </c>
      <c r="H111" s="24" t="s">
        <v>324</v>
      </c>
    </row>
    <row r="112" spans="1:8" ht="20.100000000000001" customHeight="1" x14ac:dyDescent="0.3">
      <c r="A112" s="24" t="s">
        <v>284</v>
      </c>
      <c r="B112" s="24" t="s">
        <v>32</v>
      </c>
      <c r="C112" s="24">
        <v>997.1</v>
      </c>
      <c r="D112" s="29">
        <v>45782</v>
      </c>
      <c r="E112" s="36">
        <v>0.41666666666666669</v>
      </c>
      <c r="F112" s="24">
        <v>2.7</v>
      </c>
      <c r="G112" s="26" t="s">
        <v>393</v>
      </c>
      <c r="H112" s="24" t="s">
        <v>324</v>
      </c>
    </row>
    <row r="113" spans="1:8" ht="20.100000000000001" customHeight="1" x14ac:dyDescent="0.3">
      <c r="A113" s="24" t="s">
        <v>284</v>
      </c>
      <c r="B113" s="24" t="s">
        <v>33</v>
      </c>
      <c r="C113" s="24">
        <v>997.1</v>
      </c>
      <c r="D113" s="29">
        <v>45782</v>
      </c>
      <c r="E113" s="36">
        <v>0.41666666666666669</v>
      </c>
      <c r="F113" s="24">
        <v>1.8</v>
      </c>
      <c r="G113" s="26" t="s">
        <v>393</v>
      </c>
      <c r="H113" s="24" t="s">
        <v>324</v>
      </c>
    </row>
    <row r="114" spans="1:8" ht="20.100000000000001" customHeight="1" x14ac:dyDescent="0.3">
      <c r="A114" s="24" t="s">
        <v>258</v>
      </c>
      <c r="B114" s="24" t="s">
        <v>32</v>
      </c>
      <c r="C114" s="24">
        <v>994.4</v>
      </c>
      <c r="D114" s="29">
        <v>45783</v>
      </c>
      <c r="E114" s="36">
        <v>0.41666666666666669</v>
      </c>
      <c r="F114" s="24">
        <v>2.5</v>
      </c>
      <c r="H114" s="24" t="s">
        <v>324</v>
      </c>
    </row>
    <row r="115" spans="1:8" ht="20.100000000000001" customHeight="1" x14ac:dyDescent="0.3">
      <c r="A115" s="24" t="s">
        <v>258</v>
      </c>
      <c r="B115" s="24" t="s">
        <v>33</v>
      </c>
      <c r="C115" s="24">
        <v>994.4</v>
      </c>
      <c r="D115" s="29">
        <v>45783</v>
      </c>
      <c r="E115" s="36">
        <v>0.41666666666666669</v>
      </c>
      <c r="F115" s="24">
        <v>1.4</v>
      </c>
      <c r="H115" s="24" t="s">
        <v>324</v>
      </c>
    </row>
    <row r="116" spans="1:8" ht="20.100000000000001" customHeight="1" x14ac:dyDescent="0.3">
      <c r="A116" s="24" t="s">
        <v>284</v>
      </c>
      <c r="B116" s="24" t="s">
        <v>32</v>
      </c>
      <c r="C116" s="24">
        <v>995.4</v>
      </c>
      <c r="D116" s="29">
        <v>45783</v>
      </c>
      <c r="E116" s="36">
        <v>0.41666666666666669</v>
      </c>
      <c r="F116" s="24">
        <v>3.3</v>
      </c>
      <c r="H116" s="24" t="s">
        <v>324</v>
      </c>
    </row>
    <row r="117" spans="1:8" ht="20.100000000000001" customHeight="1" x14ac:dyDescent="0.3">
      <c r="A117" s="24" t="s">
        <v>284</v>
      </c>
      <c r="B117" s="24" t="s">
        <v>33</v>
      </c>
      <c r="C117" s="24">
        <v>995.4</v>
      </c>
      <c r="D117" s="29">
        <v>45783</v>
      </c>
      <c r="E117" s="36">
        <v>0.41666666666666669</v>
      </c>
      <c r="F117" s="24">
        <v>1.7</v>
      </c>
      <c r="H117" s="24" t="s">
        <v>324</v>
      </c>
    </row>
    <row r="118" spans="1:8" ht="20.100000000000001" customHeight="1" x14ac:dyDescent="0.3">
      <c r="A118" s="24" t="s">
        <v>258</v>
      </c>
      <c r="B118" s="24" t="s">
        <v>32</v>
      </c>
      <c r="C118" s="24">
        <v>992.3</v>
      </c>
      <c r="D118" s="29">
        <v>45784</v>
      </c>
      <c r="E118" s="36">
        <v>0.41666666666666669</v>
      </c>
      <c r="F118" s="24">
        <v>3.7</v>
      </c>
      <c r="H118" s="24" t="s">
        <v>324</v>
      </c>
    </row>
    <row r="119" spans="1:8" ht="20.100000000000001" customHeight="1" x14ac:dyDescent="0.3">
      <c r="A119" s="24" t="s">
        <v>258</v>
      </c>
      <c r="B119" s="24" t="s">
        <v>33</v>
      </c>
      <c r="C119" s="24">
        <v>992.3</v>
      </c>
      <c r="D119" s="29">
        <v>45784</v>
      </c>
      <c r="E119" s="36">
        <v>0.41666666666666669</v>
      </c>
      <c r="F119" s="24">
        <v>1.5</v>
      </c>
      <c r="H119" s="24" t="s">
        <v>324</v>
      </c>
    </row>
    <row r="120" spans="1:8" ht="20.100000000000001" customHeight="1" x14ac:dyDescent="0.3">
      <c r="A120" s="24" t="s">
        <v>284</v>
      </c>
      <c r="B120" s="24" t="s">
        <v>32</v>
      </c>
      <c r="C120" s="24">
        <v>993.5</v>
      </c>
      <c r="D120" s="29">
        <v>45784</v>
      </c>
      <c r="E120" s="36">
        <v>0.41666666666666669</v>
      </c>
      <c r="F120" s="24">
        <v>2.4</v>
      </c>
      <c r="H120" s="24" t="s">
        <v>324</v>
      </c>
    </row>
    <row r="121" spans="1:8" ht="20.100000000000001" customHeight="1" x14ac:dyDescent="0.3">
      <c r="A121" s="24" t="s">
        <v>284</v>
      </c>
      <c r="B121" s="24" t="s">
        <v>33</v>
      </c>
      <c r="C121" s="24">
        <v>993.5</v>
      </c>
      <c r="D121" s="29">
        <v>45784</v>
      </c>
      <c r="E121" s="36">
        <v>0.41666666666666669</v>
      </c>
      <c r="F121" s="24">
        <v>1.4</v>
      </c>
      <c r="H121" s="24" t="s">
        <v>324</v>
      </c>
    </row>
  </sheetData>
  <autoFilter ref="A1:H113" xr:uid="{FCCECE70-8344-4556-8E16-B4FB6DB502A8}">
    <sortState xmlns:xlrd2="http://schemas.microsoft.com/office/spreadsheetml/2017/richdata2" ref="A2:H113">
      <sortCondition ref="D1:D113"/>
    </sortState>
  </autoFilter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790C32-CEFD-42CE-96E5-D40447C82DDA}">
  <sheetPr filterMode="1"/>
  <dimension ref="A1:BC210"/>
  <sheetViews>
    <sheetView tabSelected="1" zoomScale="85" zoomScaleNormal="85" workbookViewId="0">
      <pane xSplit="1" topLeftCell="K1" activePane="topRight" state="frozen"/>
      <selection pane="topRight" activeCell="A172" sqref="A172:XFD173"/>
    </sheetView>
  </sheetViews>
  <sheetFormatPr baseColWidth="10" defaultColWidth="11.44140625" defaultRowHeight="14.4" x14ac:dyDescent="0.3"/>
  <cols>
    <col min="1" max="1" width="22.5546875" customWidth="1"/>
    <col min="2" max="2" width="11.44140625" customWidth="1"/>
    <col min="3" max="3" width="16" customWidth="1"/>
    <col min="4" max="4" width="15.44140625" customWidth="1"/>
    <col min="5" max="8" width="11.44140625" customWidth="1"/>
    <col min="9" max="9" width="13.109375" customWidth="1"/>
    <col min="10" max="19" width="11.44140625" customWidth="1"/>
    <col min="24" max="25" width="11.44140625" customWidth="1"/>
    <col min="34" max="34" width="5.6640625" customWidth="1"/>
    <col min="35" max="38" width="11.44140625" customWidth="1"/>
    <col min="39" max="39" width="18.44140625" customWidth="1"/>
    <col min="42" max="43" width="11.44140625" customWidth="1"/>
    <col min="46" max="53" width="11.44140625" customWidth="1"/>
    <col min="54" max="54" width="12.6640625" customWidth="1"/>
    <col min="55" max="57" width="11.44140625" customWidth="1"/>
  </cols>
  <sheetData>
    <row r="1" spans="1:55" x14ac:dyDescent="0.3">
      <c r="A1" t="s">
        <v>29</v>
      </c>
      <c r="B1" t="s">
        <v>30</v>
      </c>
      <c r="C1" t="s">
        <v>31</v>
      </c>
      <c r="D1" t="s">
        <v>34</v>
      </c>
      <c r="E1" t="s">
        <v>35</v>
      </c>
      <c r="F1" t="s">
        <v>36</v>
      </c>
      <c r="G1" t="s">
        <v>37</v>
      </c>
      <c r="H1" t="s">
        <v>38</v>
      </c>
      <c r="I1" t="s">
        <v>39</v>
      </c>
      <c r="J1" t="s">
        <v>40</v>
      </c>
      <c r="K1" t="s">
        <v>41</v>
      </c>
      <c r="L1" t="s">
        <v>42</v>
      </c>
      <c r="M1" t="s">
        <v>43</v>
      </c>
      <c r="N1" t="s">
        <v>44</v>
      </c>
      <c r="O1" t="s">
        <v>45</v>
      </c>
      <c r="P1" t="s">
        <v>46</v>
      </c>
      <c r="Q1" t="s">
        <v>47</v>
      </c>
      <c r="R1" t="s">
        <v>48</v>
      </c>
      <c r="S1" t="s">
        <v>49</v>
      </c>
      <c r="T1" t="s">
        <v>50</v>
      </c>
      <c r="U1" t="s">
        <v>51</v>
      </c>
      <c r="V1" t="s">
        <v>52</v>
      </c>
      <c r="W1" t="s">
        <v>53</v>
      </c>
      <c r="X1" t="s">
        <v>54</v>
      </c>
      <c r="Y1" t="s">
        <v>55</v>
      </c>
      <c r="Z1" t="s">
        <v>56</v>
      </c>
      <c r="AA1" t="s">
        <v>57</v>
      </c>
      <c r="AB1" t="s">
        <v>58</v>
      </c>
      <c r="AC1" t="s">
        <v>59</v>
      </c>
      <c r="AD1" t="s">
        <v>60</v>
      </c>
      <c r="AE1" t="s">
        <v>61</v>
      </c>
      <c r="AF1" t="s">
        <v>62</v>
      </c>
      <c r="AG1" t="s">
        <v>63</v>
      </c>
      <c r="AH1" t="s">
        <v>64</v>
      </c>
      <c r="AI1" t="s">
        <v>65</v>
      </c>
      <c r="AJ1" t="s">
        <v>66</v>
      </c>
      <c r="AK1" t="s">
        <v>67</v>
      </c>
      <c r="AL1" t="s">
        <v>68</v>
      </c>
      <c r="AM1" t="s">
        <v>69</v>
      </c>
      <c r="AN1" t="s">
        <v>70</v>
      </c>
      <c r="AO1" t="s">
        <v>71</v>
      </c>
      <c r="AP1" t="s">
        <v>72</v>
      </c>
      <c r="AQ1" t="s">
        <v>73</v>
      </c>
      <c r="AR1" t="s">
        <v>74</v>
      </c>
      <c r="AS1" t="s">
        <v>75</v>
      </c>
      <c r="AT1" t="s">
        <v>76</v>
      </c>
      <c r="AU1" t="s">
        <v>77</v>
      </c>
      <c r="AV1" t="s">
        <v>78</v>
      </c>
      <c r="AW1" t="s">
        <v>79</v>
      </c>
      <c r="AX1" t="s">
        <v>394</v>
      </c>
      <c r="AY1" t="s">
        <v>395</v>
      </c>
      <c r="AZ1" t="s">
        <v>396</v>
      </c>
      <c r="BA1" t="s">
        <v>397</v>
      </c>
      <c r="BB1" t="s">
        <v>398</v>
      </c>
      <c r="BC1" t="s">
        <v>399</v>
      </c>
    </row>
    <row r="2" spans="1:55" hidden="1" x14ac:dyDescent="0.3">
      <c r="A2" t="s">
        <v>80</v>
      </c>
      <c r="B2" t="s">
        <v>81</v>
      </c>
      <c r="C2" s="46">
        <v>45720.666666666664</v>
      </c>
      <c r="D2" t="s">
        <v>32</v>
      </c>
      <c r="F2" t="s">
        <v>33</v>
      </c>
      <c r="H2" t="s">
        <v>82</v>
      </c>
      <c r="I2">
        <v>10.529</v>
      </c>
      <c r="J2" t="s">
        <v>83</v>
      </c>
      <c r="K2">
        <v>1079.7</v>
      </c>
      <c r="L2" t="s">
        <v>84</v>
      </c>
      <c r="M2">
        <v>19.899999999999999</v>
      </c>
      <c r="N2" t="s">
        <v>85</v>
      </c>
      <c r="P2" t="s">
        <v>86</v>
      </c>
      <c r="R2" t="s">
        <v>87</v>
      </c>
      <c r="T2" t="s">
        <v>88</v>
      </c>
      <c r="U2">
        <v>85</v>
      </c>
      <c r="V2" t="s">
        <v>89</v>
      </c>
      <c r="W2">
        <v>94</v>
      </c>
      <c r="X2" t="s">
        <v>90</v>
      </c>
      <c r="Y2">
        <v>0.36</v>
      </c>
      <c r="Z2" t="s">
        <v>91</v>
      </c>
      <c r="AA2" s="91">
        <f>0.82*AC2+AE2</f>
        <v>161.36000000000001</v>
      </c>
      <c r="AB2" t="s">
        <v>92</v>
      </c>
      <c r="AC2">
        <v>48</v>
      </c>
      <c r="AD2" t="s">
        <v>93</v>
      </c>
      <c r="AE2">
        <v>122</v>
      </c>
      <c r="AF2" t="s">
        <v>95</v>
      </c>
      <c r="AH2" t="s">
        <v>100</v>
      </c>
      <c r="AI2">
        <v>4.24</v>
      </c>
      <c r="AJ2" t="s">
        <v>97</v>
      </c>
      <c r="AK2">
        <v>3.2899999999999999E-2</v>
      </c>
      <c r="AL2" t="s">
        <v>98</v>
      </c>
      <c r="AM2">
        <v>8.9499999999999996E-2</v>
      </c>
      <c r="AN2" t="s">
        <v>99</v>
      </c>
      <c r="AO2">
        <v>0</v>
      </c>
      <c r="AP2" t="s">
        <v>94</v>
      </c>
      <c r="AQ2">
        <v>0.23</v>
      </c>
      <c r="AR2" t="s">
        <v>180</v>
      </c>
      <c r="AT2" t="s">
        <v>102</v>
      </c>
      <c r="AU2">
        <v>406</v>
      </c>
      <c r="AV2" t="s">
        <v>101</v>
      </c>
      <c r="AW2">
        <v>2.8</v>
      </c>
      <c r="AX2" t="s">
        <v>103</v>
      </c>
      <c r="AY2">
        <v>2.7</v>
      </c>
      <c r="AZ2" t="s">
        <v>104</v>
      </c>
      <c r="BA2">
        <v>13</v>
      </c>
      <c r="BB2" t="s">
        <v>105</v>
      </c>
      <c r="BC2">
        <v>264</v>
      </c>
    </row>
    <row r="3" spans="1:55" hidden="1" x14ac:dyDescent="0.3">
      <c r="A3" t="s">
        <v>106</v>
      </c>
      <c r="B3" t="s">
        <v>81</v>
      </c>
      <c r="C3" s="46">
        <v>45721.416666666664</v>
      </c>
      <c r="D3" t="s">
        <v>32</v>
      </c>
      <c r="F3" t="s">
        <v>33</v>
      </c>
      <c r="H3" t="s">
        <v>82</v>
      </c>
      <c r="I3">
        <v>10.532400000000001</v>
      </c>
      <c r="J3" t="s">
        <v>83</v>
      </c>
      <c r="K3">
        <v>1077.4000000000001</v>
      </c>
      <c r="L3" t="s">
        <v>84</v>
      </c>
      <c r="M3">
        <v>19.399999999999999</v>
      </c>
      <c r="N3" t="s">
        <v>85</v>
      </c>
      <c r="O3">
        <v>22.89</v>
      </c>
      <c r="P3" t="s">
        <v>86</v>
      </c>
      <c r="Q3">
        <v>21.27</v>
      </c>
      <c r="R3" t="s">
        <v>87</v>
      </c>
      <c r="S3">
        <v>34.229999999999997</v>
      </c>
      <c r="T3" t="s">
        <v>88</v>
      </c>
      <c r="U3">
        <v>87</v>
      </c>
      <c r="V3" t="s">
        <v>89</v>
      </c>
      <c r="W3">
        <v>91</v>
      </c>
      <c r="X3" t="s">
        <v>90</v>
      </c>
      <c r="Y3">
        <v>0.96</v>
      </c>
      <c r="Z3" t="s">
        <v>91</v>
      </c>
      <c r="AA3" s="91">
        <f t="shared" ref="AA3:AA68" si="0">0.82*AC3+AE3</f>
        <v>292.32</v>
      </c>
      <c r="AB3" t="s">
        <v>92</v>
      </c>
      <c r="AC3">
        <v>76</v>
      </c>
      <c r="AD3" t="s">
        <v>93</v>
      </c>
      <c r="AE3">
        <v>230</v>
      </c>
      <c r="AF3" t="s">
        <v>95</v>
      </c>
      <c r="AG3">
        <v>18</v>
      </c>
      <c r="AH3" t="s">
        <v>100</v>
      </c>
      <c r="AI3">
        <v>4.25</v>
      </c>
      <c r="AJ3" t="s">
        <v>97</v>
      </c>
      <c r="AK3">
        <v>1.0598000000000001</v>
      </c>
      <c r="AL3" t="s">
        <v>98</v>
      </c>
      <c r="AM3">
        <v>3.0099999999999998E-2</v>
      </c>
      <c r="AN3" t="s">
        <v>99</v>
      </c>
      <c r="AO3">
        <v>0</v>
      </c>
      <c r="AP3" t="s">
        <v>94</v>
      </c>
      <c r="AR3" t="s">
        <v>180</v>
      </c>
      <c r="AT3" t="s">
        <v>102</v>
      </c>
      <c r="AV3" t="s">
        <v>101</v>
      </c>
      <c r="AX3" t="s">
        <v>103</v>
      </c>
      <c r="AZ3" t="s">
        <v>104</v>
      </c>
      <c r="BB3" t="s">
        <v>105</v>
      </c>
    </row>
    <row r="4" spans="1:55" hidden="1" x14ac:dyDescent="0.3">
      <c r="A4" t="s">
        <v>107</v>
      </c>
      <c r="B4" t="s">
        <v>81</v>
      </c>
      <c r="C4" s="46">
        <v>45721.697222222225</v>
      </c>
      <c r="D4" t="s">
        <v>32</v>
      </c>
      <c r="F4" t="s">
        <v>33</v>
      </c>
      <c r="H4" t="s">
        <v>82</v>
      </c>
      <c r="I4">
        <v>10.5162</v>
      </c>
      <c r="J4" t="s">
        <v>83</v>
      </c>
      <c r="K4">
        <v>1073.4000000000001</v>
      </c>
      <c r="L4" t="s">
        <v>84</v>
      </c>
      <c r="M4">
        <v>18.5</v>
      </c>
      <c r="N4" t="s">
        <v>85</v>
      </c>
      <c r="O4">
        <v>45.93</v>
      </c>
      <c r="P4" t="s">
        <v>86</v>
      </c>
      <c r="Q4">
        <v>29.6</v>
      </c>
      <c r="R4" t="s">
        <v>87</v>
      </c>
      <c r="S4">
        <v>29.6</v>
      </c>
      <c r="T4" t="s">
        <v>88</v>
      </c>
      <c r="U4">
        <v>22.25</v>
      </c>
      <c r="V4" t="s">
        <v>89</v>
      </c>
      <c r="W4">
        <v>23.25</v>
      </c>
      <c r="X4" t="s">
        <v>90</v>
      </c>
      <c r="Y4">
        <v>1.45</v>
      </c>
      <c r="Z4" t="s">
        <v>91</v>
      </c>
      <c r="AA4" s="91">
        <f t="shared" si="0"/>
        <v>234.8</v>
      </c>
      <c r="AB4" t="s">
        <v>92</v>
      </c>
      <c r="AC4">
        <v>40</v>
      </c>
      <c r="AD4" t="s">
        <v>93</v>
      </c>
      <c r="AE4">
        <v>202</v>
      </c>
      <c r="AF4" t="s">
        <v>95</v>
      </c>
      <c r="AG4">
        <v>73</v>
      </c>
      <c r="AH4" t="s">
        <v>100</v>
      </c>
      <c r="AI4">
        <v>4.5</v>
      </c>
      <c r="AJ4" t="s">
        <v>97</v>
      </c>
      <c r="AK4">
        <v>2.3512</v>
      </c>
      <c r="AL4" t="s">
        <v>98</v>
      </c>
      <c r="AM4">
        <v>0.45100000000000001</v>
      </c>
      <c r="AN4" t="s">
        <v>99</v>
      </c>
      <c r="AO4">
        <v>0</v>
      </c>
      <c r="AP4" t="s">
        <v>94</v>
      </c>
      <c r="AR4" t="s">
        <v>180</v>
      </c>
      <c r="AT4" t="s">
        <v>102</v>
      </c>
      <c r="AV4" t="s">
        <v>101</v>
      </c>
      <c r="AX4" t="s">
        <v>103</v>
      </c>
      <c r="AZ4" t="s">
        <v>104</v>
      </c>
      <c r="BB4" t="s">
        <v>105</v>
      </c>
    </row>
    <row r="5" spans="1:55" hidden="1" x14ac:dyDescent="0.3">
      <c r="A5" t="s">
        <v>108</v>
      </c>
      <c r="B5" t="s">
        <v>81</v>
      </c>
      <c r="C5" s="46">
        <v>45722.385416666664</v>
      </c>
      <c r="D5" t="s">
        <v>32</v>
      </c>
      <c r="F5" t="s">
        <v>33</v>
      </c>
      <c r="H5" t="s">
        <v>82</v>
      </c>
      <c r="I5">
        <v>10.4983</v>
      </c>
      <c r="J5" t="s">
        <v>83</v>
      </c>
      <c r="K5">
        <v>1049.2</v>
      </c>
      <c r="L5" t="s">
        <v>84</v>
      </c>
      <c r="M5">
        <v>12.8</v>
      </c>
      <c r="N5" t="s">
        <v>85</v>
      </c>
      <c r="O5">
        <v>68.510000000000005</v>
      </c>
      <c r="P5" t="s">
        <v>86</v>
      </c>
      <c r="Q5">
        <v>66.36</v>
      </c>
      <c r="R5" t="s">
        <v>87</v>
      </c>
      <c r="S5">
        <v>14.01</v>
      </c>
      <c r="T5" t="s">
        <v>88</v>
      </c>
      <c r="U5">
        <v>65.16</v>
      </c>
      <c r="V5" t="s">
        <v>89</v>
      </c>
      <c r="W5">
        <v>51.13</v>
      </c>
      <c r="X5" t="s">
        <v>90</v>
      </c>
      <c r="Y5">
        <v>3.65</v>
      </c>
      <c r="Z5" t="s">
        <v>91</v>
      </c>
      <c r="AA5" s="91">
        <f t="shared" si="0"/>
        <v>12</v>
      </c>
      <c r="AB5" t="s">
        <v>92</v>
      </c>
      <c r="AC5">
        <v>0</v>
      </c>
      <c r="AD5" t="s">
        <v>93</v>
      </c>
      <c r="AE5">
        <v>12</v>
      </c>
      <c r="AF5" t="s">
        <v>95</v>
      </c>
      <c r="AG5">
        <v>140</v>
      </c>
      <c r="AH5" t="s">
        <v>100</v>
      </c>
      <c r="AI5">
        <v>4.0999999999999996</v>
      </c>
      <c r="AJ5" t="s">
        <v>97</v>
      </c>
      <c r="AK5">
        <v>1.4451000000000001</v>
      </c>
      <c r="AL5" t="s">
        <v>98</v>
      </c>
      <c r="AM5">
        <v>0.2167</v>
      </c>
      <c r="AN5" t="s">
        <v>99</v>
      </c>
      <c r="AO5">
        <v>0.65</v>
      </c>
      <c r="AP5" t="s">
        <v>94</v>
      </c>
      <c r="AR5" t="s">
        <v>180</v>
      </c>
      <c r="AT5" t="s">
        <v>102</v>
      </c>
      <c r="AV5" t="s">
        <v>101</v>
      </c>
      <c r="AX5" t="s">
        <v>103</v>
      </c>
      <c r="AZ5" t="s">
        <v>104</v>
      </c>
      <c r="BB5" t="s">
        <v>105</v>
      </c>
    </row>
    <row r="6" spans="1:55" hidden="1" x14ac:dyDescent="0.3">
      <c r="A6" t="s">
        <v>109</v>
      </c>
      <c r="B6" t="s">
        <v>81</v>
      </c>
      <c r="C6" s="46">
        <v>45722.666666666664</v>
      </c>
      <c r="D6" t="s">
        <v>32</v>
      </c>
      <c r="F6" t="s">
        <v>33</v>
      </c>
      <c r="H6" t="s">
        <v>82</v>
      </c>
      <c r="I6">
        <v>10.5138</v>
      </c>
      <c r="J6" t="s">
        <v>83</v>
      </c>
      <c r="K6">
        <v>1042.5</v>
      </c>
      <c r="L6" t="s">
        <v>84</v>
      </c>
      <c r="M6">
        <v>11.2</v>
      </c>
      <c r="N6" t="s">
        <v>85</v>
      </c>
      <c r="O6">
        <v>52.15</v>
      </c>
      <c r="P6" t="s">
        <v>86</v>
      </c>
      <c r="Q6">
        <v>50.84</v>
      </c>
      <c r="R6" t="s">
        <v>87</v>
      </c>
      <c r="S6">
        <v>13.55</v>
      </c>
      <c r="T6" t="s">
        <v>88</v>
      </c>
      <c r="U6">
        <v>61.43</v>
      </c>
      <c r="V6" t="s">
        <v>89</v>
      </c>
      <c r="W6">
        <v>43.48</v>
      </c>
      <c r="X6" t="s">
        <v>90</v>
      </c>
      <c r="Y6">
        <v>4.12</v>
      </c>
      <c r="Z6" t="s">
        <v>91</v>
      </c>
      <c r="AA6" s="91">
        <f t="shared" si="0"/>
        <v>41.06</v>
      </c>
      <c r="AB6" t="s">
        <v>92</v>
      </c>
      <c r="AC6">
        <v>33</v>
      </c>
      <c r="AD6" t="s">
        <v>93</v>
      </c>
      <c r="AE6">
        <v>14</v>
      </c>
      <c r="AF6" t="s">
        <v>95</v>
      </c>
      <c r="AG6">
        <v>129</v>
      </c>
      <c r="AH6" t="s">
        <v>100</v>
      </c>
      <c r="AI6">
        <v>3.83</v>
      </c>
      <c r="AJ6" t="s">
        <v>97</v>
      </c>
      <c r="AK6">
        <v>1.391</v>
      </c>
      <c r="AL6" t="s">
        <v>98</v>
      </c>
      <c r="AM6">
        <v>0.28399999999999997</v>
      </c>
      <c r="AN6" t="s">
        <v>99</v>
      </c>
      <c r="AO6">
        <v>3.3</v>
      </c>
      <c r="AP6" t="s">
        <v>94</v>
      </c>
      <c r="AR6" t="s">
        <v>180</v>
      </c>
      <c r="AT6" t="s">
        <v>102</v>
      </c>
      <c r="AV6" t="s">
        <v>101</v>
      </c>
      <c r="AX6" t="s">
        <v>103</v>
      </c>
      <c r="AZ6" t="s">
        <v>104</v>
      </c>
      <c r="BB6" t="s">
        <v>105</v>
      </c>
    </row>
    <row r="7" spans="1:55" hidden="1" x14ac:dyDescent="0.3">
      <c r="A7" t="s">
        <v>110</v>
      </c>
      <c r="B7" t="s">
        <v>81</v>
      </c>
      <c r="C7" s="46">
        <v>45723.347222222219</v>
      </c>
      <c r="D7" t="s">
        <v>32</v>
      </c>
      <c r="F7" t="s">
        <v>33</v>
      </c>
      <c r="H7" t="s">
        <v>82</v>
      </c>
      <c r="I7">
        <v>10.432399999999999</v>
      </c>
      <c r="J7" t="s">
        <v>83</v>
      </c>
      <c r="K7">
        <v>1020.3</v>
      </c>
      <c r="L7" t="s">
        <v>84</v>
      </c>
      <c r="M7">
        <v>5.9</v>
      </c>
      <c r="N7" t="s">
        <v>85</v>
      </c>
      <c r="O7">
        <v>52.46</v>
      </c>
      <c r="P7" t="s">
        <v>86</v>
      </c>
      <c r="Q7">
        <v>50.08</v>
      </c>
      <c r="R7" t="s">
        <v>87</v>
      </c>
      <c r="S7">
        <v>14.2</v>
      </c>
      <c r="T7" t="s">
        <v>88</v>
      </c>
      <c r="U7">
        <v>42.4</v>
      </c>
      <c r="V7" t="s">
        <v>89</v>
      </c>
      <c r="W7">
        <v>17.93</v>
      </c>
      <c r="X7" t="s">
        <v>90</v>
      </c>
      <c r="Y7">
        <v>5.32</v>
      </c>
      <c r="Z7" t="s">
        <v>91</v>
      </c>
      <c r="AA7" s="91">
        <f t="shared" si="0"/>
        <v>13</v>
      </c>
      <c r="AB7" t="s">
        <v>92</v>
      </c>
      <c r="AC7">
        <v>0</v>
      </c>
      <c r="AD7" t="s">
        <v>93</v>
      </c>
      <c r="AE7">
        <v>13</v>
      </c>
      <c r="AF7" t="s">
        <v>95</v>
      </c>
      <c r="AG7">
        <v>126</v>
      </c>
      <c r="AH7" t="s">
        <v>100</v>
      </c>
      <c r="AI7">
        <v>3.61</v>
      </c>
      <c r="AJ7" t="s">
        <v>97</v>
      </c>
      <c r="AK7">
        <v>0.95209999999999995</v>
      </c>
      <c r="AL7" t="s">
        <v>98</v>
      </c>
      <c r="AM7">
        <v>0.2213</v>
      </c>
      <c r="AN7" t="s">
        <v>99</v>
      </c>
      <c r="AO7">
        <v>4.9000000000000004</v>
      </c>
      <c r="AP7" t="s">
        <v>94</v>
      </c>
      <c r="AR7" t="s">
        <v>180</v>
      </c>
      <c r="AT7" t="s">
        <v>102</v>
      </c>
      <c r="AV7" t="s">
        <v>101</v>
      </c>
      <c r="AX7" t="s">
        <v>103</v>
      </c>
      <c r="AZ7" t="s">
        <v>104</v>
      </c>
      <c r="BB7" t="s">
        <v>105</v>
      </c>
    </row>
    <row r="8" spans="1:55" hidden="1" x14ac:dyDescent="0.3">
      <c r="A8" t="s">
        <v>111</v>
      </c>
      <c r="B8" t="s">
        <v>81</v>
      </c>
      <c r="C8" s="46">
        <v>45723.604166666664</v>
      </c>
      <c r="D8" t="s">
        <v>32</v>
      </c>
      <c r="F8" t="s">
        <v>33</v>
      </c>
      <c r="H8" t="s">
        <v>82</v>
      </c>
      <c r="I8">
        <v>10.4978</v>
      </c>
      <c r="J8" t="s">
        <v>83</v>
      </c>
      <c r="K8">
        <v>1016.1</v>
      </c>
      <c r="L8" t="s">
        <v>84</v>
      </c>
      <c r="M8">
        <v>4.7</v>
      </c>
      <c r="N8" t="s">
        <v>85</v>
      </c>
      <c r="O8">
        <v>54.45</v>
      </c>
      <c r="P8" t="s">
        <v>86</v>
      </c>
      <c r="Q8">
        <v>50.61</v>
      </c>
      <c r="R8" t="s">
        <v>87</v>
      </c>
      <c r="S8">
        <v>7.33</v>
      </c>
      <c r="T8" t="s">
        <v>88</v>
      </c>
      <c r="U8">
        <v>34.619999999999997</v>
      </c>
      <c r="V8" t="s">
        <v>89</v>
      </c>
      <c r="W8">
        <v>13.32</v>
      </c>
      <c r="X8" t="s">
        <v>90</v>
      </c>
      <c r="Y8">
        <v>5.37</v>
      </c>
      <c r="Z8" t="s">
        <v>91</v>
      </c>
      <c r="AA8" s="91">
        <f t="shared" si="0"/>
        <v>14</v>
      </c>
      <c r="AB8" t="s">
        <v>92</v>
      </c>
      <c r="AC8">
        <v>0</v>
      </c>
      <c r="AD8" t="s">
        <v>93</v>
      </c>
      <c r="AE8">
        <v>14</v>
      </c>
      <c r="AF8" t="s">
        <v>95</v>
      </c>
      <c r="AG8">
        <v>111</v>
      </c>
      <c r="AH8" t="s">
        <v>100</v>
      </c>
      <c r="AI8">
        <v>3.63</v>
      </c>
      <c r="AJ8" t="s">
        <v>97</v>
      </c>
      <c r="AK8">
        <v>1.9363999999999999</v>
      </c>
      <c r="AL8" t="s">
        <v>98</v>
      </c>
      <c r="AM8">
        <v>0.313</v>
      </c>
      <c r="AN8" t="s">
        <v>99</v>
      </c>
      <c r="AO8">
        <v>7.5</v>
      </c>
      <c r="AP8" t="s">
        <v>94</v>
      </c>
      <c r="AR8" t="s">
        <v>180</v>
      </c>
      <c r="AT8" t="s">
        <v>102</v>
      </c>
      <c r="AV8" t="s">
        <v>101</v>
      </c>
      <c r="AX8" t="s">
        <v>103</v>
      </c>
      <c r="AZ8" t="s">
        <v>104</v>
      </c>
      <c r="BB8" t="s">
        <v>105</v>
      </c>
    </row>
    <row r="9" spans="1:55" hidden="1" x14ac:dyDescent="0.3">
      <c r="A9" t="s">
        <v>112</v>
      </c>
      <c r="B9" t="s">
        <v>81</v>
      </c>
      <c r="C9" s="46">
        <v>45726.458333333336</v>
      </c>
      <c r="D9" t="s">
        <v>32</v>
      </c>
      <c r="F9" t="s">
        <v>33</v>
      </c>
      <c r="H9" t="s">
        <v>82</v>
      </c>
      <c r="I9">
        <v>11.3584</v>
      </c>
      <c r="J9" t="s">
        <v>83</v>
      </c>
      <c r="K9">
        <v>993.6</v>
      </c>
      <c r="L9" t="s">
        <v>84</v>
      </c>
      <c r="M9">
        <v>-1.1000000000000001</v>
      </c>
      <c r="N9" t="s">
        <v>85</v>
      </c>
      <c r="O9">
        <v>34.33</v>
      </c>
      <c r="P9" t="s">
        <v>86</v>
      </c>
      <c r="Q9">
        <v>28.19</v>
      </c>
      <c r="R9" t="s">
        <v>87</v>
      </c>
      <c r="S9">
        <v>7.83</v>
      </c>
      <c r="T9" t="s">
        <v>88</v>
      </c>
      <c r="U9">
        <v>4.8099999999999996</v>
      </c>
      <c r="V9" t="s">
        <v>89</v>
      </c>
      <c r="W9" t="s">
        <v>96</v>
      </c>
      <c r="X9" t="s">
        <v>90</v>
      </c>
      <c r="Y9">
        <v>5.7</v>
      </c>
      <c r="Z9" t="s">
        <v>91</v>
      </c>
      <c r="AA9" s="91">
        <f t="shared" si="0"/>
        <v>19</v>
      </c>
      <c r="AB9" t="s">
        <v>92</v>
      </c>
      <c r="AC9">
        <v>0</v>
      </c>
      <c r="AD9" t="s">
        <v>93</v>
      </c>
      <c r="AE9">
        <v>19</v>
      </c>
      <c r="AF9" t="s">
        <v>95</v>
      </c>
      <c r="AG9">
        <v>50</v>
      </c>
      <c r="AH9" t="s">
        <v>100</v>
      </c>
      <c r="AI9">
        <v>3.66</v>
      </c>
      <c r="AJ9" t="s">
        <v>97</v>
      </c>
      <c r="AK9">
        <v>0.47510000000000002</v>
      </c>
      <c r="AL9" t="s">
        <v>98</v>
      </c>
      <c r="AM9">
        <v>8.1000000000000003E-2</v>
      </c>
      <c r="AN9" t="s">
        <v>99</v>
      </c>
      <c r="AO9">
        <v>7.95</v>
      </c>
      <c r="AP9" t="s">
        <v>94</v>
      </c>
      <c r="AR9" t="s">
        <v>180</v>
      </c>
      <c r="AT9" t="s">
        <v>102</v>
      </c>
      <c r="AV9" t="s">
        <v>101</v>
      </c>
      <c r="AX9" t="s">
        <v>103</v>
      </c>
      <c r="AZ9" t="s">
        <v>104</v>
      </c>
      <c r="BB9" t="s">
        <v>105</v>
      </c>
    </row>
    <row r="10" spans="1:55" hidden="1" x14ac:dyDescent="0.3">
      <c r="A10" t="s">
        <v>113</v>
      </c>
      <c r="B10" t="s">
        <v>114</v>
      </c>
      <c r="C10" s="46">
        <v>45720.666666666664</v>
      </c>
      <c r="D10" t="s">
        <v>32</v>
      </c>
      <c r="F10" t="s">
        <v>33</v>
      </c>
      <c r="H10" t="s">
        <v>82</v>
      </c>
      <c r="I10">
        <v>11.5534</v>
      </c>
      <c r="J10" t="s">
        <v>83</v>
      </c>
      <c r="K10">
        <v>1079.4000000000001</v>
      </c>
      <c r="L10" t="s">
        <v>84</v>
      </c>
      <c r="M10">
        <v>19.899999999999999</v>
      </c>
      <c r="N10" t="s">
        <v>85</v>
      </c>
      <c r="P10" t="s">
        <v>86</v>
      </c>
      <c r="R10" t="s">
        <v>87</v>
      </c>
      <c r="T10" t="s">
        <v>88</v>
      </c>
      <c r="U10">
        <v>79.5</v>
      </c>
      <c r="V10" t="s">
        <v>89</v>
      </c>
      <c r="W10">
        <v>98.25</v>
      </c>
      <c r="X10" t="s">
        <v>90</v>
      </c>
      <c r="Y10">
        <v>0.49</v>
      </c>
      <c r="Z10" t="s">
        <v>91</v>
      </c>
      <c r="AA10" s="91">
        <f t="shared" si="0"/>
        <v>160.18</v>
      </c>
      <c r="AB10" t="s">
        <v>92</v>
      </c>
      <c r="AC10">
        <v>49</v>
      </c>
      <c r="AD10" t="s">
        <v>93</v>
      </c>
      <c r="AE10">
        <v>120</v>
      </c>
      <c r="AF10" t="s">
        <v>95</v>
      </c>
      <c r="AH10" t="s">
        <v>100</v>
      </c>
      <c r="AI10">
        <v>4.24</v>
      </c>
      <c r="AJ10" t="s">
        <v>97</v>
      </c>
      <c r="AK10">
        <v>0.3836</v>
      </c>
      <c r="AL10" t="s">
        <v>98</v>
      </c>
      <c r="AM10">
        <v>5.8700000000000002E-2</v>
      </c>
      <c r="AN10" t="s">
        <v>99</v>
      </c>
      <c r="AO10">
        <v>0</v>
      </c>
      <c r="AP10" t="s">
        <v>94</v>
      </c>
      <c r="AQ10">
        <v>0.24</v>
      </c>
      <c r="AR10" t="s">
        <v>180</v>
      </c>
      <c r="AT10" t="s">
        <v>102</v>
      </c>
      <c r="AU10">
        <v>401</v>
      </c>
      <c r="AV10" t="s">
        <v>101</v>
      </c>
      <c r="AW10">
        <v>2.96</v>
      </c>
      <c r="AX10" t="s">
        <v>103</v>
      </c>
      <c r="AY10">
        <v>2.7</v>
      </c>
      <c r="AZ10" t="s">
        <v>104</v>
      </c>
      <c r="BA10">
        <v>13</v>
      </c>
      <c r="BB10" t="s">
        <v>105</v>
      </c>
      <c r="BC10">
        <v>267</v>
      </c>
    </row>
    <row r="11" spans="1:55" hidden="1" x14ac:dyDescent="0.3">
      <c r="A11" t="s">
        <v>115</v>
      </c>
      <c r="B11" t="s">
        <v>114</v>
      </c>
      <c r="C11" s="46">
        <v>45721.416666666664</v>
      </c>
      <c r="D11" t="s">
        <v>32</v>
      </c>
      <c r="F11" t="s">
        <v>33</v>
      </c>
      <c r="H11" t="s">
        <v>82</v>
      </c>
      <c r="I11">
        <v>10.529</v>
      </c>
      <c r="J11" t="s">
        <v>83</v>
      </c>
      <c r="K11">
        <v>1077.9000000000001</v>
      </c>
      <c r="L11" t="s">
        <v>84</v>
      </c>
      <c r="M11">
        <v>19.5</v>
      </c>
      <c r="N11" t="s">
        <v>85</v>
      </c>
      <c r="O11">
        <v>22.04</v>
      </c>
      <c r="P11" t="s">
        <v>86</v>
      </c>
      <c r="Q11">
        <v>21.12</v>
      </c>
      <c r="R11" t="s">
        <v>87</v>
      </c>
      <c r="S11">
        <v>40.770000000000003</v>
      </c>
      <c r="T11" t="s">
        <v>88</v>
      </c>
      <c r="U11">
        <v>46</v>
      </c>
      <c r="V11" t="s">
        <v>89</v>
      </c>
      <c r="W11">
        <v>90</v>
      </c>
      <c r="X11" t="s">
        <v>90</v>
      </c>
      <c r="Y11">
        <v>0.91</v>
      </c>
      <c r="Z11" t="s">
        <v>91</v>
      </c>
      <c r="AA11" s="91">
        <f t="shared" si="0"/>
        <v>300.77999999999997</v>
      </c>
      <c r="AB11" t="s">
        <v>92</v>
      </c>
      <c r="AC11">
        <v>79</v>
      </c>
      <c r="AD11" t="s">
        <v>93</v>
      </c>
      <c r="AE11">
        <v>236</v>
      </c>
      <c r="AF11" t="s">
        <v>95</v>
      </c>
      <c r="AG11">
        <v>21</v>
      </c>
      <c r="AH11" t="s">
        <v>100</v>
      </c>
      <c r="AI11">
        <v>4.21</v>
      </c>
      <c r="AJ11" t="s">
        <v>97</v>
      </c>
      <c r="AK11">
        <v>0.2059</v>
      </c>
      <c r="AL11" t="s">
        <v>98</v>
      </c>
      <c r="AM11">
        <v>-0.23860000000000001</v>
      </c>
      <c r="AN11" t="s">
        <v>99</v>
      </c>
      <c r="AO11">
        <v>0</v>
      </c>
      <c r="AP11" t="s">
        <v>94</v>
      </c>
      <c r="AR11" t="s">
        <v>180</v>
      </c>
      <c r="AT11" t="s">
        <v>102</v>
      </c>
      <c r="AV11" t="s">
        <v>101</v>
      </c>
      <c r="AX11" t="s">
        <v>103</v>
      </c>
      <c r="AZ11" t="s">
        <v>104</v>
      </c>
      <c r="BB11" t="s">
        <v>105</v>
      </c>
    </row>
    <row r="12" spans="1:55" hidden="1" x14ac:dyDescent="0.3">
      <c r="A12" t="s">
        <v>116</v>
      </c>
      <c r="B12" t="s">
        <v>114</v>
      </c>
      <c r="C12" s="46">
        <v>45721.699305555558</v>
      </c>
      <c r="D12" t="s">
        <v>32</v>
      </c>
      <c r="F12" t="s">
        <v>33</v>
      </c>
      <c r="H12" t="s">
        <v>82</v>
      </c>
      <c r="I12">
        <v>10.5296</v>
      </c>
      <c r="J12" t="s">
        <v>83</v>
      </c>
      <c r="K12">
        <v>1074</v>
      </c>
      <c r="L12" t="s">
        <v>84</v>
      </c>
      <c r="M12">
        <v>18.600000000000001</v>
      </c>
      <c r="N12" t="s">
        <v>85</v>
      </c>
      <c r="O12">
        <v>36.79</v>
      </c>
      <c r="P12" t="s">
        <v>86</v>
      </c>
      <c r="Q12">
        <v>34.950000000000003</v>
      </c>
      <c r="R12" t="s">
        <v>87</v>
      </c>
      <c r="S12">
        <v>37.369999999999997</v>
      </c>
      <c r="T12" t="s">
        <v>88</v>
      </c>
      <c r="U12">
        <v>63</v>
      </c>
      <c r="V12" t="s">
        <v>89</v>
      </c>
      <c r="W12">
        <v>39.75</v>
      </c>
      <c r="X12" t="s">
        <v>90</v>
      </c>
      <c r="Y12">
        <v>1.41</v>
      </c>
      <c r="Z12" t="s">
        <v>91</v>
      </c>
      <c r="AA12" s="91">
        <f t="shared" si="0"/>
        <v>245.44</v>
      </c>
      <c r="AB12" t="s">
        <v>92</v>
      </c>
      <c r="AC12">
        <v>42</v>
      </c>
      <c r="AD12" t="s">
        <v>93</v>
      </c>
      <c r="AE12">
        <v>211</v>
      </c>
      <c r="AF12" t="s">
        <v>95</v>
      </c>
      <c r="AG12">
        <v>85</v>
      </c>
      <c r="AH12" t="s">
        <v>100</v>
      </c>
      <c r="AI12">
        <v>4.66</v>
      </c>
      <c r="AJ12" t="s">
        <v>97</v>
      </c>
      <c r="AK12">
        <v>0.76980000000000004</v>
      </c>
      <c r="AL12" t="s">
        <v>98</v>
      </c>
      <c r="AM12">
        <v>0.1454</v>
      </c>
      <c r="AN12" t="s">
        <v>99</v>
      </c>
      <c r="AO12">
        <v>0</v>
      </c>
      <c r="AP12" t="s">
        <v>94</v>
      </c>
      <c r="AR12" t="s">
        <v>180</v>
      </c>
      <c r="AT12" t="s">
        <v>102</v>
      </c>
      <c r="AV12" t="s">
        <v>101</v>
      </c>
      <c r="AX12" t="s">
        <v>103</v>
      </c>
      <c r="AZ12" t="s">
        <v>104</v>
      </c>
      <c r="BB12" t="s">
        <v>105</v>
      </c>
    </row>
    <row r="13" spans="1:55" hidden="1" x14ac:dyDescent="0.3">
      <c r="A13" t="s">
        <v>117</v>
      </c>
      <c r="B13" t="s">
        <v>114</v>
      </c>
      <c r="C13" s="46">
        <v>45722.385416666664</v>
      </c>
      <c r="D13" t="s">
        <v>32</v>
      </c>
      <c r="F13" t="s">
        <v>33</v>
      </c>
      <c r="H13" t="s">
        <v>82</v>
      </c>
      <c r="I13">
        <v>10.5282</v>
      </c>
      <c r="J13" t="s">
        <v>83</v>
      </c>
      <c r="K13">
        <v>1050.4000000000001</v>
      </c>
      <c r="L13" t="s">
        <v>84</v>
      </c>
      <c r="M13">
        <v>13.1</v>
      </c>
      <c r="N13" t="s">
        <v>85</v>
      </c>
      <c r="O13">
        <v>52.69</v>
      </c>
      <c r="P13" t="s">
        <v>86</v>
      </c>
      <c r="Q13">
        <v>51.61</v>
      </c>
      <c r="R13" t="s">
        <v>87</v>
      </c>
      <c r="S13">
        <v>14.58</v>
      </c>
      <c r="T13" t="s">
        <v>88</v>
      </c>
      <c r="U13">
        <v>62.73</v>
      </c>
      <c r="V13" t="s">
        <v>89</v>
      </c>
      <c r="W13">
        <v>53.33</v>
      </c>
      <c r="X13" t="s">
        <v>90</v>
      </c>
      <c r="Y13">
        <v>3.84</v>
      </c>
      <c r="Z13" t="s">
        <v>91</v>
      </c>
      <c r="AA13" s="91">
        <f t="shared" si="0"/>
        <v>12</v>
      </c>
      <c r="AB13" t="s">
        <v>92</v>
      </c>
      <c r="AC13">
        <v>0</v>
      </c>
      <c r="AD13" t="s">
        <v>93</v>
      </c>
      <c r="AE13">
        <v>12</v>
      </c>
      <c r="AF13" t="s">
        <v>95</v>
      </c>
      <c r="AG13">
        <v>140</v>
      </c>
      <c r="AH13" t="s">
        <v>100</v>
      </c>
      <c r="AI13">
        <v>4.25</v>
      </c>
      <c r="AJ13" t="s">
        <v>97</v>
      </c>
      <c r="AK13">
        <v>1.2966</v>
      </c>
      <c r="AL13" t="s">
        <v>98</v>
      </c>
      <c r="AM13">
        <v>0.1961</v>
      </c>
      <c r="AN13" t="s">
        <v>99</v>
      </c>
      <c r="AO13">
        <v>0.1</v>
      </c>
      <c r="AP13" t="s">
        <v>94</v>
      </c>
      <c r="AR13" t="s">
        <v>180</v>
      </c>
      <c r="AT13" t="s">
        <v>102</v>
      </c>
      <c r="AV13" t="s">
        <v>101</v>
      </c>
      <c r="AX13" t="s">
        <v>103</v>
      </c>
      <c r="AZ13" t="s">
        <v>104</v>
      </c>
      <c r="BB13" t="s">
        <v>105</v>
      </c>
    </row>
    <row r="14" spans="1:55" hidden="1" x14ac:dyDescent="0.3">
      <c r="A14" t="s">
        <v>118</v>
      </c>
      <c r="B14" t="s">
        <v>114</v>
      </c>
      <c r="C14" s="46">
        <v>45722.670138888891</v>
      </c>
      <c r="D14" t="s">
        <v>32</v>
      </c>
      <c r="F14" t="s">
        <v>33</v>
      </c>
      <c r="H14" t="s">
        <v>82</v>
      </c>
      <c r="I14">
        <v>10.5166</v>
      </c>
      <c r="J14" t="s">
        <v>83</v>
      </c>
      <c r="K14">
        <v>1042.8</v>
      </c>
      <c r="L14" t="s">
        <v>84</v>
      </c>
      <c r="M14">
        <v>11.3</v>
      </c>
      <c r="N14" t="s">
        <v>85</v>
      </c>
      <c r="O14">
        <v>50</v>
      </c>
      <c r="P14" t="s">
        <v>86</v>
      </c>
      <c r="Q14">
        <v>49.46</v>
      </c>
      <c r="R14" t="s">
        <v>87</v>
      </c>
      <c r="S14">
        <v>21.97</v>
      </c>
      <c r="T14" t="s">
        <v>88</v>
      </c>
      <c r="U14">
        <v>53.31</v>
      </c>
      <c r="V14" t="s">
        <v>89</v>
      </c>
      <c r="W14">
        <v>48.32</v>
      </c>
      <c r="X14" t="s">
        <v>90</v>
      </c>
      <c r="Y14">
        <v>3.92</v>
      </c>
      <c r="Z14" t="s">
        <v>91</v>
      </c>
      <c r="AA14" s="91">
        <f t="shared" si="0"/>
        <v>56.08</v>
      </c>
      <c r="AB14" t="s">
        <v>92</v>
      </c>
      <c r="AC14">
        <v>44</v>
      </c>
      <c r="AD14" t="s">
        <v>93</v>
      </c>
      <c r="AE14">
        <v>20</v>
      </c>
      <c r="AF14" t="s">
        <v>95</v>
      </c>
      <c r="AG14">
        <v>119</v>
      </c>
      <c r="AH14" t="s">
        <v>100</v>
      </c>
      <c r="AI14">
        <v>3.85</v>
      </c>
      <c r="AJ14" t="s">
        <v>97</v>
      </c>
      <c r="AK14">
        <v>1.1491</v>
      </c>
      <c r="AL14" t="s">
        <v>98</v>
      </c>
      <c r="AM14">
        <v>0.25669999999999998</v>
      </c>
      <c r="AN14" t="s">
        <v>99</v>
      </c>
      <c r="AO14">
        <v>5.2</v>
      </c>
      <c r="AP14" t="s">
        <v>94</v>
      </c>
      <c r="AR14" t="s">
        <v>180</v>
      </c>
      <c r="AT14" t="s">
        <v>102</v>
      </c>
      <c r="AV14" t="s">
        <v>101</v>
      </c>
      <c r="AX14" t="s">
        <v>103</v>
      </c>
      <c r="AZ14" t="s">
        <v>104</v>
      </c>
      <c r="BB14" t="s">
        <v>105</v>
      </c>
    </row>
    <row r="15" spans="1:55" hidden="1" x14ac:dyDescent="0.3">
      <c r="A15" t="s">
        <v>119</v>
      </c>
      <c r="B15" t="s">
        <v>114</v>
      </c>
      <c r="C15" s="46">
        <v>45723.350694444445</v>
      </c>
      <c r="D15" t="s">
        <v>32</v>
      </c>
      <c r="F15" t="s">
        <v>33</v>
      </c>
      <c r="H15" t="s">
        <v>82</v>
      </c>
      <c r="I15">
        <v>10.551600000000001</v>
      </c>
      <c r="J15" t="s">
        <v>83</v>
      </c>
      <c r="K15">
        <v>1021.4</v>
      </c>
      <c r="L15" t="s">
        <v>84</v>
      </c>
      <c r="M15">
        <v>6</v>
      </c>
      <c r="N15" t="s">
        <v>85</v>
      </c>
      <c r="O15">
        <v>50.31</v>
      </c>
      <c r="P15" t="s">
        <v>86</v>
      </c>
      <c r="Q15">
        <v>49</v>
      </c>
      <c r="R15" t="s">
        <v>87</v>
      </c>
      <c r="S15">
        <v>13.59</v>
      </c>
      <c r="T15" t="s">
        <v>88</v>
      </c>
      <c r="U15">
        <v>38.68</v>
      </c>
      <c r="V15" t="s">
        <v>89</v>
      </c>
      <c r="W15">
        <v>22.27</v>
      </c>
      <c r="X15" t="s">
        <v>90</v>
      </c>
      <c r="Y15">
        <v>5.36</v>
      </c>
      <c r="Z15" t="s">
        <v>91</v>
      </c>
      <c r="AA15" s="91">
        <f t="shared" si="0"/>
        <v>13</v>
      </c>
      <c r="AB15" t="s">
        <v>92</v>
      </c>
      <c r="AC15">
        <v>0</v>
      </c>
      <c r="AD15" t="s">
        <v>93</v>
      </c>
      <c r="AE15">
        <v>13</v>
      </c>
      <c r="AF15" t="s">
        <v>95</v>
      </c>
      <c r="AG15">
        <v>122</v>
      </c>
      <c r="AH15" t="s">
        <v>100</v>
      </c>
      <c r="AI15">
        <v>3.63</v>
      </c>
      <c r="AJ15" t="s">
        <v>97</v>
      </c>
      <c r="AK15">
        <v>1.1124000000000001</v>
      </c>
      <c r="AL15" t="s">
        <v>98</v>
      </c>
      <c r="AM15">
        <v>0.223</v>
      </c>
      <c r="AN15" t="s">
        <v>99</v>
      </c>
      <c r="AO15">
        <v>3.1</v>
      </c>
      <c r="AP15" t="s">
        <v>94</v>
      </c>
      <c r="AR15" t="s">
        <v>180</v>
      </c>
      <c r="AT15" t="s">
        <v>102</v>
      </c>
      <c r="AV15" t="s">
        <v>101</v>
      </c>
      <c r="AX15" t="s">
        <v>103</v>
      </c>
      <c r="AZ15" t="s">
        <v>104</v>
      </c>
      <c r="BB15" t="s">
        <v>105</v>
      </c>
    </row>
    <row r="16" spans="1:55" hidden="1" x14ac:dyDescent="0.3">
      <c r="A16" t="s">
        <v>120</v>
      </c>
      <c r="B16" t="s">
        <v>114</v>
      </c>
      <c r="C16" s="46">
        <v>45723.604166666664</v>
      </c>
      <c r="D16" t="s">
        <v>32</v>
      </c>
      <c r="F16" t="s">
        <v>33</v>
      </c>
      <c r="H16" t="s">
        <v>82</v>
      </c>
      <c r="I16">
        <v>10.4679</v>
      </c>
      <c r="J16" t="s">
        <v>83</v>
      </c>
      <c r="K16">
        <v>1016.6</v>
      </c>
      <c r="L16" t="s">
        <v>84</v>
      </c>
      <c r="M16">
        <v>4.8</v>
      </c>
      <c r="N16" t="s">
        <v>85</v>
      </c>
      <c r="O16">
        <v>57.22</v>
      </c>
      <c r="P16" t="s">
        <v>86</v>
      </c>
      <c r="Q16">
        <v>52.53</v>
      </c>
      <c r="R16" t="s">
        <v>87</v>
      </c>
      <c r="S16">
        <v>7.92</v>
      </c>
      <c r="T16" t="s">
        <v>88</v>
      </c>
      <c r="U16">
        <v>22.1</v>
      </c>
      <c r="V16" t="s">
        <v>89</v>
      </c>
      <c r="W16">
        <v>29.91</v>
      </c>
      <c r="X16" t="s">
        <v>90</v>
      </c>
      <c r="Y16">
        <v>5.55</v>
      </c>
      <c r="Z16" t="s">
        <v>91</v>
      </c>
      <c r="AA16" s="91">
        <f t="shared" si="0"/>
        <v>21</v>
      </c>
      <c r="AB16" t="s">
        <v>92</v>
      </c>
      <c r="AC16">
        <v>0</v>
      </c>
      <c r="AD16" t="s">
        <v>93</v>
      </c>
      <c r="AE16">
        <v>21</v>
      </c>
      <c r="AF16" t="s">
        <v>95</v>
      </c>
      <c r="AG16">
        <v>120</v>
      </c>
      <c r="AH16" t="s">
        <v>100</v>
      </c>
      <c r="AI16">
        <v>3.62</v>
      </c>
      <c r="AJ16" t="s">
        <v>97</v>
      </c>
      <c r="AK16">
        <v>1.9302999999999999</v>
      </c>
      <c r="AL16" t="s">
        <v>98</v>
      </c>
      <c r="AM16">
        <v>0.33129999999999998</v>
      </c>
      <c r="AN16" t="s">
        <v>99</v>
      </c>
      <c r="AO16">
        <v>7.45</v>
      </c>
      <c r="AP16" t="s">
        <v>94</v>
      </c>
      <c r="AR16" t="s">
        <v>180</v>
      </c>
      <c r="AT16" t="s">
        <v>102</v>
      </c>
      <c r="AV16" t="s">
        <v>101</v>
      </c>
      <c r="AX16" t="s">
        <v>103</v>
      </c>
      <c r="AZ16" t="s">
        <v>104</v>
      </c>
      <c r="BB16" t="s">
        <v>105</v>
      </c>
    </row>
    <row r="17" spans="1:55" hidden="1" x14ac:dyDescent="0.3">
      <c r="A17" t="s">
        <v>121</v>
      </c>
      <c r="B17" t="s">
        <v>114</v>
      </c>
      <c r="C17" s="46">
        <v>45726.458333333336</v>
      </c>
      <c r="D17" t="s">
        <v>32</v>
      </c>
      <c r="F17" t="s">
        <v>33</v>
      </c>
      <c r="H17" t="s">
        <v>82</v>
      </c>
      <c r="I17">
        <v>11.192</v>
      </c>
      <c r="J17" t="s">
        <v>83</v>
      </c>
      <c r="K17">
        <v>994.1</v>
      </c>
      <c r="L17" t="s">
        <v>84</v>
      </c>
      <c r="M17">
        <v>-1</v>
      </c>
      <c r="N17" t="s">
        <v>85</v>
      </c>
      <c r="O17">
        <v>39.25</v>
      </c>
      <c r="P17" t="s">
        <v>86</v>
      </c>
      <c r="Q17">
        <v>33.33</v>
      </c>
      <c r="R17" t="s">
        <v>87</v>
      </c>
      <c r="S17">
        <v>9</v>
      </c>
      <c r="T17" t="s">
        <v>88</v>
      </c>
      <c r="U17">
        <v>1.27</v>
      </c>
      <c r="V17" t="s">
        <v>89</v>
      </c>
      <c r="W17">
        <v>2.56</v>
      </c>
      <c r="X17" t="s">
        <v>90</v>
      </c>
      <c r="Y17">
        <v>5.73</v>
      </c>
      <c r="Z17" t="s">
        <v>91</v>
      </c>
      <c r="AA17" s="91">
        <f t="shared" si="0"/>
        <v>18</v>
      </c>
      <c r="AB17" t="s">
        <v>92</v>
      </c>
      <c r="AC17">
        <v>0</v>
      </c>
      <c r="AD17" t="s">
        <v>93</v>
      </c>
      <c r="AE17">
        <v>18</v>
      </c>
      <c r="AF17" t="s">
        <v>95</v>
      </c>
      <c r="AG17">
        <v>44</v>
      </c>
      <c r="AH17" t="s">
        <v>100</v>
      </c>
      <c r="AI17">
        <v>3.64</v>
      </c>
      <c r="AJ17" t="s">
        <v>97</v>
      </c>
      <c r="AK17">
        <v>0.79190000000000005</v>
      </c>
      <c r="AL17" t="s">
        <v>98</v>
      </c>
      <c r="AM17">
        <v>0.1173</v>
      </c>
      <c r="AN17" t="s">
        <v>99</v>
      </c>
      <c r="AO17">
        <v>6.3</v>
      </c>
      <c r="AP17" t="s">
        <v>94</v>
      </c>
      <c r="AR17" t="s">
        <v>180</v>
      </c>
      <c r="AT17" t="s">
        <v>102</v>
      </c>
      <c r="AV17" t="s">
        <v>101</v>
      </c>
      <c r="AX17" t="s">
        <v>103</v>
      </c>
      <c r="AZ17" t="s">
        <v>104</v>
      </c>
      <c r="BB17" t="s">
        <v>105</v>
      </c>
    </row>
    <row r="18" spans="1:55" hidden="1" x14ac:dyDescent="0.3">
      <c r="A18" t="s">
        <v>122</v>
      </c>
      <c r="B18" t="s">
        <v>123</v>
      </c>
      <c r="C18" s="46">
        <v>45729.916666666664</v>
      </c>
      <c r="D18" t="s">
        <v>32</v>
      </c>
      <c r="F18" t="s">
        <v>33</v>
      </c>
      <c r="H18" t="s">
        <v>82</v>
      </c>
      <c r="I18">
        <v>10.5076</v>
      </c>
      <c r="J18" t="s">
        <v>83</v>
      </c>
      <c r="K18">
        <v>1063</v>
      </c>
      <c r="L18" t="s">
        <v>84</v>
      </c>
      <c r="M18">
        <v>16.100000000000001</v>
      </c>
      <c r="N18" t="s">
        <v>85</v>
      </c>
      <c r="O18">
        <v>16.97</v>
      </c>
      <c r="P18" t="s">
        <v>86</v>
      </c>
      <c r="Q18">
        <v>15.9</v>
      </c>
      <c r="R18" t="s">
        <v>87</v>
      </c>
      <c r="S18">
        <v>23.98</v>
      </c>
      <c r="T18" t="s">
        <v>88</v>
      </c>
      <c r="U18">
        <v>72.959999999999994</v>
      </c>
      <c r="V18" t="s">
        <v>89</v>
      </c>
      <c r="W18">
        <v>74.989999999999995</v>
      </c>
      <c r="X18" t="s">
        <v>90</v>
      </c>
      <c r="Y18">
        <v>2.35</v>
      </c>
      <c r="Z18" t="s">
        <v>91</v>
      </c>
      <c r="AA18" s="91">
        <f t="shared" si="0"/>
        <v>154.5</v>
      </c>
      <c r="AB18" t="s">
        <v>92</v>
      </c>
      <c r="AC18">
        <v>75</v>
      </c>
      <c r="AD18" t="s">
        <v>93</v>
      </c>
      <c r="AE18">
        <v>93</v>
      </c>
      <c r="AF18" t="s">
        <v>95</v>
      </c>
      <c r="AG18">
        <v>31</v>
      </c>
      <c r="AH18" t="s">
        <v>100</v>
      </c>
      <c r="AI18">
        <v>3.3</v>
      </c>
      <c r="AJ18" t="s">
        <v>97</v>
      </c>
      <c r="AK18">
        <v>0.51080000000000003</v>
      </c>
      <c r="AL18" t="s">
        <v>98</v>
      </c>
      <c r="AM18">
        <v>0.1464</v>
      </c>
      <c r="AN18" s="201" t="s">
        <v>99</v>
      </c>
      <c r="AO18" s="201">
        <v>0.78</v>
      </c>
      <c r="AP18" t="s">
        <v>94</v>
      </c>
      <c r="AQ18">
        <v>0.26</v>
      </c>
      <c r="AR18" t="s">
        <v>180</v>
      </c>
      <c r="AT18" t="s">
        <v>102</v>
      </c>
      <c r="AU18">
        <v>351</v>
      </c>
      <c r="AV18" t="s">
        <v>101</v>
      </c>
      <c r="AW18">
        <v>3.73</v>
      </c>
      <c r="AX18" t="s">
        <v>103</v>
      </c>
      <c r="AY18">
        <v>2.7</v>
      </c>
      <c r="AZ18" t="s">
        <v>104</v>
      </c>
      <c r="BA18">
        <v>12</v>
      </c>
      <c r="BB18" t="s">
        <v>105</v>
      </c>
      <c r="BC18">
        <v>343</v>
      </c>
    </row>
    <row r="19" spans="1:55" hidden="1" x14ac:dyDescent="0.3">
      <c r="A19" t="s">
        <v>124</v>
      </c>
      <c r="B19" t="s">
        <v>123</v>
      </c>
      <c r="C19" s="46">
        <v>45730.445833333331</v>
      </c>
      <c r="D19" t="s">
        <v>32</v>
      </c>
      <c r="F19" t="s">
        <v>33</v>
      </c>
      <c r="H19" t="s">
        <v>82</v>
      </c>
      <c r="I19">
        <v>10.521100000000001</v>
      </c>
      <c r="J19" t="s">
        <v>83</v>
      </c>
      <c r="K19">
        <v>1062.3</v>
      </c>
      <c r="L19" t="s">
        <v>84</v>
      </c>
      <c r="M19">
        <v>15.7</v>
      </c>
      <c r="N19" t="s">
        <v>85</v>
      </c>
      <c r="O19">
        <v>30.57</v>
      </c>
      <c r="P19" t="s">
        <v>86</v>
      </c>
      <c r="Q19">
        <v>25.35</v>
      </c>
      <c r="R19" t="s">
        <v>87</v>
      </c>
      <c r="S19">
        <v>32.659999999999997</v>
      </c>
      <c r="T19" t="s">
        <v>88</v>
      </c>
      <c r="U19">
        <v>68.62</v>
      </c>
      <c r="V19" t="s">
        <v>89</v>
      </c>
      <c r="W19">
        <v>73.349999999999994</v>
      </c>
      <c r="X19" t="s">
        <v>90</v>
      </c>
      <c r="Y19">
        <v>2.59</v>
      </c>
      <c r="Z19" t="s">
        <v>91</v>
      </c>
      <c r="AA19" s="91">
        <f t="shared" si="0"/>
        <v>66.8</v>
      </c>
      <c r="AB19" t="s">
        <v>92</v>
      </c>
      <c r="AC19">
        <v>40</v>
      </c>
      <c r="AD19" s="73" t="s">
        <v>93</v>
      </c>
      <c r="AE19" s="73">
        <v>34</v>
      </c>
      <c r="AF19" t="s">
        <v>95</v>
      </c>
      <c r="AG19">
        <v>45</v>
      </c>
      <c r="AH19" t="s">
        <v>100</v>
      </c>
      <c r="AI19">
        <v>3.23</v>
      </c>
      <c r="AJ19" t="s">
        <v>97</v>
      </c>
      <c r="AK19">
        <v>0.2792</v>
      </c>
      <c r="AL19" t="s">
        <v>98</v>
      </c>
      <c r="AM19">
        <v>5.1400000000000001E-2</v>
      </c>
      <c r="AN19" s="203" t="s">
        <v>99</v>
      </c>
      <c r="AO19" s="204">
        <v>0.88785371098183918</v>
      </c>
      <c r="AP19" t="s">
        <v>94</v>
      </c>
      <c r="AR19" t="s">
        <v>180</v>
      </c>
      <c r="AT19" t="s">
        <v>102</v>
      </c>
      <c r="AV19" t="s">
        <v>101</v>
      </c>
      <c r="AX19" t="s">
        <v>103</v>
      </c>
      <c r="AZ19" t="s">
        <v>104</v>
      </c>
      <c r="BB19" t="s">
        <v>105</v>
      </c>
    </row>
    <row r="20" spans="1:55" hidden="1" x14ac:dyDescent="0.3">
      <c r="A20" t="s">
        <v>125</v>
      </c>
      <c r="B20" t="s">
        <v>123</v>
      </c>
      <c r="C20" s="46">
        <v>45731.458333333336</v>
      </c>
      <c r="D20" t="s">
        <v>32</v>
      </c>
      <c r="E20">
        <v>42.5</v>
      </c>
      <c r="F20" t="s">
        <v>33</v>
      </c>
      <c r="G20">
        <v>13.5</v>
      </c>
      <c r="H20" t="s">
        <v>82</v>
      </c>
      <c r="I20">
        <v>10.2737</v>
      </c>
      <c r="J20" t="s">
        <v>83</v>
      </c>
      <c r="K20">
        <v>1040.0999999999999</v>
      </c>
      <c r="L20" t="s">
        <v>84</v>
      </c>
      <c r="M20">
        <v>10.6</v>
      </c>
      <c r="N20" t="s">
        <v>85</v>
      </c>
      <c r="O20">
        <v>41.17</v>
      </c>
      <c r="P20" t="s">
        <v>86</v>
      </c>
      <c r="Q20">
        <v>41.01</v>
      </c>
      <c r="R20" t="s">
        <v>87</v>
      </c>
      <c r="S20">
        <v>18.28</v>
      </c>
      <c r="T20" s="73" t="s">
        <v>88</v>
      </c>
      <c r="U20" s="73">
        <f>101.26-W20</f>
        <v>62.13</v>
      </c>
      <c r="V20" s="73" t="s">
        <v>89</v>
      </c>
      <c r="W20" s="73">
        <v>39.130000000000003</v>
      </c>
      <c r="X20" t="s">
        <v>90</v>
      </c>
      <c r="Y20">
        <v>4.25</v>
      </c>
      <c r="Z20" t="s">
        <v>91</v>
      </c>
      <c r="AA20" s="91">
        <f t="shared" si="0"/>
        <v>13.64</v>
      </c>
      <c r="AB20" t="s">
        <v>92</v>
      </c>
      <c r="AC20">
        <v>2</v>
      </c>
      <c r="AD20" t="s">
        <v>93</v>
      </c>
      <c r="AE20">
        <v>12</v>
      </c>
      <c r="AF20" t="s">
        <v>95</v>
      </c>
      <c r="AG20">
        <v>57</v>
      </c>
      <c r="AH20" t="s">
        <v>100</v>
      </c>
      <c r="AI20">
        <v>3.13</v>
      </c>
      <c r="AJ20" t="s">
        <v>97</v>
      </c>
      <c r="AK20">
        <v>0.89939999999999998</v>
      </c>
      <c r="AL20" t="s">
        <v>98</v>
      </c>
      <c r="AM20">
        <v>0.17829999999999999</v>
      </c>
      <c r="AN20" s="203" t="s">
        <v>99</v>
      </c>
      <c r="AO20" s="204">
        <v>4.3751515600064224</v>
      </c>
      <c r="AP20" t="s">
        <v>94</v>
      </c>
      <c r="AR20" t="s">
        <v>180</v>
      </c>
      <c r="AT20" t="s">
        <v>102</v>
      </c>
      <c r="AV20" t="s">
        <v>101</v>
      </c>
      <c r="AX20" t="s">
        <v>103</v>
      </c>
      <c r="AZ20" t="s">
        <v>104</v>
      </c>
      <c r="BB20" t="s">
        <v>105</v>
      </c>
    </row>
    <row r="21" spans="1:55" hidden="1" x14ac:dyDescent="0.3">
      <c r="A21" t="s">
        <v>126</v>
      </c>
      <c r="B21" t="s">
        <v>123</v>
      </c>
      <c r="C21" s="46">
        <v>45731.618055555555</v>
      </c>
      <c r="D21" t="s">
        <v>32</v>
      </c>
      <c r="F21" t="s">
        <v>33</v>
      </c>
      <c r="H21" t="s">
        <v>82</v>
      </c>
      <c r="I21">
        <v>10.451000000000001</v>
      </c>
      <c r="J21" t="s">
        <v>83</v>
      </c>
      <c r="K21">
        <v>1035.8</v>
      </c>
      <c r="L21" t="s">
        <v>84</v>
      </c>
      <c r="M21">
        <v>9.6999999999999993</v>
      </c>
      <c r="N21" t="s">
        <v>85</v>
      </c>
      <c r="O21">
        <v>59.29</v>
      </c>
      <c r="P21" t="s">
        <v>86</v>
      </c>
      <c r="Q21">
        <v>56.3</v>
      </c>
      <c r="R21" t="s">
        <v>87</v>
      </c>
      <c r="S21">
        <v>16.84</v>
      </c>
      <c r="T21" s="73" t="s">
        <v>88</v>
      </c>
      <c r="U21" s="73">
        <f>92.02-W21</f>
        <v>58.29</v>
      </c>
      <c r="V21" s="73" t="s">
        <v>89</v>
      </c>
      <c r="W21" s="73">
        <v>33.729999999999997</v>
      </c>
      <c r="X21" t="s">
        <v>90</v>
      </c>
      <c r="Y21">
        <v>4.68</v>
      </c>
      <c r="Z21" t="s">
        <v>91</v>
      </c>
      <c r="AA21" s="91">
        <f t="shared" si="0"/>
        <v>56.62</v>
      </c>
      <c r="AB21" t="s">
        <v>92</v>
      </c>
      <c r="AC21">
        <v>41</v>
      </c>
      <c r="AD21" s="73" t="s">
        <v>93</v>
      </c>
      <c r="AE21" s="73">
        <v>23</v>
      </c>
      <c r="AF21" t="s">
        <v>95</v>
      </c>
      <c r="AG21">
        <v>61</v>
      </c>
      <c r="AH21" t="s">
        <v>100</v>
      </c>
      <c r="AI21">
        <v>3.11</v>
      </c>
      <c r="AJ21" t="s">
        <v>97</v>
      </c>
      <c r="AK21">
        <v>0.56699999999999995</v>
      </c>
      <c r="AL21" t="s">
        <v>98</v>
      </c>
      <c r="AM21">
        <v>0.11700000000000001</v>
      </c>
      <c r="AN21" s="203" t="s">
        <v>99</v>
      </c>
      <c r="AO21" s="204">
        <v>5.0659657242520248</v>
      </c>
      <c r="AP21" t="s">
        <v>94</v>
      </c>
      <c r="AR21" t="s">
        <v>180</v>
      </c>
      <c r="AT21" t="s">
        <v>102</v>
      </c>
      <c r="AV21" t="s">
        <v>101</v>
      </c>
      <c r="AX21" t="s">
        <v>103</v>
      </c>
      <c r="AZ21" t="s">
        <v>104</v>
      </c>
      <c r="BB21" t="s">
        <v>105</v>
      </c>
    </row>
    <row r="22" spans="1:55" hidden="1" x14ac:dyDescent="0.3">
      <c r="A22" t="s">
        <v>127</v>
      </c>
      <c r="B22" t="s">
        <v>123</v>
      </c>
      <c r="C22" s="46">
        <v>45732.46875</v>
      </c>
      <c r="D22" t="s">
        <v>32</v>
      </c>
      <c r="E22">
        <v>62.5</v>
      </c>
      <c r="F22" t="s">
        <v>33</v>
      </c>
      <c r="G22">
        <v>29</v>
      </c>
      <c r="H22" t="s">
        <v>82</v>
      </c>
      <c r="I22">
        <v>10.6029</v>
      </c>
      <c r="J22" t="s">
        <v>83</v>
      </c>
      <c r="K22">
        <v>1016.2</v>
      </c>
      <c r="L22" t="s">
        <v>84</v>
      </c>
      <c r="M22">
        <v>4.7</v>
      </c>
      <c r="N22" t="s">
        <v>85</v>
      </c>
      <c r="O22">
        <v>28.11</v>
      </c>
      <c r="P22" t="s">
        <v>86</v>
      </c>
      <c r="Q22">
        <v>24.88</v>
      </c>
      <c r="R22" t="s">
        <v>87</v>
      </c>
      <c r="S22">
        <v>19.95</v>
      </c>
      <c r="T22" t="s">
        <v>88</v>
      </c>
      <c r="U22">
        <v>26.72</v>
      </c>
      <c r="V22" t="s">
        <v>89</v>
      </c>
      <c r="W22">
        <v>23.5</v>
      </c>
      <c r="X22" t="s">
        <v>90</v>
      </c>
      <c r="Y22">
        <v>5.67</v>
      </c>
      <c r="Z22" t="s">
        <v>91</v>
      </c>
      <c r="AA22" s="91">
        <f t="shared" si="0"/>
        <v>13</v>
      </c>
      <c r="AB22" t="s">
        <v>92</v>
      </c>
      <c r="AC22">
        <v>0</v>
      </c>
      <c r="AD22" t="s">
        <v>93</v>
      </c>
      <c r="AE22">
        <v>13</v>
      </c>
      <c r="AF22" t="s">
        <v>95</v>
      </c>
      <c r="AG22">
        <v>43</v>
      </c>
      <c r="AH22" t="s">
        <v>100</v>
      </c>
      <c r="AI22">
        <v>2.76</v>
      </c>
      <c r="AJ22" t="s">
        <v>97</v>
      </c>
      <c r="AK22">
        <v>0.83420000000000005</v>
      </c>
      <c r="AL22" t="s">
        <v>98</v>
      </c>
      <c r="AM22">
        <v>0.20730000000000001</v>
      </c>
      <c r="AN22" s="203" t="s">
        <v>99</v>
      </c>
      <c r="AO22" s="204">
        <v>8.2804946630559151</v>
      </c>
      <c r="AP22" t="s">
        <v>94</v>
      </c>
      <c r="AR22" t="s">
        <v>180</v>
      </c>
      <c r="AT22" t="s">
        <v>102</v>
      </c>
      <c r="AV22" t="s">
        <v>101</v>
      </c>
      <c r="AX22" t="s">
        <v>103</v>
      </c>
      <c r="AZ22" t="s">
        <v>104</v>
      </c>
      <c r="BB22" t="s">
        <v>105</v>
      </c>
    </row>
    <row r="23" spans="1:55" hidden="1" x14ac:dyDescent="0.3">
      <c r="A23" t="s">
        <v>128</v>
      </c>
      <c r="B23" t="s">
        <v>123</v>
      </c>
      <c r="C23" s="46">
        <v>45733.451388888891</v>
      </c>
      <c r="D23" t="s">
        <v>32</v>
      </c>
      <c r="F23" t="s">
        <v>33</v>
      </c>
      <c r="H23" t="s">
        <v>82</v>
      </c>
      <c r="I23">
        <v>10.3186</v>
      </c>
      <c r="J23" t="s">
        <v>83</v>
      </c>
      <c r="K23">
        <v>1002.3</v>
      </c>
      <c r="L23" t="s">
        <v>84</v>
      </c>
      <c r="M23">
        <v>1.1000000000000001</v>
      </c>
      <c r="N23" t="s">
        <v>85</v>
      </c>
      <c r="O23">
        <v>56.99</v>
      </c>
      <c r="P23" t="s">
        <v>86</v>
      </c>
      <c r="Q23">
        <v>53.61</v>
      </c>
      <c r="R23" t="s">
        <v>87</v>
      </c>
      <c r="S23">
        <v>22.24</v>
      </c>
      <c r="T23" t="s">
        <v>88</v>
      </c>
      <c r="U23">
        <v>14.39</v>
      </c>
      <c r="V23" t="s">
        <v>89</v>
      </c>
      <c r="W23">
        <v>9.91</v>
      </c>
      <c r="X23" t="s">
        <v>90</v>
      </c>
      <c r="Y23">
        <v>5.67</v>
      </c>
      <c r="Z23" t="s">
        <v>91</v>
      </c>
      <c r="AA23" s="91">
        <f t="shared" si="0"/>
        <v>14</v>
      </c>
      <c r="AB23" t="s">
        <v>92</v>
      </c>
      <c r="AC23">
        <v>0</v>
      </c>
      <c r="AD23" t="s">
        <v>93</v>
      </c>
      <c r="AE23">
        <v>14</v>
      </c>
      <c r="AF23" t="s">
        <v>95</v>
      </c>
      <c r="AG23">
        <v>43</v>
      </c>
      <c r="AH23" t="s">
        <v>100</v>
      </c>
      <c r="AI23">
        <v>2.76</v>
      </c>
      <c r="AJ23" t="s">
        <v>97</v>
      </c>
      <c r="AK23">
        <v>1.3438000000000001</v>
      </c>
      <c r="AL23" t="s">
        <v>98</v>
      </c>
      <c r="AM23">
        <v>0.26679999999999998</v>
      </c>
      <c r="AN23" s="203" t="s">
        <v>99</v>
      </c>
      <c r="AO23" s="204">
        <v>10.627626163930666</v>
      </c>
      <c r="AP23" t="s">
        <v>94</v>
      </c>
      <c r="AR23" t="s">
        <v>180</v>
      </c>
      <c r="AT23" t="s">
        <v>102</v>
      </c>
      <c r="AV23" t="s">
        <v>101</v>
      </c>
      <c r="AX23" t="s">
        <v>103</v>
      </c>
      <c r="AZ23" t="s">
        <v>104</v>
      </c>
      <c r="BB23" t="s">
        <v>105</v>
      </c>
    </row>
    <row r="24" spans="1:55" hidden="1" x14ac:dyDescent="0.3">
      <c r="A24" t="s">
        <v>129</v>
      </c>
      <c r="B24" t="s">
        <v>123</v>
      </c>
      <c r="C24" s="46">
        <v>45733.625</v>
      </c>
      <c r="D24" t="s">
        <v>32</v>
      </c>
      <c r="E24">
        <v>45</v>
      </c>
      <c r="F24" t="s">
        <v>33</v>
      </c>
      <c r="G24">
        <v>25</v>
      </c>
      <c r="H24" t="s">
        <v>82</v>
      </c>
      <c r="I24">
        <v>10.303599999999999</v>
      </c>
      <c r="J24" t="s">
        <v>83</v>
      </c>
      <c r="K24">
        <v>998.8</v>
      </c>
      <c r="L24" t="s">
        <v>84</v>
      </c>
      <c r="M24">
        <v>0.2</v>
      </c>
      <c r="N24" t="s">
        <v>85</v>
      </c>
      <c r="O24">
        <v>85.79</v>
      </c>
      <c r="P24" t="s">
        <v>86</v>
      </c>
      <c r="Q24">
        <v>75.88</v>
      </c>
      <c r="R24" t="s">
        <v>87</v>
      </c>
      <c r="S24">
        <v>19.34</v>
      </c>
      <c r="T24" t="s">
        <v>88</v>
      </c>
      <c r="U24">
        <v>8.5299999999999994</v>
      </c>
      <c r="V24" t="s">
        <v>89</v>
      </c>
      <c r="W24">
        <v>9.17</v>
      </c>
      <c r="X24" t="s">
        <v>90</v>
      </c>
      <c r="Y24">
        <v>5.54</v>
      </c>
      <c r="Z24" t="s">
        <v>91</v>
      </c>
      <c r="AA24" s="91">
        <f t="shared" si="0"/>
        <v>14</v>
      </c>
      <c r="AB24" t="s">
        <v>92</v>
      </c>
      <c r="AC24">
        <v>0</v>
      </c>
      <c r="AD24" t="s">
        <v>93</v>
      </c>
      <c r="AE24">
        <v>14</v>
      </c>
      <c r="AF24" t="s">
        <v>95</v>
      </c>
      <c r="AG24">
        <v>32</v>
      </c>
      <c r="AH24" t="s">
        <v>100</v>
      </c>
      <c r="AI24">
        <v>2.61</v>
      </c>
      <c r="AJ24" t="s">
        <v>97</v>
      </c>
      <c r="AK24">
        <v>1.4583999999999999</v>
      </c>
      <c r="AL24" t="s">
        <v>98</v>
      </c>
      <c r="AM24">
        <v>0.3</v>
      </c>
      <c r="AN24" s="203" t="s">
        <v>99</v>
      </c>
      <c r="AO24" s="204">
        <v>11.227723290908671</v>
      </c>
      <c r="AP24" t="s">
        <v>94</v>
      </c>
      <c r="AR24" t="s">
        <v>180</v>
      </c>
      <c r="AT24" t="s">
        <v>102</v>
      </c>
      <c r="AV24" t="s">
        <v>101</v>
      </c>
      <c r="AX24" t="s">
        <v>103</v>
      </c>
      <c r="AZ24" t="s">
        <v>104</v>
      </c>
      <c r="BB24" t="s">
        <v>105</v>
      </c>
    </row>
    <row r="25" spans="1:55" hidden="1" x14ac:dyDescent="0.3">
      <c r="A25" t="s">
        <v>130</v>
      </c>
      <c r="B25" t="s">
        <v>123</v>
      </c>
      <c r="C25" s="46">
        <v>45734.430555555555</v>
      </c>
      <c r="D25" t="s">
        <v>32</v>
      </c>
      <c r="F25" t="s">
        <v>33</v>
      </c>
      <c r="H25" t="s">
        <v>82</v>
      </c>
      <c r="I25">
        <v>10.384600000000001</v>
      </c>
      <c r="J25" t="s">
        <v>83</v>
      </c>
      <c r="K25">
        <v>994.8</v>
      </c>
      <c r="L25" t="s">
        <v>84</v>
      </c>
      <c r="M25">
        <v>-0.7</v>
      </c>
      <c r="N25" t="s">
        <v>85</v>
      </c>
      <c r="O25">
        <v>61.67</v>
      </c>
      <c r="P25" t="s">
        <v>86</v>
      </c>
      <c r="Q25">
        <v>57.83</v>
      </c>
      <c r="R25" t="s">
        <v>87</v>
      </c>
      <c r="S25">
        <v>24.03</v>
      </c>
      <c r="T25" t="s">
        <v>88</v>
      </c>
      <c r="U25">
        <v>5.5</v>
      </c>
      <c r="V25" t="s">
        <v>89</v>
      </c>
      <c r="W25">
        <v>1.43</v>
      </c>
      <c r="X25" t="s">
        <v>90</v>
      </c>
      <c r="Y25">
        <v>5.76</v>
      </c>
      <c r="Z25" t="s">
        <v>91</v>
      </c>
      <c r="AA25" s="91">
        <f t="shared" si="0"/>
        <v>12</v>
      </c>
      <c r="AB25" t="s">
        <v>92</v>
      </c>
      <c r="AC25">
        <v>0</v>
      </c>
      <c r="AD25" t="s">
        <v>93</v>
      </c>
      <c r="AE25">
        <v>12</v>
      </c>
      <c r="AF25" t="s">
        <v>95</v>
      </c>
      <c r="AG25">
        <v>33</v>
      </c>
      <c r="AH25" t="s">
        <v>100</v>
      </c>
      <c r="AI25">
        <v>2.5499999999999998</v>
      </c>
      <c r="AJ25" t="s">
        <v>97</v>
      </c>
      <c r="AK25">
        <v>0.69320000000000004</v>
      </c>
      <c r="AL25" t="s">
        <v>98</v>
      </c>
      <c r="AM25">
        <v>-2.2200000000000001E-2</v>
      </c>
      <c r="AN25" s="203" t="s">
        <v>99</v>
      </c>
      <c r="AO25" s="204">
        <v>11.918105468830598</v>
      </c>
      <c r="AP25" t="s">
        <v>94</v>
      </c>
      <c r="AR25" t="s">
        <v>180</v>
      </c>
      <c r="AT25" t="s">
        <v>102</v>
      </c>
      <c r="AV25" t="s">
        <v>101</v>
      </c>
      <c r="AX25" t="s">
        <v>103</v>
      </c>
      <c r="AZ25" t="s">
        <v>104</v>
      </c>
      <c r="BB25" t="s">
        <v>105</v>
      </c>
    </row>
    <row r="26" spans="1:55" hidden="1" x14ac:dyDescent="0.3">
      <c r="A26" t="s">
        <v>131</v>
      </c>
      <c r="B26" t="s">
        <v>123</v>
      </c>
      <c r="C26" s="46">
        <v>45734.631944444445</v>
      </c>
      <c r="D26" t="s">
        <v>32</v>
      </c>
      <c r="F26" t="s">
        <v>33</v>
      </c>
      <c r="H26" t="s">
        <v>82</v>
      </c>
      <c r="I26">
        <v>10.3902</v>
      </c>
      <c r="J26" t="s">
        <v>83</v>
      </c>
      <c r="K26">
        <v>993.4</v>
      </c>
      <c r="L26" t="s">
        <v>84</v>
      </c>
      <c r="M26">
        <v>-1.1000000000000001</v>
      </c>
      <c r="N26" t="s">
        <v>85</v>
      </c>
      <c r="O26">
        <v>69.59</v>
      </c>
      <c r="P26" t="s">
        <v>86</v>
      </c>
      <c r="Q26">
        <v>57.68</v>
      </c>
      <c r="R26" t="s">
        <v>87</v>
      </c>
      <c r="S26">
        <v>15.78</v>
      </c>
      <c r="T26" t="s">
        <v>88</v>
      </c>
      <c r="U26">
        <v>2.79</v>
      </c>
      <c r="V26" t="s">
        <v>89</v>
      </c>
      <c r="W26">
        <v>2.2599999999999998</v>
      </c>
      <c r="X26" t="s">
        <v>90</v>
      </c>
      <c r="Y26">
        <v>5.8</v>
      </c>
      <c r="Z26" t="s">
        <v>91</v>
      </c>
      <c r="AA26" s="91">
        <f t="shared" si="0"/>
        <v>14</v>
      </c>
      <c r="AB26" t="s">
        <v>92</v>
      </c>
      <c r="AC26">
        <v>0</v>
      </c>
      <c r="AD26" t="s">
        <v>93</v>
      </c>
      <c r="AE26">
        <v>14</v>
      </c>
      <c r="AF26" t="s">
        <v>95</v>
      </c>
      <c r="AG26">
        <v>20</v>
      </c>
      <c r="AH26" t="s">
        <v>100</v>
      </c>
      <c r="AI26">
        <v>2.52</v>
      </c>
      <c r="AJ26" t="s">
        <v>97</v>
      </c>
      <c r="AK26">
        <v>1.2830999999999999</v>
      </c>
      <c r="AL26" t="s">
        <v>98</v>
      </c>
      <c r="AM26">
        <v>0.2283</v>
      </c>
      <c r="AN26" s="203" t="s">
        <v>99</v>
      </c>
      <c r="AO26" s="204">
        <v>12.160895708729061</v>
      </c>
      <c r="AP26" t="s">
        <v>94</v>
      </c>
      <c r="AR26" t="s">
        <v>180</v>
      </c>
      <c r="AT26" t="s">
        <v>102</v>
      </c>
      <c r="AV26" t="s">
        <v>101</v>
      </c>
      <c r="AX26" t="s">
        <v>103</v>
      </c>
      <c r="AZ26" t="s">
        <v>104</v>
      </c>
      <c r="BB26" t="s">
        <v>105</v>
      </c>
    </row>
    <row r="27" spans="1:55" hidden="1" x14ac:dyDescent="0.3">
      <c r="A27" t="s">
        <v>132</v>
      </c>
      <c r="B27" t="s">
        <v>123</v>
      </c>
      <c r="C27" s="46">
        <v>45735.385416666664</v>
      </c>
      <c r="D27" t="s">
        <v>32</v>
      </c>
      <c r="F27" t="s">
        <v>33</v>
      </c>
      <c r="H27" t="s">
        <v>82</v>
      </c>
      <c r="I27">
        <v>10.1797</v>
      </c>
      <c r="J27" t="s">
        <v>83</v>
      </c>
      <c r="K27">
        <v>991.7</v>
      </c>
      <c r="L27" t="s">
        <v>84</v>
      </c>
      <c r="M27">
        <v>-1.5</v>
      </c>
      <c r="N27" t="s">
        <v>85</v>
      </c>
      <c r="O27">
        <v>112.67</v>
      </c>
      <c r="P27" t="s">
        <v>86</v>
      </c>
      <c r="Q27">
        <v>103.61</v>
      </c>
      <c r="R27" t="s">
        <v>87</v>
      </c>
      <c r="S27">
        <v>13.7</v>
      </c>
      <c r="T27" t="s">
        <v>88</v>
      </c>
      <c r="U27">
        <v>0.34</v>
      </c>
      <c r="V27" t="s">
        <v>89</v>
      </c>
      <c r="W27">
        <v>0.84</v>
      </c>
      <c r="X27" t="s">
        <v>90</v>
      </c>
      <c r="Y27">
        <v>5.81</v>
      </c>
      <c r="Z27" t="s">
        <v>91</v>
      </c>
      <c r="AA27" s="91">
        <f t="shared" si="0"/>
        <v>15</v>
      </c>
      <c r="AB27" t="s">
        <v>92</v>
      </c>
      <c r="AC27">
        <v>0</v>
      </c>
      <c r="AD27" t="s">
        <v>93</v>
      </c>
      <c r="AE27">
        <v>15</v>
      </c>
      <c r="AF27" t="s">
        <v>95</v>
      </c>
      <c r="AG27">
        <v>24</v>
      </c>
      <c r="AH27" t="s">
        <v>100</v>
      </c>
      <c r="AI27">
        <v>2.56</v>
      </c>
      <c r="AJ27" t="s">
        <v>97</v>
      </c>
      <c r="AK27">
        <v>1.9574</v>
      </c>
      <c r="AL27" t="s">
        <v>98</v>
      </c>
      <c r="AM27">
        <v>0.26269999999999999</v>
      </c>
      <c r="AN27" s="203" t="s">
        <v>99</v>
      </c>
      <c r="AO27" s="204">
        <v>12.456523124986925</v>
      </c>
      <c r="AP27" t="s">
        <v>94</v>
      </c>
      <c r="AR27" t="s">
        <v>180</v>
      </c>
      <c r="AT27" t="s">
        <v>102</v>
      </c>
      <c r="AV27" t="s">
        <v>101</v>
      </c>
      <c r="AX27" t="s">
        <v>103</v>
      </c>
      <c r="AZ27" t="s">
        <v>104</v>
      </c>
      <c r="BB27" t="s">
        <v>105</v>
      </c>
    </row>
    <row r="28" spans="1:55" hidden="1" x14ac:dyDescent="0.3">
      <c r="A28" t="s">
        <v>133</v>
      </c>
      <c r="B28" t="s">
        <v>123</v>
      </c>
      <c r="C28" s="46">
        <v>45735.618055555555</v>
      </c>
      <c r="D28" t="s">
        <v>32</v>
      </c>
      <c r="E28">
        <v>29</v>
      </c>
      <c r="F28" t="s">
        <v>33</v>
      </c>
      <c r="G28">
        <v>15</v>
      </c>
      <c r="H28" t="s">
        <v>82</v>
      </c>
      <c r="I28">
        <v>10.2781</v>
      </c>
      <c r="J28" t="s">
        <v>83</v>
      </c>
      <c r="K28">
        <v>990.7</v>
      </c>
      <c r="L28" t="s">
        <v>84</v>
      </c>
      <c r="M28">
        <v>-1.6</v>
      </c>
      <c r="N28" t="s">
        <v>85</v>
      </c>
      <c r="O28">
        <v>51.69</v>
      </c>
      <c r="P28" t="s">
        <v>86</v>
      </c>
      <c r="Q28">
        <v>44.55</v>
      </c>
      <c r="R28" t="s">
        <v>87</v>
      </c>
      <c r="S28">
        <v>20.51</v>
      </c>
      <c r="T28" t="s">
        <v>88</v>
      </c>
      <c r="U28">
        <v>0.5</v>
      </c>
      <c r="V28" t="s">
        <v>89</v>
      </c>
      <c r="W28">
        <v>0.02</v>
      </c>
      <c r="X28" t="s">
        <v>90</v>
      </c>
      <c r="Y28">
        <v>6.07</v>
      </c>
      <c r="Z28" t="s">
        <v>91</v>
      </c>
      <c r="AA28" s="91">
        <f t="shared" si="0"/>
        <v>18</v>
      </c>
      <c r="AB28" t="s">
        <v>92</v>
      </c>
      <c r="AC28">
        <v>0</v>
      </c>
      <c r="AD28" t="s">
        <v>93</v>
      </c>
      <c r="AE28">
        <v>18</v>
      </c>
      <c r="AF28" t="s">
        <v>95</v>
      </c>
      <c r="AG28">
        <v>18</v>
      </c>
      <c r="AH28" t="s">
        <v>100</v>
      </c>
      <c r="AI28">
        <v>2.36</v>
      </c>
      <c r="AJ28" t="s">
        <v>97</v>
      </c>
      <c r="AK28">
        <v>0.80549999999999999</v>
      </c>
      <c r="AL28" t="s">
        <v>98</v>
      </c>
      <c r="AM28">
        <v>0.2094</v>
      </c>
      <c r="AN28" s="201" t="s">
        <v>99</v>
      </c>
      <c r="AO28" s="201">
        <v>12.23</v>
      </c>
      <c r="AP28" t="s">
        <v>94</v>
      </c>
      <c r="AQ28">
        <v>0.42</v>
      </c>
      <c r="AR28" t="s">
        <v>180</v>
      </c>
      <c r="AT28" t="s">
        <v>102</v>
      </c>
      <c r="AU28">
        <v>210</v>
      </c>
      <c r="AV28" t="s">
        <v>101</v>
      </c>
      <c r="AW28">
        <v>4.0999999999999996</v>
      </c>
      <c r="AX28" t="s">
        <v>103</v>
      </c>
      <c r="AY28">
        <v>2.9</v>
      </c>
      <c r="AZ28" t="s">
        <v>104</v>
      </c>
      <c r="BA28">
        <v>4</v>
      </c>
      <c r="BB28" t="s">
        <v>105</v>
      </c>
      <c r="BC28">
        <v>90</v>
      </c>
    </row>
    <row r="29" spans="1:55" hidden="1" x14ac:dyDescent="0.3">
      <c r="A29" t="s">
        <v>134</v>
      </c>
      <c r="B29" t="s">
        <v>135</v>
      </c>
      <c r="C29" s="46">
        <v>45729.916666666664</v>
      </c>
      <c r="D29" t="s">
        <v>32</v>
      </c>
      <c r="F29" t="s">
        <v>33</v>
      </c>
      <c r="H29" t="s">
        <v>82</v>
      </c>
      <c r="I29">
        <v>10.359500000000001</v>
      </c>
      <c r="J29" t="s">
        <v>83</v>
      </c>
      <c r="K29">
        <v>1063.0999999999999</v>
      </c>
      <c r="L29" t="s">
        <v>84</v>
      </c>
      <c r="M29">
        <v>16.100000000000001</v>
      </c>
      <c r="N29" t="s">
        <v>85</v>
      </c>
      <c r="O29">
        <v>4.1500000000000004</v>
      </c>
      <c r="P29" t="s">
        <v>86</v>
      </c>
      <c r="Q29">
        <v>2.76</v>
      </c>
      <c r="R29" t="s">
        <v>87</v>
      </c>
      <c r="S29">
        <v>22.22</v>
      </c>
      <c r="T29" t="s">
        <v>88</v>
      </c>
      <c r="U29">
        <v>77.540000000000006</v>
      </c>
      <c r="V29" t="s">
        <v>89</v>
      </c>
      <c r="W29">
        <v>77.81</v>
      </c>
      <c r="X29" t="s">
        <v>90</v>
      </c>
      <c r="Y29">
        <v>2.13</v>
      </c>
      <c r="Z29" t="s">
        <v>91</v>
      </c>
      <c r="AA29" s="91">
        <f t="shared" si="0"/>
        <v>162.5</v>
      </c>
      <c r="AB29" t="s">
        <v>92</v>
      </c>
      <c r="AC29">
        <v>75</v>
      </c>
      <c r="AD29" t="s">
        <v>93</v>
      </c>
      <c r="AE29">
        <v>101</v>
      </c>
      <c r="AF29" t="s">
        <v>95</v>
      </c>
      <c r="AG29">
        <v>24</v>
      </c>
      <c r="AH29" t="s">
        <v>100</v>
      </c>
      <c r="AI29">
        <v>3.33</v>
      </c>
      <c r="AJ29" t="s">
        <v>97</v>
      </c>
      <c r="AK29">
        <v>0.75929999999999997</v>
      </c>
      <c r="AL29" t="s">
        <v>98</v>
      </c>
      <c r="AM29">
        <v>0.1968</v>
      </c>
      <c r="AN29" s="201" t="s">
        <v>99</v>
      </c>
      <c r="AO29" s="201">
        <v>0.78</v>
      </c>
      <c r="AP29" t="s">
        <v>94</v>
      </c>
      <c r="AQ29">
        <v>0.27</v>
      </c>
      <c r="AR29" t="s">
        <v>180</v>
      </c>
      <c r="AT29" t="s">
        <v>102</v>
      </c>
      <c r="AU29">
        <v>352</v>
      </c>
      <c r="AV29" t="s">
        <v>101</v>
      </c>
      <c r="AW29">
        <v>3.44</v>
      </c>
      <c r="AX29" t="s">
        <v>103</v>
      </c>
      <c r="AY29">
        <v>2.7</v>
      </c>
      <c r="AZ29" t="s">
        <v>104</v>
      </c>
      <c r="BA29">
        <v>12</v>
      </c>
      <c r="BB29" t="s">
        <v>105</v>
      </c>
      <c r="BC29">
        <v>345</v>
      </c>
    </row>
    <row r="30" spans="1:55" hidden="1" x14ac:dyDescent="0.3">
      <c r="A30" t="s">
        <v>136</v>
      </c>
      <c r="B30" t="s">
        <v>135</v>
      </c>
      <c r="C30" s="46">
        <v>45730.445833333331</v>
      </c>
      <c r="D30" t="s">
        <v>32</v>
      </c>
      <c r="F30" t="s">
        <v>33</v>
      </c>
      <c r="H30" t="s">
        <v>82</v>
      </c>
      <c r="I30">
        <v>10.276300000000001</v>
      </c>
      <c r="J30" t="s">
        <v>83</v>
      </c>
      <c r="K30">
        <v>1063.7</v>
      </c>
      <c r="L30" t="s">
        <v>84</v>
      </c>
      <c r="M30">
        <v>16.100000000000001</v>
      </c>
      <c r="N30" t="s">
        <v>85</v>
      </c>
      <c r="O30">
        <v>25.5</v>
      </c>
      <c r="P30" t="s">
        <v>86</v>
      </c>
      <c r="Q30">
        <v>19.97</v>
      </c>
      <c r="R30" t="s">
        <v>87</v>
      </c>
      <c r="S30">
        <v>25.6</v>
      </c>
      <c r="T30" t="s">
        <v>88</v>
      </c>
      <c r="U30">
        <v>69.849999999999994</v>
      </c>
      <c r="V30" t="s">
        <v>89</v>
      </c>
      <c r="W30">
        <v>76.2</v>
      </c>
      <c r="X30" t="s">
        <v>90</v>
      </c>
      <c r="Y30">
        <v>2.42</v>
      </c>
      <c r="Z30" t="s">
        <v>91</v>
      </c>
      <c r="AA30" s="91">
        <f t="shared" si="0"/>
        <v>129.91999999999999</v>
      </c>
      <c r="AB30" t="s">
        <v>92</v>
      </c>
      <c r="AC30">
        <v>56</v>
      </c>
      <c r="AD30" t="s">
        <v>93</v>
      </c>
      <c r="AE30">
        <v>84</v>
      </c>
      <c r="AF30" t="s">
        <v>95</v>
      </c>
      <c r="AG30">
        <v>40</v>
      </c>
      <c r="AH30" t="s">
        <v>100</v>
      </c>
      <c r="AI30">
        <v>3.26</v>
      </c>
      <c r="AJ30" t="s">
        <v>97</v>
      </c>
      <c r="AK30">
        <v>0.63470000000000004</v>
      </c>
      <c r="AL30" t="s">
        <v>98</v>
      </c>
      <c r="AM30">
        <v>0.1149</v>
      </c>
      <c r="AN30" s="203" t="s">
        <v>99</v>
      </c>
      <c r="AO30" s="204">
        <v>0.68766963432846828</v>
      </c>
      <c r="AP30" t="s">
        <v>94</v>
      </c>
      <c r="AR30" t="s">
        <v>180</v>
      </c>
      <c r="AT30" t="s">
        <v>102</v>
      </c>
      <c r="AV30" t="s">
        <v>101</v>
      </c>
      <c r="AX30" t="s">
        <v>103</v>
      </c>
      <c r="AZ30" t="s">
        <v>104</v>
      </c>
      <c r="BB30" t="s">
        <v>105</v>
      </c>
    </row>
    <row r="31" spans="1:55" hidden="1" x14ac:dyDescent="0.3">
      <c r="A31" t="s">
        <v>137</v>
      </c>
      <c r="B31" t="s">
        <v>135</v>
      </c>
      <c r="C31" s="46">
        <v>45735.618055555555</v>
      </c>
      <c r="D31" t="s">
        <v>32</v>
      </c>
      <c r="F31" t="s">
        <v>33</v>
      </c>
      <c r="H31" t="s">
        <v>82</v>
      </c>
      <c r="I31">
        <v>10.427099999999999</v>
      </c>
      <c r="J31" t="s">
        <v>83</v>
      </c>
      <c r="K31">
        <v>995.1</v>
      </c>
      <c r="L31" t="s">
        <v>84</v>
      </c>
      <c r="M31">
        <v>-0.5</v>
      </c>
      <c r="N31" t="s">
        <v>85</v>
      </c>
      <c r="O31">
        <v>56.45</v>
      </c>
      <c r="P31" t="s">
        <v>86</v>
      </c>
      <c r="Q31">
        <v>48.69</v>
      </c>
      <c r="R31" t="s">
        <v>87</v>
      </c>
      <c r="S31">
        <v>16.87</v>
      </c>
      <c r="T31" t="s">
        <v>88</v>
      </c>
      <c r="U31">
        <v>8.84</v>
      </c>
      <c r="V31" t="s">
        <v>89</v>
      </c>
      <c r="W31">
        <v>0.08</v>
      </c>
      <c r="X31" t="s">
        <v>90</v>
      </c>
      <c r="Y31">
        <v>5.73</v>
      </c>
      <c r="Z31" t="s">
        <v>91</v>
      </c>
      <c r="AA31" s="91">
        <f t="shared" si="0"/>
        <v>12</v>
      </c>
      <c r="AB31" t="s">
        <v>92</v>
      </c>
      <c r="AC31">
        <v>0</v>
      </c>
      <c r="AD31" t="s">
        <v>93</v>
      </c>
      <c r="AE31">
        <v>12</v>
      </c>
      <c r="AF31" t="s">
        <v>95</v>
      </c>
      <c r="AG31">
        <v>28</v>
      </c>
      <c r="AH31" t="s">
        <v>100</v>
      </c>
      <c r="AI31">
        <v>2.2799999999999998</v>
      </c>
      <c r="AJ31" t="s">
        <v>97</v>
      </c>
      <c r="AK31">
        <v>0.93820000000000003</v>
      </c>
      <c r="AL31" t="s">
        <v>98</v>
      </c>
      <c r="AM31">
        <v>0.21690000000000001</v>
      </c>
      <c r="AN31" s="203" t="s">
        <v>99</v>
      </c>
      <c r="AO31" s="204">
        <v>11.881554618216651</v>
      </c>
      <c r="AP31" t="s">
        <v>94</v>
      </c>
      <c r="AR31" t="s">
        <v>180</v>
      </c>
      <c r="AT31" t="s">
        <v>102</v>
      </c>
      <c r="AV31" t="s">
        <v>101</v>
      </c>
      <c r="AX31" t="s">
        <v>103</v>
      </c>
      <c r="AZ31" t="s">
        <v>104</v>
      </c>
      <c r="BB31" t="s">
        <v>105</v>
      </c>
    </row>
    <row r="32" spans="1:55" hidden="1" x14ac:dyDescent="0.3">
      <c r="A32" t="s">
        <v>138</v>
      </c>
      <c r="B32" t="s">
        <v>135</v>
      </c>
      <c r="C32" s="46">
        <v>45736.416666666664</v>
      </c>
      <c r="D32" t="s">
        <v>32</v>
      </c>
      <c r="F32" t="s">
        <v>33</v>
      </c>
      <c r="H32" t="s">
        <v>82</v>
      </c>
      <c r="I32">
        <v>10.482799999999999</v>
      </c>
      <c r="J32" t="s">
        <v>83</v>
      </c>
      <c r="K32">
        <v>994</v>
      </c>
      <c r="L32" t="s">
        <v>84</v>
      </c>
      <c r="M32">
        <v>-1</v>
      </c>
      <c r="N32" t="s">
        <v>85</v>
      </c>
      <c r="O32">
        <v>57.14</v>
      </c>
      <c r="P32" t="s">
        <v>86</v>
      </c>
      <c r="Q32">
        <v>46.62</v>
      </c>
      <c r="R32" t="s">
        <v>87</v>
      </c>
      <c r="S32">
        <v>12.9</v>
      </c>
      <c r="T32" t="s">
        <v>88</v>
      </c>
      <c r="U32">
        <v>5.23</v>
      </c>
      <c r="V32" t="s">
        <v>89</v>
      </c>
      <c r="W32">
        <v>7.0000000000000007E-2</v>
      </c>
      <c r="X32" t="s">
        <v>90</v>
      </c>
      <c r="Y32">
        <v>5.68</v>
      </c>
      <c r="Z32" t="s">
        <v>91</v>
      </c>
      <c r="AA32" s="91">
        <f t="shared" si="0"/>
        <v>13</v>
      </c>
      <c r="AB32" t="s">
        <v>92</v>
      </c>
      <c r="AC32">
        <v>0</v>
      </c>
      <c r="AD32" t="s">
        <v>93</v>
      </c>
      <c r="AE32">
        <v>13</v>
      </c>
      <c r="AF32" t="s">
        <v>95</v>
      </c>
      <c r="AG32">
        <v>24</v>
      </c>
      <c r="AH32" t="s">
        <v>100</v>
      </c>
      <c r="AI32">
        <v>2.4</v>
      </c>
      <c r="AJ32" t="s">
        <v>97</v>
      </c>
      <c r="AL32" t="s">
        <v>98</v>
      </c>
      <c r="AN32" s="203" t="s">
        <v>99</v>
      </c>
      <c r="AO32" s="204">
        <v>12.072166427527538</v>
      </c>
      <c r="AP32" t="s">
        <v>94</v>
      </c>
      <c r="AR32" t="s">
        <v>180</v>
      </c>
      <c r="AT32" t="s">
        <v>102</v>
      </c>
      <c r="AV32" t="s">
        <v>101</v>
      </c>
      <c r="AX32" t="s">
        <v>103</v>
      </c>
      <c r="AZ32" t="s">
        <v>104</v>
      </c>
      <c r="BB32" t="s">
        <v>105</v>
      </c>
    </row>
    <row r="33" spans="1:55" hidden="1" x14ac:dyDescent="0.3">
      <c r="A33" t="s">
        <v>139</v>
      </c>
      <c r="B33" t="s">
        <v>135</v>
      </c>
      <c r="C33" s="46">
        <v>45731.458333333336</v>
      </c>
      <c r="D33" t="s">
        <v>32</v>
      </c>
      <c r="E33">
        <v>15</v>
      </c>
      <c r="F33" t="s">
        <v>33</v>
      </c>
      <c r="G33">
        <v>6.5</v>
      </c>
      <c r="H33" t="s">
        <v>82</v>
      </c>
      <c r="I33">
        <v>10.513</v>
      </c>
      <c r="J33" t="s">
        <v>83</v>
      </c>
      <c r="K33">
        <v>1050.4000000000001</v>
      </c>
      <c r="L33" t="s">
        <v>84</v>
      </c>
      <c r="M33">
        <v>12.9</v>
      </c>
      <c r="N33" t="s">
        <v>85</v>
      </c>
      <c r="O33">
        <v>34.869999999999997</v>
      </c>
      <c r="P33" t="s">
        <v>86</v>
      </c>
      <c r="Q33">
        <v>32.57</v>
      </c>
      <c r="R33" t="s">
        <v>87</v>
      </c>
      <c r="S33">
        <v>26.65</v>
      </c>
      <c r="T33" t="s">
        <v>88</v>
      </c>
      <c r="U33">
        <v>54.65</v>
      </c>
      <c r="V33" t="s">
        <v>89</v>
      </c>
      <c r="W33">
        <v>65.11</v>
      </c>
      <c r="X33" t="s">
        <v>90</v>
      </c>
      <c r="Y33">
        <v>3.63</v>
      </c>
      <c r="Z33" t="s">
        <v>91</v>
      </c>
      <c r="AA33" s="91">
        <f t="shared" si="0"/>
        <v>28</v>
      </c>
      <c r="AB33" t="s">
        <v>92</v>
      </c>
      <c r="AC33">
        <v>0</v>
      </c>
      <c r="AD33" s="73" t="s">
        <v>93</v>
      </c>
      <c r="AE33" s="73">
        <v>28</v>
      </c>
      <c r="AF33" t="s">
        <v>95</v>
      </c>
      <c r="AG33">
        <v>56</v>
      </c>
      <c r="AH33" t="s">
        <v>100</v>
      </c>
      <c r="AI33">
        <v>3.21</v>
      </c>
      <c r="AJ33" t="s">
        <v>97</v>
      </c>
      <c r="AK33">
        <v>0.6321</v>
      </c>
      <c r="AL33" t="s">
        <v>98</v>
      </c>
      <c r="AM33">
        <v>0.1172</v>
      </c>
      <c r="AN33" s="203" t="s">
        <v>99</v>
      </c>
      <c r="AO33" s="204">
        <v>2.7562774555950904</v>
      </c>
      <c r="AP33" t="s">
        <v>94</v>
      </c>
      <c r="AR33" t="s">
        <v>180</v>
      </c>
      <c r="AT33" t="s">
        <v>102</v>
      </c>
      <c r="AV33" t="s">
        <v>101</v>
      </c>
      <c r="AX33" t="s">
        <v>103</v>
      </c>
      <c r="AZ33" t="s">
        <v>104</v>
      </c>
      <c r="BB33" t="s">
        <v>105</v>
      </c>
    </row>
    <row r="34" spans="1:55" hidden="1" x14ac:dyDescent="0.3">
      <c r="A34" t="s">
        <v>140</v>
      </c>
      <c r="B34" t="s">
        <v>135</v>
      </c>
      <c r="C34" s="46">
        <v>45731.618055555555</v>
      </c>
      <c r="D34" t="s">
        <v>32</v>
      </c>
      <c r="F34" t="s">
        <v>33</v>
      </c>
      <c r="H34" t="s">
        <v>82</v>
      </c>
      <c r="I34">
        <v>10.3428</v>
      </c>
      <c r="J34" t="s">
        <v>83</v>
      </c>
      <c r="K34">
        <v>1046.0999999999999</v>
      </c>
      <c r="L34" t="s">
        <v>84</v>
      </c>
      <c r="M34">
        <v>12.2</v>
      </c>
      <c r="N34" t="s">
        <v>85</v>
      </c>
      <c r="O34">
        <v>46.08</v>
      </c>
      <c r="P34" t="s">
        <v>86</v>
      </c>
      <c r="Q34">
        <v>42.78</v>
      </c>
      <c r="R34" t="s">
        <v>87</v>
      </c>
      <c r="S34">
        <v>27.83</v>
      </c>
      <c r="T34" t="s">
        <v>88</v>
      </c>
      <c r="U34">
        <v>48.59</v>
      </c>
      <c r="V34" t="s">
        <v>89</v>
      </c>
      <c r="W34">
        <v>47.91</v>
      </c>
      <c r="X34" t="s">
        <v>90</v>
      </c>
      <c r="Y34">
        <v>3.76</v>
      </c>
      <c r="Z34" t="s">
        <v>91</v>
      </c>
      <c r="AA34" s="91">
        <f t="shared" si="0"/>
        <v>66.42</v>
      </c>
      <c r="AB34" t="s">
        <v>92</v>
      </c>
      <c r="AC34">
        <v>31</v>
      </c>
      <c r="AD34" s="73" t="s">
        <v>93</v>
      </c>
      <c r="AE34" s="73">
        <v>41</v>
      </c>
      <c r="AF34" t="s">
        <v>95</v>
      </c>
      <c r="AG34">
        <v>60</v>
      </c>
      <c r="AH34" t="s">
        <v>100</v>
      </c>
      <c r="AI34">
        <v>3.15</v>
      </c>
      <c r="AJ34" t="s">
        <v>97</v>
      </c>
      <c r="AK34">
        <v>0.88280000000000003</v>
      </c>
      <c r="AL34" t="s">
        <v>98</v>
      </c>
      <c r="AM34">
        <v>0.1729</v>
      </c>
      <c r="AN34" s="203" t="s">
        <v>99</v>
      </c>
      <c r="AO34" s="204">
        <v>3.4350664471568066</v>
      </c>
      <c r="AP34" t="s">
        <v>94</v>
      </c>
      <c r="AR34" t="s">
        <v>180</v>
      </c>
      <c r="AT34" t="s">
        <v>102</v>
      </c>
      <c r="AV34" t="s">
        <v>101</v>
      </c>
      <c r="AX34" t="s">
        <v>103</v>
      </c>
      <c r="AZ34" t="s">
        <v>104</v>
      </c>
      <c r="BB34" t="s">
        <v>105</v>
      </c>
    </row>
    <row r="35" spans="1:55" hidden="1" x14ac:dyDescent="0.3">
      <c r="A35" t="s">
        <v>141</v>
      </c>
      <c r="B35" t="s">
        <v>135</v>
      </c>
      <c r="C35" s="46">
        <v>45732.46875</v>
      </c>
      <c r="D35" t="s">
        <v>32</v>
      </c>
      <c r="F35" t="s">
        <v>33</v>
      </c>
      <c r="H35" t="s">
        <v>82</v>
      </c>
      <c r="I35">
        <v>11.52</v>
      </c>
      <c r="J35" t="s">
        <v>83</v>
      </c>
      <c r="K35">
        <v>1028</v>
      </c>
      <c r="L35" t="s">
        <v>84</v>
      </c>
      <c r="M35">
        <v>7.7</v>
      </c>
      <c r="N35" t="s">
        <v>85</v>
      </c>
      <c r="O35">
        <v>56.84</v>
      </c>
      <c r="P35" t="s">
        <v>86</v>
      </c>
      <c r="Q35">
        <v>50.77</v>
      </c>
      <c r="R35" t="s">
        <v>87</v>
      </c>
      <c r="S35">
        <v>26.49</v>
      </c>
      <c r="T35" t="s">
        <v>88</v>
      </c>
      <c r="U35">
        <v>36.299999999999997</v>
      </c>
      <c r="V35" t="s">
        <v>89</v>
      </c>
      <c r="W35">
        <v>39.58</v>
      </c>
      <c r="X35" t="s">
        <v>90</v>
      </c>
      <c r="Y35">
        <v>4.78</v>
      </c>
      <c r="Z35" t="s">
        <v>91</v>
      </c>
      <c r="AA35" s="91">
        <f t="shared" si="0"/>
        <v>20</v>
      </c>
      <c r="AB35" t="s">
        <v>92</v>
      </c>
      <c r="AC35">
        <v>0</v>
      </c>
      <c r="AD35" s="73" t="s">
        <v>93</v>
      </c>
      <c r="AE35" s="73">
        <v>20</v>
      </c>
      <c r="AF35" t="s">
        <v>95</v>
      </c>
      <c r="AG35">
        <v>50</v>
      </c>
      <c r="AH35" t="s">
        <v>100</v>
      </c>
      <c r="AI35">
        <v>2.88</v>
      </c>
      <c r="AJ35" t="s">
        <v>97</v>
      </c>
      <c r="AK35">
        <v>0.74</v>
      </c>
      <c r="AL35" t="s">
        <v>98</v>
      </c>
      <c r="AM35">
        <v>0.1653</v>
      </c>
      <c r="AN35" s="203" t="s">
        <v>99</v>
      </c>
      <c r="AO35" s="204">
        <v>6.3475704906552783</v>
      </c>
      <c r="AP35" t="s">
        <v>94</v>
      </c>
      <c r="AR35" t="s">
        <v>180</v>
      </c>
      <c r="AT35" t="s">
        <v>102</v>
      </c>
      <c r="AV35" t="s">
        <v>101</v>
      </c>
      <c r="AX35" t="s">
        <v>103</v>
      </c>
      <c r="AZ35" t="s">
        <v>104</v>
      </c>
      <c r="BB35" t="s">
        <v>105</v>
      </c>
    </row>
    <row r="36" spans="1:55" hidden="1" x14ac:dyDescent="0.3">
      <c r="A36" t="s">
        <v>142</v>
      </c>
      <c r="B36" t="s">
        <v>135</v>
      </c>
      <c r="C36" s="46">
        <v>45733.451388888891</v>
      </c>
      <c r="D36" t="s">
        <v>32</v>
      </c>
      <c r="E36">
        <v>67.5</v>
      </c>
      <c r="F36" t="s">
        <v>33</v>
      </c>
      <c r="G36">
        <v>33</v>
      </c>
      <c r="H36" t="s">
        <v>82</v>
      </c>
      <c r="I36">
        <v>10.284700000000001</v>
      </c>
      <c r="J36" t="s">
        <v>83</v>
      </c>
      <c r="K36">
        <v>1013.9</v>
      </c>
      <c r="L36" t="s">
        <v>84</v>
      </c>
      <c r="M36">
        <v>4.0999999999999996</v>
      </c>
      <c r="N36" t="s">
        <v>85</v>
      </c>
      <c r="O36">
        <v>63.06</v>
      </c>
      <c r="P36" t="s">
        <v>86</v>
      </c>
      <c r="Q36">
        <v>59.29</v>
      </c>
      <c r="R36" t="s">
        <v>87</v>
      </c>
      <c r="S36">
        <v>26.55</v>
      </c>
      <c r="T36" t="s">
        <v>88</v>
      </c>
      <c r="U36">
        <v>23.8</v>
      </c>
      <c r="V36" t="s">
        <v>89</v>
      </c>
      <c r="W36">
        <v>23.39</v>
      </c>
      <c r="X36" t="s">
        <v>90</v>
      </c>
      <c r="Y36">
        <v>5.27</v>
      </c>
      <c r="Z36" t="s">
        <v>91</v>
      </c>
      <c r="AA36" s="91">
        <f t="shared" si="0"/>
        <v>14</v>
      </c>
      <c r="AB36" t="s">
        <v>92</v>
      </c>
      <c r="AC36">
        <v>0</v>
      </c>
      <c r="AD36" t="s">
        <v>93</v>
      </c>
      <c r="AE36">
        <v>14</v>
      </c>
      <c r="AF36" t="s">
        <v>95</v>
      </c>
      <c r="AG36">
        <v>36</v>
      </c>
      <c r="AH36" t="s">
        <v>100</v>
      </c>
      <c r="AI36">
        <v>2.68</v>
      </c>
      <c r="AJ36" t="s">
        <v>97</v>
      </c>
      <c r="AK36">
        <v>1.2668999999999999</v>
      </c>
      <c r="AL36" t="s">
        <v>98</v>
      </c>
      <c r="AM36">
        <v>0.23749999999999999</v>
      </c>
      <c r="AN36" s="203" t="s">
        <v>99</v>
      </c>
      <c r="AO36" s="204">
        <v>8.6803315628927713</v>
      </c>
      <c r="AP36" t="s">
        <v>94</v>
      </c>
      <c r="AR36" t="s">
        <v>180</v>
      </c>
      <c r="AT36" t="s">
        <v>102</v>
      </c>
      <c r="AV36" t="s">
        <v>101</v>
      </c>
      <c r="AX36" t="s">
        <v>103</v>
      </c>
      <c r="AZ36" t="s">
        <v>104</v>
      </c>
      <c r="BB36" t="s">
        <v>105</v>
      </c>
    </row>
    <row r="37" spans="1:55" hidden="1" x14ac:dyDescent="0.3">
      <c r="A37" t="s">
        <v>143</v>
      </c>
      <c r="B37" t="s">
        <v>135</v>
      </c>
      <c r="C37" s="46">
        <v>45733.625</v>
      </c>
      <c r="D37" t="s">
        <v>32</v>
      </c>
      <c r="F37" t="s">
        <v>33</v>
      </c>
      <c r="H37" t="s">
        <v>82</v>
      </c>
      <c r="I37">
        <v>10.266500000000001</v>
      </c>
      <c r="J37" t="s">
        <v>83</v>
      </c>
      <c r="K37">
        <v>1009.4</v>
      </c>
      <c r="L37" t="s">
        <v>84</v>
      </c>
      <c r="M37">
        <v>3</v>
      </c>
      <c r="N37" t="s">
        <v>85</v>
      </c>
      <c r="O37">
        <v>71.349999999999994</v>
      </c>
      <c r="P37" t="s">
        <v>86</v>
      </c>
      <c r="Q37">
        <v>62.6</v>
      </c>
      <c r="R37" t="s">
        <v>87</v>
      </c>
      <c r="S37">
        <v>19.91</v>
      </c>
      <c r="T37" s="73" t="s">
        <v>88</v>
      </c>
      <c r="U37" s="73">
        <f>39.64-W37</f>
        <v>32.520000000000003</v>
      </c>
      <c r="V37" s="73" t="s">
        <v>89</v>
      </c>
      <c r="W37" s="73">
        <v>7.12</v>
      </c>
      <c r="X37" t="s">
        <v>90</v>
      </c>
      <c r="Y37">
        <v>5.34</v>
      </c>
      <c r="Z37" t="s">
        <v>91</v>
      </c>
      <c r="AA37" s="91">
        <f t="shared" si="0"/>
        <v>15</v>
      </c>
      <c r="AB37" t="s">
        <v>92</v>
      </c>
      <c r="AC37">
        <v>0</v>
      </c>
      <c r="AD37" t="s">
        <v>93</v>
      </c>
      <c r="AE37">
        <v>15</v>
      </c>
      <c r="AF37" s="73" t="s">
        <v>95</v>
      </c>
      <c r="AG37" s="73">
        <v>42</v>
      </c>
      <c r="AH37" t="s">
        <v>100</v>
      </c>
      <c r="AI37">
        <v>2.67</v>
      </c>
      <c r="AJ37" t="s">
        <v>97</v>
      </c>
      <c r="AK37">
        <v>2.2294999999999998</v>
      </c>
      <c r="AL37" t="s">
        <v>98</v>
      </c>
      <c r="AM37">
        <v>0.34799999999999998</v>
      </c>
      <c r="AN37" s="203" t="s">
        <v>99</v>
      </c>
      <c r="AO37" s="204">
        <v>9.4369824261406432</v>
      </c>
      <c r="AP37" t="s">
        <v>94</v>
      </c>
      <c r="AR37" t="s">
        <v>180</v>
      </c>
      <c r="AT37" t="s">
        <v>102</v>
      </c>
      <c r="AV37" t="s">
        <v>101</v>
      </c>
      <c r="AX37" t="s">
        <v>103</v>
      </c>
      <c r="AZ37" t="s">
        <v>104</v>
      </c>
      <c r="BB37" t="s">
        <v>105</v>
      </c>
    </row>
    <row r="38" spans="1:55" hidden="1" x14ac:dyDescent="0.3">
      <c r="A38" t="s">
        <v>144</v>
      </c>
      <c r="B38" t="s">
        <v>135</v>
      </c>
      <c r="C38" s="46">
        <v>45734.430555555555</v>
      </c>
      <c r="D38" t="s">
        <v>32</v>
      </c>
      <c r="F38" t="s">
        <v>33</v>
      </c>
      <c r="H38" t="s">
        <v>82</v>
      </c>
      <c r="I38">
        <v>10.414999999999999</v>
      </c>
      <c r="J38" t="s">
        <v>83</v>
      </c>
      <c r="K38">
        <v>1002.2</v>
      </c>
      <c r="L38" t="s">
        <v>84</v>
      </c>
      <c r="M38">
        <v>1.1000000000000001</v>
      </c>
      <c r="N38" t="s">
        <v>85</v>
      </c>
      <c r="O38">
        <v>64.75</v>
      </c>
      <c r="P38" t="s">
        <v>86</v>
      </c>
      <c r="Q38">
        <v>58.83</v>
      </c>
      <c r="R38" t="s">
        <v>87</v>
      </c>
      <c r="S38">
        <v>24.79</v>
      </c>
      <c r="T38" s="73" t="s">
        <v>88</v>
      </c>
      <c r="U38" s="73">
        <f>20.59-W38</f>
        <v>18.55</v>
      </c>
      <c r="V38" s="73" t="s">
        <v>89</v>
      </c>
      <c r="W38" s="73">
        <v>2.04</v>
      </c>
      <c r="X38" t="s">
        <v>90</v>
      </c>
      <c r="Y38">
        <v>5.45</v>
      </c>
      <c r="Z38" t="s">
        <v>91</v>
      </c>
      <c r="AA38" s="91">
        <f t="shared" si="0"/>
        <v>12</v>
      </c>
      <c r="AB38" t="s">
        <v>92</v>
      </c>
      <c r="AC38">
        <v>0</v>
      </c>
      <c r="AD38" t="s">
        <v>93</v>
      </c>
      <c r="AE38">
        <v>12</v>
      </c>
      <c r="AF38" t="s">
        <v>95</v>
      </c>
      <c r="AG38">
        <v>31</v>
      </c>
      <c r="AH38" t="s">
        <v>100</v>
      </c>
      <c r="AI38">
        <v>2.65</v>
      </c>
      <c r="AJ38" t="s">
        <v>97</v>
      </c>
      <c r="AK38">
        <v>0.78520000000000001</v>
      </c>
      <c r="AL38" t="s">
        <v>98</v>
      </c>
      <c r="AM38">
        <v>-1.4500000000000001E-2</v>
      </c>
      <c r="AN38" s="203" t="s">
        <v>99</v>
      </c>
      <c r="AO38" s="204">
        <v>10.660117840502579</v>
      </c>
      <c r="AP38" t="s">
        <v>94</v>
      </c>
      <c r="AR38" t="s">
        <v>180</v>
      </c>
      <c r="AT38" t="s">
        <v>102</v>
      </c>
      <c r="AV38" t="s">
        <v>101</v>
      </c>
      <c r="AX38" t="s">
        <v>103</v>
      </c>
      <c r="AZ38" t="s">
        <v>104</v>
      </c>
      <c r="BB38" t="s">
        <v>105</v>
      </c>
    </row>
    <row r="39" spans="1:55" hidden="1" x14ac:dyDescent="0.3">
      <c r="A39" t="s">
        <v>145</v>
      </c>
      <c r="B39" t="s">
        <v>135</v>
      </c>
      <c r="C39" s="46">
        <v>45734.631944444445</v>
      </c>
      <c r="D39" t="s">
        <v>32</v>
      </c>
      <c r="E39">
        <v>27.5</v>
      </c>
      <c r="F39" t="s">
        <v>33</v>
      </c>
      <c r="G39">
        <v>15</v>
      </c>
      <c r="H39" t="s">
        <v>82</v>
      </c>
      <c r="I39">
        <v>10.5383</v>
      </c>
      <c r="J39" t="s">
        <v>83</v>
      </c>
      <c r="K39">
        <v>1000.3</v>
      </c>
      <c r="L39" t="s">
        <v>84</v>
      </c>
      <c r="M39">
        <v>0.7</v>
      </c>
      <c r="N39" t="s">
        <v>85</v>
      </c>
      <c r="O39">
        <v>74.040000000000006</v>
      </c>
      <c r="P39" t="s">
        <v>86</v>
      </c>
      <c r="Q39">
        <v>62.37</v>
      </c>
      <c r="R39" t="s">
        <v>87</v>
      </c>
      <c r="S39">
        <v>17.010000000000002</v>
      </c>
      <c r="T39" s="73" t="s">
        <v>88</v>
      </c>
      <c r="U39" s="73">
        <f>18.91-W39</f>
        <v>17.46</v>
      </c>
      <c r="V39" s="73" t="s">
        <v>89</v>
      </c>
      <c r="W39" s="73">
        <v>1.45</v>
      </c>
      <c r="X39" t="s">
        <v>90</v>
      </c>
      <c r="Y39">
        <v>5.57</v>
      </c>
      <c r="Z39" t="s">
        <v>91</v>
      </c>
      <c r="AA39" s="91">
        <f t="shared" si="0"/>
        <v>12</v>
      </c>
      <c r="AB39" t="s">
        <v>92</v>
      </c>
      <c r="AC39">
        <v>0</v>
      </c>
      <c r="AD39" t="s">
        <v>93</v>
      </c>
      <c r="AE39">
        <v>12</v>
      </c>
      <c r="AF39" t="s">
        <v>95</v>
      </c>
      <c r="AG39">
        <v>37</v>
      </c>
      <c r="AH39" t="s">
        <v>100</v>
      </c>
      <c r="AI39">
        <v>2.6</v>
      </c>
      <c r="AJ39" t="s">
        <v>97</v>
      </c>
      <c r="AK39">
        <v>1.8387</v>
      </c>
      <c r="AL39" t="s">
        <v>98</v>
      </c>
      <c r="AM39">
        <v>0.2233</v>
      </c>
      <c r="AN39" s="203" t="s">
        <v>99</v>
      </c>
      <c r="AO39" s="204">
        <v>10.985482500111823</v>
      </c>
      <c r="AP39" t="s">
        <v>94</v>
      </c>
      <c r="AR39" t="s">
        <v>180</v>
      </c>
      <c r="AT39" t="s">
        <v>102</v>
      </c>
      <c r="AV39" t="s">
        <v>101</v>
      </c>
      <c r="AX39" t="s">
        <v>103</v>
      </c>
      <c r="AZ39" t="s">
        <v>104</v>
      </c>
      <c r="BB39" t="s">
        <v>105</v>
      </c>
    </row>
    <row r="40" spans="1:55" hidden="1" x14ac:dyDescent="0.3">
      <c r="A40" t="s">
        <v>146</v>
      </c>
      <c r="B40" t="s">
        <v>135</v>
      </c>
      <c r="C40" s="46">
        <v>45735.385416666664</v>
      </c>
      <c r="D40" t="s">
        <v>32</v>
      </c>
      <c r="F40" t="s">
        <v>33</v>
      </c>
      <c r="H40" t="s">
        <v>82</v>
      </c>
      <c r="I40">
        <v>10.315899999999999</v>
      </c>
      <c r="J40" t="s">
        <v>83</v>
      </c>
      <c r="K40">
        <v>997.1</v>
      </c>
      <c r="L40" t="s">
        <v>84</v>
      </c>
      <c r="M40">
        <v>0</v>
      </c>
      <c r="N40" t="s">
        <v>85</v>
      </c>
      <c r="O40">
        <v>96.47</v>
      </c>
      <c r="P40" t="s">
        <v>86</v>
      </c>
      <c r="Q40">
        <v>87.48</v>
      </c>
      <c r="R40" t="s">
        <v>87</v>
      </c>
      <c r="S40">
        <v>15.05</v>
      </c>
      <c r="T40" s="73" t="s">
        <v>88</v>
      </c>
      <c r="U40" s="73">
        <v>0</v>
      </c>
      <c r="V40" s="73" t="s">
        <v>89</v>
      </c>
      <c r="W40" s="73">
        <v>0.44</v>
      </c>
      <c r="X40" t="s">
        <v>90</v>
      </c>
      <c r="Y40">
        <v>5.82</v>
      </c>
      <c r="Z40" t="s">
        <v>91</v>
      </c>
      <c r="AA40" s="91">
        <f t="shared" si="0"/>
        <v>14</v>
      </c>
      <c r="AB40" t="s">
        <v>92</v>
      </c>
      <c r="AC40">
        <v>0</v>
      </c>
      <c r="AD40" t="s">
        <v>93</v>
      </c>
      <c r="AE40">
        <v>14</v>
      </c>
      <c r="AF40" t="s">
        <v>95</v>
      </c>
      <c r="AG40">
        <v>27</v>
      </c>
      <c r="AH40" t="s">
        <v>100</v>
      </c>
      <c r="AI40">
        <v>2.66</v>
      </c>
      <c r="AJ40" t="s">
        <v>97</v>
      </c>
      <c r="AK40">
        <v>1.2948</v>
      </c>
      <c r="AL40" t="s">
        <v>98</v>
      </c>
      <c r="AM40">
        <v>0.2346</v>
      </c>
      <c r="AN40" s="203" t="s">
        <v>99</v>
      </c>
      <c r="AO40" s="204">
        <v>11.535936726388169</v>
      </c>
      <c r="AP40" t="s">
        <v>94</v>
      </c>
      <c r="AR40" t="s">
        <v>180</v>
      </c>
      <c r="AT40" t="s">
        <v>102</v>
      </c>
      <c r="AV40" t="s">
        <v>101</v>
      </c>
      <c r="AX40" t="s">
        <v>103</v>
      </c>
      <c r="AZ40" t="s">
        <v>104</v>
      </c>
      <c r="BB40" t="s">
        <v>105</v>
      </c>
    </row>
    <row r="41" spans="1:55" hidden="1" x14ac:dyDescent="0.3">
      <c r="A41" t="s">
        <v>147</v>
      </c>
      <c r="B41" t="s">
        <v>135</v>
      </c>
      <c r="C41" s="46">
        <v>45737.416666666664</v>
      </c>
      <c r="D41" t="s">
        <v>32</v>
      </c>
      <c r="E41">
        <v>17.5</v>
      </c>
      <c r="F41" t="s">
        <v>33</v>
      </c>
      <c r="G41">
        <v>22</v>
      </c>
      <c r="H41" t="s">
        <v>82</v>
      </c>
      <c r="I41">
        <v>10.482799999999999</v>
      </c>
      <c r="J41" t="s">
        <v>83</v>
      </c>
      <c r="K41">
        <v>994</v>
      </c>
      <c r="L41" t="s">
        <v>84</v>
      </c>
      <c r="M41">
        <v>-1</v>
      </c>
      <c r="N41" t="s">
        <v>85</v>
      </c>
      <c r="O41">
        <v>72.89</v>
      </c>
      <c r="P41" t="s">
        <v>86</v>
      </c>
      <c r="Q41">
        <v>58.37</v>
      </c>
      <c r="R41" t="s">
        <v>87</v>
      </c>
      <c r="S41">
        <v>16.54</v>
      </c>
      <c r="T41" t="s">
        <v>88</v>
      </c>
      <c r="U41">
        <v>1.47</v>
      </c>
      <c r="V41" t="s">
        <v>89</v>
      </c>
      <c r="W41">
        <v>0.02</v>
      </c>
      <c r="X41" t="s">
        <v>90</v>
      </c>
      <c r="Y41">
        <v>5.63</v>
      </c>
      <c r="Z41" t="s">
        <v>91</v>
      </c>
      <c r="AA41" s="91">
        <f t="shared" si="0"/>
        <v>19.920000000000002</v>
      </c>
      <c r="AB41" t="s">
        <v>92</v>
      </c>
      <c r="AC41">
        <v>6</v>
      </c>
      <c r="AD41" t="s">
        <v>93</v>
      </c>
      <c r="AE41">
        <v>15</v>
      </c>
      <c r="AF41" t="s">
        <v>95</v>
      </c>
      <c r="AG41">
        <v>29</v>
      </c>
      <c r="AH41" t="s">
        <v>100</v>
      </c>
      <c r="AI41">
        <v>2.5299999999999998</v>
      </c>
      <c r="AJ41" t="s">
        <v>97</v>
      </c>
      <c r="AL41" t="s">
        <v>98</v>
      </c>
      <c r="AM41">
        <v>0.21329999999999999</v>
      </c>
      <c r="AN41" s="201" t="s">
        <v>99</v>
      </c>
      <c r="AO41" s="201">
        <v>12.24</v>
      </c>
      <c r="AP41" t="s">
        <v>94</v>
      </c>
      <c r="AQ41">
        <v>0.45</v>
      </c>
      <c r="AR41" t="s">
        <v>180</v>
      </c>
      <c r="AT41" t="s">
        <v>102</v>
      </c>
      <c r="AU41">
        <v>205</v>
      </c>
      <c r="AV41" t="s">
        <v>101</v>
      </c>
      <c r="AW41">
        <v>3.93</v>
      </c>
      <c r="AX41" t="s">
        <v>103</v>
      </c>
      <c r="AY41">
        <v>2.9</v>
      </c>
      <c r="AZ41" t="s">
        <v>104</v>
      </c>
      <c r="BA41">
        <v>2</v>
      </c>
      <c r="BB41" t="s">
        <v>105</v>
      </c>
      <c r="BC41">
        <v>106</v>
      </c>
    </row>
    <row r="42" spans="1:55" hidden="1" x14ac:dyDescent="0.3">
      <c r="A42" t="s">
        <v>148</v>
      </c>
      <c r="B42" t="s">
        <v>149</v>
      </c>
      <c r="C42" s="46">
        <v>45729.916666666664</v>
      </c>
      <c r="D42" t="s">
        <v>32</v>
      </c>
      <c r="F42" t="s">
        <v>33</v>
      </c>
      <c r="H42" t="s">
        <v>82</v>
      </c>
      <c r="I42">
        <v>10.5388</v>
      </c>
      <c r="J42" t="s">
        <v>83</v>
      </c>
      <c r="K42">
        <v>1063.3</v>
      </c>
      <c r="L42" t="s">
        <v>84</v>
      </c>
      <c r="M42">
        <v>16.2</v>
      </c>
      <c r="N42" t="s">
        <v>85</v>
      </c>
      <c r="O42">
        <v>12.33</v>
      </c>
      <c r="P42" t="s">
        <v>86</v>
      </c>
      <c r="Q42">
        <v>10.02</v>
      </c>
      <c r="R42" t="s">
        <v>87</v>
      </c>
      <c r="S42">
        <v>17.45</v>
      </c>
      <c r="T42" t="s">
        <v>88</v>
      </c>
      <c r="U42">
        <v>76.72</v>
      </c>
      <c r="V42" t="s">
        <v>89</v>
      </c>
      <c r="W42">
        <v>77.34</v>
      </c>
      <c r="X42" t="s">
        <v>90</v>
      </c>
      <c r="Y42">
        <v>2.04</v>
      </c>
      <c r="Z42" t="s">
        <v>91</v>
      </c>
      <c r="AA42" s="91">
        <f t="shared" si="0"/>
        <v>160.5</v>
      </c>
      <c r="AB42" t="s">
        <v>92</v>
      </c>
      <c r="AC42">
        <v>75</v>
      </c>
      <c r="AD42" t="s">
        <v>93</v>
      </c>
      <c r="AE42">
        <v>99</v>
      </c>
      <c r="AF42" t="s">
        <v>95</v>
      </c>
      <c r="AG42">
        <v>34</v>
      </c>
      <c r="AH42" t="s">
        <v>100</v>
      </c>
      <c r="AI42">
        <v>3.38</v>
      </c>
      <c r="AJ42" t="s">
        <v>97</v>
      </c>
      <c r="AK42">
        <v>0.68730000000000002</v>
      </c>
      <c r="AL42" t="s">
        <v>98</v>
      </c>
      <c r="AM42">
        <v>0.1875</v>
      </c>
      <c r="AN42" s="201" t="s">
        <v>99</v>
      </c>
      <c r="AO42" s="201">
        <v>0.78</v>
      </c>
      <c r="AP42" t="s">
        <v>94</v>
      </c>
      <c r="AQ42">
        <v>0.24</v>
      </c>
      <c r="AR42" t="s">
        <v>180</v>
      </c>
      <c r="AT42" t="s">
        <v>102</v>
      </c>
      <c r="AU42">
        <v>363</v>
      </c>
      <c r="AV42" t="s">
        <v>101</v>
      </c>
      <c r="AW42">
        <v>3.42</v>
      </c>
      <c r="AX42" t="s">
        <v>103</v>
      </c>
      <c r="AY42">
        <v>2.7</v>
      </c>
      <c r="AZ42" t="s">
        <v>104</v>
      </c>
      <c r="BA42">
        <v>12</v>
      </c>
      <c r="BB42" t="s">
        <v>105</v>
      </c>
      <c r="BC42">
        <v>343</v>
      </c>
    </row>
    <row r="43" spans="1:55" hidden="1" x14ac:dyDescent="0.3">
      <c r="A43" t="s">
        <v>150</v>
      </c>
      <c r="B43" t="s">
        <v>149</v>
      </c>
      <c r="C43" s="46">
        <v>45730.445833333331</v>
      </c>
      <c r="D43" t="s">
        <v>32</v>
      </c>
      <c r="F43" t="s">
        <v>33</v>
      </c>
      <c r="H43" t="s">
        <v>82</v>
      </c>
      <c r="I43">
        <v>11.4893</v>
      </c>
      <c r="J43" t="s">
        <v>83</v>
      </c>
      <c r="K43">
        <v>1062.5999999999999</v>
      </c>
      <c r="L43" t="s">
        <v>84</v>
      </c>
      <c r="M43">
        <v>15.8</v>
      </c>
      <c r="N43" t="s">
        <v>85</v>
      </c>
      <c r="O43">
        <v>33.49</v>
      </c>
      <c r="P43" t="s">
        <v>86</v>
      </c>
      <c r="Q43">
        <v>27.8</v>
      </c>
      <c r="R43" t="s">
        <v>87</v>
      </c>
      <c r="S43">
        <v>31.88</v>
      </c>
      <c r="T43" s="73" t="s">
        <v>88</v>
      </c>
      <c r="U43" s="73">
        <f>131.36-W43</f>
        <v>69.800000000000011</v>
      </c>
      <c r="V43" s="73" t="s">
        <v>89</v>
      </c>
      <c r="W43" s="73">
        <v>61.56</v>
      </c>
      <c r="X43" t="s">
        <v>90</v>
      </c>
      <c r="Y43">
        <v>2.5499999999999998</v>
      </c>
      <c r="Z43" t="s">
        <v>91</v>
      </c>
      <c r="AA43" s="91">
        <f t="shared" si="0"/>
        <v>98.9</v>
      </c>
      <c r="AB43" t="s">
        <v>92</v>
      </c>
      <c r="AC43">
        <v>45</v>
      </c>
      <c r="AD43" s="73" t="s">
        <v>93</v>
      </c>
      <c r="AE43" s="73">
        <v>62</v>
      </c>
      <c r="AF43" t="s">
        <v>95</v>
      </c>
      <c r="AG43">
        <v>59</v>
      </c>
      <c r="AH43" t="s">
        <v>100</v>
      </c>
      <c r="AI43">
        <v>3.27</v>
      </c>
      <c r="AJ43" t="s">
        <v>97</v>
      </c>
      <c r="AK43">
        <v>0.48349999999999999</v>
      </c>
      <c r="AL43" t="s">
        <v>98</v>
      </c>
      <c r="AM43">
        <v>8.8300000000000003E-2</v>
      </c>
      <c r="AN43" s="203" t="s">
        <v>99</v>
      </c>
      <c r="AO43" s="204">
        <v>0.88779969736668396</v>
      </c>
      <c r="AP43" t="s">
        <v>94</v>
      </c>
      <c r="AR43" t="s">
        <v>180</v>
      </c>
      <c r="AT43" t="s">
        <v>102</v>
      </c>
      <c r="AV43" t="s">
        <v>101</v>
      </c>
      <c r="AX43" t="s">
        <v>103</v>
      </c>
      <c r="AZ43" t="s">
        <v>104</v>
      </c>
      <c r="BB43" t="s">
        <v>105</v>
      </c>
    </row>
    <row r="44" spans="1:55" hidden="1" x14ac:dyDescent="0.3">
      <c r="A44" t="s">
        <v>151</v>
      </c>
      <c r="B44" t="s">
        <v>149</v>
      </c>
      <c r="C44" s="46">
        <v>45731.458333333336</v>
      </c>
      <c r="D44" t="s">
        <v>32</v>
      </c>
      <c r="F44" t="s">
        <v>33</v>
      </c>
      <c r="H44" t="s">
        <v>82</v>
      </c>
      <c r="I44">
        <v>11.4884</v>
      </c>
      <c r="J44" t="s">
        <v>83</v>
      </c>
      <c r="K44">
        <v>1040.4000000000001</v>
      </c>
      <c r="L44" t="s">
        <v>84</v>
      </c>
      <c r="M44">
        <v>10.7</v>
      </c>
      <c r="N44" t="s">
        <v>85</v>
      </c>
      <c r="O44">
        <v>46.93</v>
      </c>
      <c r="P44" t="s">
        <v>86</v>
      </c>
      <c r="Q44">
        <v>45.62</v>
      </c>
      <c r="R44" t="s">
        <v>87</v>
      </c>
      <c r="S44">
        <v>19.48</v>
      </c>
      <c r="T44" s="73" t="s">
        <v>88</v>
      </c>
      <c r="U44" s="73">
        <f>109.57-W44</f>
        <v>64.959999999999994</v>
      </c>
      <c r="V44" s="73" t="s">
        <v>89</v>
      </c>
      <c r="W44" s="73">
        <v>44.61</v>
      </c>
      <c r="X44" t="s">
        <v>90</v>
      </c>
      <c r="Y44">
        <v>4.25</v>
      </c>
      <c r="Z44" t="s">
        <v>91</v>
      </c>
      <c r="AA44" s="91">
        <f t="shared" si="0"/>
        <v>13</v>
      </c>
      <c r="AB44" t="s">
        <v>92</v>
      </c>
      <c r="AC44">
        <v>0</v>
      </c>
      <c r="AD44" t="s">
        <v>93</v>
      </c>
      <c r="AE44">
        <v>13</v>
      </c>
      <c r="AF44" t="s">
        <v>95</v>
      </c>
      <c r="AG44">
        <v>62</v>
      </c>
      <c r="AH44" t="s">
        <v>100</v>
      </c>
      <c r="AI44">
        <v>3.04</v>
      </c>
      <c r="AJ44" t="s">
        <v>97</v>
      </c>
      <c r="AK44">
        <v>0.92810000000000004</v>
      </c>
      <c r="AL44" t="s">
        <v>98</v>
      </c>
      <c r="AM44">
        <v>0.17460000000000001</v>
      </c>
      <c r="AN44" s="203" t="s">
        <v>99</v>
      </c>
      <c r="AO44" s="204">
        <v>4.373329180621762</v>
      </c>
      <c r="AP44" t="s">
        <v>94</v>
      </c>
      <c r="AR44" t="s">
        <v>180</v>
      </c>
      <c r="AT44" t="s">
        <v>102</v>
      </c>
      <c r="AV44" t="s">
        <v>101</v>
      </c>
      <c r="AX44" t="s">
        <v>103</v>
      </c>
      <c r="AZ44" t="s">
        <v>104</v>
      </c>
      <c r="BB44" t="s">
        <v>105</v>
      </c>
    </row>
    <row r="45" spans="1:55" hidden="1" x14ac:dyDescent="0.3">
      <c r="A45" t="s">
        <v>152</v>
      </c>
      <c r="B45" t="s">
        <v>149</v>
      </c>
      <c r="C45" s="46">
        <v>45731.618055555555</v>
      </c>
      <c r="D45" t="s">
        <v>32</v>
      </c>
      <c r="F45" t="s">
        <v>33</v>
      </c>
      <c r="H45" t="s">
        <v>82</v>
      </c>
      <c r="I45">
        <v>10.5335</v>
      </c>
      <c r="J45" t="s">
        <v>83</v>
      </c>
      <c r="K45">
        <v>1036.8</v>
      </c>
      <c r="L45" t="s">
        <v>84</v>
      </c>
      <c r="M45">
        <v>9.9</v>
      </c>
      <c r="N45" t="s">
        <v>85</v>
      </c>
      <c r="O45">
        <v>47.39</v>
      </c>
      <c r="P45" t="s">
        <v>86</v>
      </c>
      <c r="Q45">
        <v>46.08</v>
      </c>
      <c r="R45" t="s">
        <v>87</v>
      </c>
      <c r="S45">
        <v>25.93</v>
      </c>
      <c r="T45" s="73" t="s">
        <v>88</v>
      </c>
      <c r="U45" s="73">
        <f>98.64-W45</f>
        <v>61.44</v>
      </c>
      <c r="V45" s="73" t="s">
        <v>89</v>
      </c>
      <c r="W45" s="73">
        <v>37.200000000000003</v>
      </c>
      <c r="X45" t="s">
        <v>90</v>
      </c>
      <c r="Y45">
        <v>4.49</v>
      </c>
      <c r="Z45" t="s">
        <v>91</v>
      </c>
      <c r="AA45" s="91">
        <f t="shared" si="0"/>
        <v>61.8</v>
      </c>
      <c r="AB45" t="s">
        <v>92</v>
      </c>
      <c r="AC45">
        <v>40</v>
      </c>
      <c r="AD45" s="73" t="s">
        <v>93</v>
      </c>
      <c r="AE45" s="73">
        <v>29</v>
      </c>
      <c r="AF45" t="s">
        <v>95</v>
      </c>
      <c r="AG45">
        <v>59</v>
      </c>
      <c r="AH45" t="s">
        <v>100</v>
      </c>
      <c r="AI45">
        <v>3.13</v>
      </c>
      <c r="AJ45" t="s">
        <v>97</v>
      </c>
      <c r="AK45">
        <v>0.62250000000000005</v>
      </c>
      <c r="AL45" t="s">
        <v>98</v>
      </c>
      <c r="AM45">
        <v>0.1244</v>
      </c>
      <c r="AN45" s="203" t="s">
        <v>99</v>
      </c>
      <c r="AO45" s="204">
        <v>4.9510410928674427</v>
      </c>
      <c r="AP45" t="s">
        <v>94</v>
      </c>
      <c r="AR45" t="s">
        <v>180</v>
      </c>
      <c r="AT45" t="s">
        <v>102</v>
      </c>
      <c r="AV45" t="s">
        <v>101</v>
      </c>
      <c r="AX45" t="s">
        <v>103</v>
      </c>
      <c r="AZ45" t="s">
        <v>104</v>
      </c>
      <c r="BB45" t="s">
        <v>105</v>
      </c>
    </row>
    <row r="46" spans="1:55" hidden="1" x14ac:dyDescent="0.3">
      <c r="A46" t="s">
        <v>153</v>
      </c>
      <c r="B46" t="s">
        <v>149</v>
      </c>
      <c r="C46" s="46">
        <v>45732.46875</v>
      </c>
      <c r="D46" t="s">
        <v>32</v>
      </c>
      <c r="F46" t="s">
        <v>33</v>
      </c>
      <c r="H46" t="s">
        <v>82</v>
      </c>
      <c r="I46">
        <v>10.590999999999999</v>
      </c>
      <c r="J46" t="s">
        <v>83</v>
      </c>
      <c r="K46">
        <v>1016.4</v>
      </c>
      <c r="L46" t="s">
        <v>84</v>
      </c>
      <c r="M46">
        <v>4.8</v>
      </c>
      <c r="N46" t="s">
        <v>85</v>
      </c>
      <c r="O46">
        <v>29.57</v>
      </c>
      <c r="P46" t="s">
        <v>86</v>
      </c>
      <c r="Q46">
        <v>26.5</v>
      </c>
      <c r="R46" t="s">
        <v>87</v>
      </c>
      <c r="S46">
        <v>20.260000000000002</v>
      </c>
      <c r="T46" t="s">
        <v>88</v>
      </c>
      <c r="U46">
        <v>25.36</v>
      </c>
      <c r="V46" t="s">
        <v>89</v>
      </c>
      <c r="W46">
        <v>27.09</v>
      </c>
      <c r="X46" t="s">
        <v>90</v>
      </c>
      <c r="Y46">
        <v>5.54</v>
      </c>
      <c r="Z46" t="s">
        <v>91</v>
      </c>
      <c r="AA46" s="91">
        <f t="shared" si="0"/>
        <v>14</v>
      </c>
      <c r="AB46" t="s">
        <v>92</v>
      </c>
      <c r="AC46">
        <v>0</v>
      </c>
      <c r="AD46" s="73" t="s">
        <v>93</v>
      </c>
      <c r="AE46" s="73">
        <v>14</v>
      </c>
      <c r="AF46" t="s">
        <v>95</v>
      </c>
      <c r="AG46">
        <v>46</v>
      </c>
      <c r="AH46" t="s">
        <v>100</v>
      </c>
      <c r="AI46">
        <v>2.77</v>
      </c>
      <c r="AJ46" t="s">
        <v>97</v>
      </c>
      <c r="AK46">
        <v>0.78600000000000003</v>
      </c>
      <c r="AL46" t="s">
        <v>98</v>
      </c>
      <c r="AM46">
        <v>0.18379999999999999</v>
      </c>
      <c r="AN46" s="203" t="s">
        <v>99</v>
      </c>
      <c r="AO46" s="204">
        <v>8.2933224719657606</v>
      </c>
      <c r="AP46" t="s">
        <v>94</v>
      </c>
      <c r="AR46" t="s">
        <v>180</v>
      </c>
      <c r="AT46" t="s">
        <v>102</v>
      </c>
      <c r="AV46" t="s">
        <v>101</v>
      </c>
      <c r="AX46" t="s">
        <v>103</v>
      </c>
      <c r="AZ46" t="s">
        <v>104</v>
      </c>
      <c r="BB46" t="s">
        <v>105</v>
      </c>
    </row>
    <row r="47" spans="1:55" hidden="1" x14ac:dyDescent="0.3">
      <c r="A47" t="s">
        <v>154</v>
      </c>
      <c r="B47" t="s">
        <v>149</v>
      </c>
      <c r="C47" s="46">
        <v>45733.451388888891</v>
      </c>
      <c r="D47" t="s">
        <v>32</v>
      </c>
      <c r="F47" t="s">
        <v>33</v>
      </c>
      <c r="H47" t="s">
        <v>82</v>
      </c>
      <c r="I47">
        <v>10.28</v>
      </c>
      <c r="J47" t="s">
        <v>83</v>
      </c>
      <c r="K47">
        <v>1002.2</v>
      </c>
      <c r="L47" t="s">
        <v>84</v>
      </c>
      <c r="M47">
        <v>1.1000000000000001</v>
      </c>
      <c r="N47" t="s">
        <v>85</v>
      </c>
      <c r="O47">
        <v>59.37</v>
      </c>
      <c r="P47" t="s">
        <v>86</v>
      </c>
      <c r="Q47">
        <v>57.45</v>
      </c>
      <c r="R47" t="s">
        <v>87</v>
      </c>
      <c r="S47">
        <v>26.26</v>
      </c>
      <c r="T47" t="s">
        <v>88</v>
      </c>
      <c r="U47">
        <v>12.64</v>
      </c>
      <c r="V47" t="s">
        <v>89</v>
      </c>
      <c r="W47">
        <v>12.28</v>
      </c>
      <c r="X47" t="s">
        <v>90</v>
      </c>
      <c r="Y47">
        <v>5.58</v>
      </c>
      <c r="Z47" t="s">
        <v>91</v>
      </c>
      <c r="AA47" s="91">
        <f t="shared" si="0"/>
        <v>16</v>
      </c>
      <c r="AB47" t="s">
        <v>92</v>
      </c>
      <c r="AC47">
        <v>0</v>
      </c>
      <c r="AD47" t="s">
        <v>93</v>
      </c>
      <c r="AE47">
        <v>16</v>
      </c>
      <c r="AF47" t="s">
        <v>95</v>
      </c>
      <c r="AG47">
        <v>34</v>
      </c>
      <c r="AH47" t="s">
        <v>100</v>
      </c>
      <c r="AI47">
        <v>2.65</v>
      </c>
      <c r="AJ47" t="s">
        <v>97</v>
      </c>
      <c r="AK47">
        <v>1.1155999999999999</v>
      </c>
      <c r="AL47" t="s">
        <v>98</v>
      </c>
      <c r="AM47">
        <v>0.25659999999999999</v>
      </c>
      <c r="AN47" s="203" t="s">
        <v>99</v>
      </c>
      <c r="AO47" s="204">
        <v>10.690904900911416</v>
      </c>
      <c r="AP47" t="s">
        <v>94</v>
      </c>
      <c r="AR47" t="s">
        <v>180</v>
      </c>
      <c r="AT47" t="s">
        <v>102</v>
      </c>
      <c r="AV47" t="s">
        <v>101</v>
      </c>
      <c r="AX47" t="s">
        <v>103</v>
      </c>
      <c r="AZ47" t="s">
        <v>104</v>
      </c>
      <c r="BB47" t="s">
        <v>105</v>
      </c>
    </row>
    <row r="48" spans="1:55" hidden="1" x14ac:dyDescent="0.3">
      <c r="A48" t="s">
        <v>155</v>
      </c>
      <c r="B48" t="s">
        <v>149</v>
      </c>
      <c r="C48" s="46">
        <v>45733.625</v>
      </c>
      <c r="D48" t="s">
        <v>32</v>
      </c>
      <c r="F48" t="s">
        <v>33</v>
      </c>
      <c r="H48" t="s">
        <v>82</v>
      </c>
      <c r="I48">
        <v>10.351599999999999</v>
      </c>
      <c r="J48" t="s">
        <v>83</v>
      </c>
      <c r="K48">
        <v>998.6</v>
      </c>
      <c r="L48" t="s">
        <v>84</v>
      </c>
      <c r="M48">
        <v>0.2</v>
      </c>
      <c r="N48" t="s">
        <v>85</v>
      </c>
      <c r="O48">
        <v>65.05</v>
      </c>
      <c r="P48" t="s">
        <v>86</v>
      </c>
      <c r="Q48">
        <v>55.68</v>
      </c>
      <c r="R48" t="s">
        <v>87</v>
      </c>
      <c r="S48">
        <v>17.95</v>
      </c>
      <c r="T48" t="s">
        <v>88</v>
      </c>
      <c r="U48" t="s">
        <v>400</v>
      </c>
      <c r="V48" t="s">
        <v>89</v>
      </c>
      <c r="W48">
        <v>9.32</v>
      </c>
      <c r="X48" t="s">
        <v>90</v>
      </c>
      <c r="Y48">
        <v>5.57</v>
      </c>
      <c r="Z48" t="s">
        <v>91</v>
      </c>
      <c r="AA48" s="91">
        <f t="shared" si="0"/>
        <v>14.82</v>
      </c>
      <c r="AB48" t="s">
        <v>92</v>
      </c>
      <c r="AC48">
        <v>1</v>
      </c>
      <c r="AD48" s="73" t="s">
        <v>93</v>
      </c>
      <c r="AE48" s="73">
        <v>14</v>
      </c>
      <c r="AF48" s="73" t="s">
        <v>95</v>
      </c>
      <c r="AG48" s="73">
        <v>36</v>
      </c>
      <c r="AH48" t="s">
        <v>100</v>
      </c>
      <c r="AI48">
        <v>2.54</v>
      </c>
      <c r="AJ48" t="s">
        <v>97</v>
      </c>
      <c r="AK48">
        <v>2.2382</v>
      </c>
      <c r="AL48" t="s">
        <v>98</v>
      </c>
      <c r="AM48">
        <v>0.26290000000000002</v>
      </c>
      <c r="AN48" s="203" t="s">
        <v>99</v>
      </c>
      <c r="AO48" s="204">
        <v>11.308311063439422</v>
      </c>
      <c r="AP48" t="s">
        <v>94</v>
      </c>
      <c r="AR48" t="s">
        <v>180</v>
      </c>
      <c r="AT48" t="s">
        <v>102</v>
      </c>
      <c r="AV48" t="s">
        <v>101</v>
      </c>
      <c r="AX48" t="s">
        <v>103</v>
      </c>
      <c r="AZ48" t="s">
        <v>104</v>
      </c>
      <c r="BB48" t="s">
        <v>105</v>
      </c>
    </row>
    <row r="49" spans="1:55" hidden="1" x14ac:dyDescent="0.3">
      <c r="A49" t="s">
        <v>157</v>
      </c>
      <c r="B49" t="s">
        <v>149</v>
      </c>
      <c r="C49" s="46">
        <v>45734.430555555555</v>
      </c>
      <c r="D49" t="s">
        <v>32</v>
      </c>
      <c r="F49" t="s">
        <v>33</v>
      </c>
      <c r="H49" t="s">
        <v>82</v>
      </c>
      <c r="I49">
        <v>10.5235</v>
      </c>
      <c r="J49" t="s">
        <v>83</v>
      </c>
      <c r="K49">
        <v>995.1</v>
      </c>
      <c r="L49" t="s">
        <v>84</v>
      </c>
      <c r="M49">
        <v>-0.8</v>
      </c>
      <c r="N49" t="s">
        <v>85</v>
      </c>
      <c r="O49">
        <v>57.99</v>
      </c>
      <c r="P49" t="s">
        <v>86</v>
      </c>
      <c r="Q49">
        <v>50.77</v>
      </c>
      <c r="R49" t="s">
        <v>87</v>
      </c>
      <c r="S49">
        <v>20.13</v>
      </c>
      <c r="T49" t="s">
        <v>88</v>
      </c>
      <c r="U49">
        <f>18.91-W49</f>
        <v>17.46</v>
      </c>
      <c r="V49" t="s">
        <v>89</v>
      </c>
      <c r="W49">
        <v>1.45</v>
      </c>
      <c r="X49" t="s">
        <v>90</v>
      </c>
      <c r="Y49">
        <v>5.77</v>
      </c>
      <c r="Z49" t="s">
        <v>91</v>
      </c>
      <c r="AA49" s="91">
        <f t="shared" si="0"/>
        <v>15</v>
      </c>
      <c r="AB49" t="s">
        <v>92</v>
      </c>
      <c r="AC49">
        <v>0</v>
      </c>
      <c r="AD49" t="s">
        <v>93</v>
      </c>
      <c r="AE49">
        <v>15</v>
      </c>
      <c r="AF49" t="s">
        <v>95</v>
      </c>
      <c r="AG49">
        <v>25</v>
      </c>
      <c r="AH49" t="s">
        <v>100</v>
      </c>
      <c r="AI49">
        <v>2.58</v>
      </c>
      <c r="AJ49" t="s">
        <v>97</v>
      </c>
      <c r="AK49">
        <v>0.65849999999999997</v>
      </c>
      <c r="AL49" t="s">
        <v>98</v>
      </c>
      <c r="AM49">
        <v>3.5200000000000002E-2</v>
      </c>
      <c r="AN49" s="203" t="s">
        <v>99</v>
      </c>
      <c r="AO49" s="204">
        <v>11.912341678625486</v>
      </c>
      <c r="AP49" t="s">
        <v>94</v>
      </c>
      <c r="AR49" t="s">
        <v>180</v>
      </c>
      <c r="AT49" t="s">
        <v>102</v>
      </c>
      <c r="AV49" t="s">
        <v>101</v>
      </c>
      <c r="AX49" t="s">
        <v>103</v>
      </c>
      <c r="AZ49" t="s">
        <v>104</v>
      </c>
      <c r="BB49" t="s">
        <v>105</v>
      </c>
    </row>
    <row r="50" spans="1:55" hidden="1" x14ac:dyDescent="0.3">
      <c r="A50" t="s">
        <v>158</v>
      </c>
      <c r="B50" t="s">
        <v>149</v>
      </c>
      <c r="C50" s="46">
        <v>45734.631944444445</v>
      </c>
      <c r="D50" t="s">
        <v>32</v>
      </c>
      <c r="F50" t="s">
        <v>33</v>
      </c>
      <c r="H50" t="s">
        <v>82</v>
      </c>
      <c r="I50">
        <v>10.391999999999999</v>
      </c>
      <c r="J50" t="s">
        <v>83</v>
      </c>
      <c r="K50">
        <v>993.6</v>
      </c>
      <c r="L50" t="s">
        <v>84</v>
      </c>
      <c r="M50">
        <v>-1</v>
      </c>
      <c r="N50" t="s">
        <v>85</v>
      </c>
      <c r="O50">
        <v>66.36</v>
      </c>
      <c r="P50" t="s">
        <v>86</v>
      </c>
      <c r="Q50">
        <v>53.07</v>
      </c>
      <c r="R50" t="s">
        <v>87</v>
      </c>
      <c r="S50">
        <v>17.13</v>
      </c>
      <c r="T50" t="s">
        <v>88</v>
      </c>
      <c r="U50">
        <v>2.86</v>
      </c>
      <c r="V50" t="s">
        <v>89</v>
      </c>
      <c r="W50">
        <v>2.5</v>
      </c>
      <c r="X50" t="s">
        <v>90</v>
      </c>
      <c r="Y50">
        <v>5.71</v>
      </c>
      <c r="Z50" t="s">
        <v>91</v>
      </c>
      <c r="AA50" s="91">
        <f t="shared" si="0"/>
        <v>14</v>
      </c>
      <c r="AB50" t="s">
        <v>92</v>
      </c>
      <c r="AC50">
        <v>0</v>
      </c>
      <c r="AD50" t="s">
        <v>93</v>
      </c>
      <c r="AE50">
        <v>14</v>
      </c>
      <c r="AF50" t="s">
        <v>95</v>
      </c>
      <c r="AG50">
        <v>26</v>
      </c>
      <c r="AH50" t="s">
        <v>100</v>
      </c>
      <c r="AI50">
        <v>2.59</v>
      </c>
      <c r="AJ50" t="s">
        <v>97</v>
      </c>
      <c r="AK50">
        <v>1.9896</v>
      </c>
      <c r="AL50" t="s">
        <v>98</v>
      </c>
      <c r="AM50">
        <v>0.25769999999999998</v>
      </c>
      <c r="AN50" s="203" t="s">
        <v>99</v>
      </c>
      <c r="AO50" s="204">
        <v>12.172358969258569</v>
      </c>
      <c r="AP50" t="s">
        <v>94</v>
      </c>
      <c r="AR50" t="s">
        <v>180</v>
      </c>
      <c r="AT50" t="s">
        <v>102</v>
      </c>
      <c r="AV50" t="s">
        <v>101</v>
      </c>
      <c r="AX50" t="s">
        <v>103</v>
      </c>
      <c r="AZ50" t="s">
        <v>104</v>
      </c>
      <c r="BB50" t="s">
        <v>105</v>
      </c>
    </row>
    <row r="51" spans="1:55" hidden="1" x14ac:dyDescent="0.3">
      <c r="A51" t="s">
        <v>159</v>
      </c>
      <c r="B51" t="s">
        <v>149</v>
      </c>
      <c r="C51" s="46">
        <v>45735.385416666664</v>
      </c>
      <c r="D51" t="s">
        <v>32</v>
      </c>
      <c r="F51" t="s">
        <v>33</v>
      </c>
      <c r="H51" t="s">
        <v>82</v>
      </c>
      <c r="I51">
        <v>10.182499999999999</v>
      </c>
      <c r="J51" t="s">
        <v>83</v>
      </c>
      <c r="K51">
        <v>991.5</v>
      </c>
      <c r="L51" t="s">
        <v>84</v>
      </c>
      <c r="M51">
        <v>-1.6</v>
      </c>
      <c r="N51" t="s">
        <v>85</v>
      </c>
      <c r="O51">
        <v>99.16</v>
      </c>
      <c r="P51" t="s">
        <v>86</v>
      </c>
      <c r="Q51">
        <v>93.78</v>
      </c>
      <c r="R51" t="s">
        <v>87</v>
      </c>
      <c r="S51">
        <v>14.95</v>
      </c>
      <c r="T51" t="s">
        <v>88</v>
      </c>
      <c r="U51">
        <v>0.31</v>
      </c>
      <c r="V51" t="s">
        <v>89</v>
      </c>
      <c r="W51">
        <v>0.8</v>
      </c>
      <c r="X51" t="s">
        <v>90</v>
      </c>
      <c r="Y51">
        <v>5.78</v>
      </c>
      <c r="Z51" t="s">
        <v>91</v>
      </c>
      <c r="AA51" s="91">
        <f t="shared" si="0"/>
        <v>18</v>
      </c>
      <c r="AB51" t="s">
        <v>92</v>
      </c>
      <c r="AC51">
        <v>0</v>
      </c>
      <c r="AD51" t="s">
        <v>93</v>
      </c>
      <c r="AE51">
        <v>18</v>
      </c>
      <c r="AF51" t="s">
        <v>95</v>
      </c>
      <c r="AG51">
        <v>17</v>
      </c>
      <c r="AH51" t="s">
        <v>100</v>
      </c>
      <c r="AI51">
        <v>2.57</v>
      </c>
      <c r="AJ51" t="s">
        <v>97</v>
      </c>
      <c r="AK51">
        <v>1.2146999999999999</v>
      </c>
      <c r="AL51" t="s">
        <v>98</v>
      </c>
      <c r="AM51">
        <v>0.21340000000000001</v>
      </c>
      <c r="AN51" s="203" t="s">
        <v>99</v>
      </c>
      <c r="AO51" s="204">
        <v>12.537545874135299</v>
      </c>
      <c r="AP51" t="s">
        <v>94</v>
      </c>
      <c r="AR51" t="s">
        <v>180</v>
      </c>
      <c r="AT51" t="s">
        <v>102</v>
      </c>
      <c r="AV51" t="s">
        <v>101</v>
      </c>
      <c r="AX51" t="s">
        <v>103</v>
      </c>
      <c r="AZ51" t="s">
        <v>104</v>
      </c>
      <c r="BB51" t="s">
        <v>105</v>
      </c>
    </row>
    <row r="52" spans="1:55" hidden="1" x14ac:dyDescent="0.3">
      <c r="A52" t="s">
        <v>401</v>
      </c>
      <c r="B52" t="s">
        <v>149</v>
      </c>
      <c r="C52" s="46">
        <v>45735.618055555555</v>
      </c>
      <c r="D52" t="s">
        <v>32</v>
      </c>
      <c r="F52" t="s">
        <v>33</v>
      </c>
      <c r="H52" t="s">
        <v>82</v>
      </c>
      <c r="I52">
        <v>10.347099999999999</v>
      </c>
      <c r="J52" t="s">
        <v>83</v>
      </c>
      <c r="K52">
        <v>990.6</v>
      </c>
      <c r="L52" t="s">
        <v>84</v>
      </c>
      <c r="M52">
        <v>-1.7</v>
      </c>
      <c r="N52" t="s">
        <v>85</v>
      </c>
      <c r="O52">
        <v>45.47</v>
      </c>
      <c r="P52" t="s">
        <v>86</v>
      </c>
      <c r="Q52">
        <v>37.479999999999997</v>
      </c>
      <c r="R52" t="s">
        <v>87</v>
      </c>
      <c r="S52">
        <v>23.82</v>
      </c>
      <c r="T52" t="s">
        <v>88</v>
      </c>
      <c r="U52">
        <v>0.48</v>
      </c>
      <c r="V52" t="s">
        <v>89</v>
      </c>
      <c r="W52">
        <v>0.03</v>
      </c>
      <c r="X52" t="s">
        <v>90</v>
      </c>
      <c r="Y52">
        <v>5.92</v>
      </c>
      <c r="Z52" t="s">
        <v>91</v>
      </c>
      <c r="AA52" s="91">
        <f t="shared" si="0"/>
        <v>20</v>
      </c>
      <c r="AB52" t="s">
        <v>92</v>
      </c>
      <c r="AC52">
        <v>0</v>
      </c>
      <c r="AD52" t="s">
        <v>93</v>
      </c>
      <c r="AE52">
        <v>20</v>
      </c>
      <c r="AF52" t="s">
        <v>95</v>
      </c>
      <c r="AG52">
        <v>23</v>
      </c>
      <c r="AH52" t="s">
        <v>100</v>
      </c>
      <c r="AI52">
        <v>2.34</v>
      </c>
      <c r="AJ52" t="s">
        <v>97</v>
      </c>
      <c r="AK52">
        <v>0.81100000000000005</v>
      </c>
      <c r="AL52" t="s">
        <v>98</v>
      </c>
      <c r="AM52">
        <v>0.20530000000000001</v>
      </c>
      <c r="AN52" s="201" t="s">
        <v>99</v>
      </c>
      <c r="AO52" s="201">
        <v>12.19</v>
      </c>
      <c r="AP52" t="s">
        <v>94</v>
      </c>
      <c r="AQ52">
        <v>0.42</v>
      </c>
      <c r="AR52" t="s">
        <v>180</v>
      </c>
      <c r="AT52" t="s">
        <v>102</v>
      </c>
      <c r="AU52">
        <v>209</v>
      </c>
      <c r="AV52" t="s">
        <v>101</v>
      </c>
      <c r="AW52">
        <v>4.43</v>
      </c>
      <c r="AX52" t="s">
        <v>103</v>
      </c>
      <c r="AY52">
        <v>2.9</v>
      </c>
      <c r="AZ52" t="s">
        <v>104</v>
      </c>
      <c r="BA52">
        <v>3</v>
      </c>
      <c r="BB52" t="s">
        <v>105</v>
      </c>
      <c r="BC52">
        <v>90</v>
      </c>
    </row>
    <row r="53" spans="1:55" hidden="1" x14ac:dyDescent="0.3">
      <c r="A53" t="s">
        <v>161</v>
      </c>
      <c r="B53" t="s">
        <v>162</v>
      </c>
      <c r="C53" s="46">
        <v>45729.916666666664</v>
      </c>
      <c r="D53" t="s">
        <v>32</v>
      </c>
      <c r="F53" t="s">
        <v>33</v>
      </c>
      <c r="H53" t="s">
        <v>82</v>
      </c>
      <c r="I53">
        <v>10.3424</v>
      </c>
      <c r="J53" t="s">
        <v>83</v>
      </c>
      <c r="K53">
        <v>1062.2</v>
      </c>
      <c r="L53" t="s">
        <v>84</v>
      </c>
      <c r="M53">
        <v>16</v>
      </c>
      <c r="N53" t="s">
        <v>85</v>
      </c>
      <c r="O53">
        <v>11.14</v>
      </c>
      <c r="P53" t="s">
        <v>86</v>
      </c>
      <c r="Q53">
        <v>10.18</v>
      </c>
      <c r="R53" t="s">
        <v>87</v>
      </c>
      <c r="S53">
        <v>20</v>
      </c>
      <c r="T53" t="s">
        <v>88</v>
      </c>
      <c r="U53">
        <v>77.44</v>
      </c>
      <c r="V53" t="s">
        <v>89</v>
      </c>
      <c r="W53">
        <v>77.78</v>
      </c>
      <c r="X53" t="s">
        <v>90</v>
      </c>
      <c r="Y53">
        <v>2.1</v>
      </c>
      <c r="Z53" t="s">
        <v>91</v>
      </c>
      <c r="AA53" s="91">
        <f t="shared" si="0"/>
        <v>156.68</v>
      </c>
      <c r="AB53" t="s">
        <v>92</v>
      </c>
      <c r="AC53">
        <v>74</v>
      </c>
      <c r="AD53" t="s">
        <v>93</v>
      </c>
      <c r="AE53">
        <v>96</v>
      </c>
      <c r="AF53" t="s">
        <v>95</v>
      </c>
      <c r="AG53">
        <v>22</v>
      </c>
      <c r="AH53" t="s">
        <v>100</v>
      </c>
      <c r="AI53">
        <v>3.37</v>
      </c>
      <c r="AJ53" t="s">
        <v>97</v>
      </c>
      <c r="AK53">
        <v>0.65339999999999998</v>
      </c>
      <c r="AL53" t="s">
        <v>98</v>
      </c>
      <c r="AM53">
        <v>0.1593</v>
      </c>
      <c r="AN53" s="201" t="s">
        <v>99</v>
      </c>
      <c r="AO53" s="201">
        <v>0.78</v>
      </c>
      <c r="AP53" t="s">
        <v>94</v>
      </c>
      <c r="AQ53">
        <v>0.25</v>
      </c>
      <c r="AR53" t="s">
        <v>180</v>
      </c>
      <c r="AT53" t="s">
        <v>102</v>
      </c>
      <c r="AU53">
        <v>355</v>
      </c>
      <c r="AV53" t="s">
        <v>101</v>
      </c>
      <c r="AW53">
        <v>3.55</v>
      </c>
      <c r="AX53" t="s">
        <v>103</v>
      </c>
      <c r="AY53">
        <v>2.7</v>
      </c>
      <c r="AZ53" t="s">
        <v>104</v>
      </c>
      <c r="BA53">
        <v>12</v>
      </c>
      <c r="BB53" t="s">
        <v>105</v>
      </c>
      <c r="BC53">
        <v>344</v>
      </c>
    </row>
    <row r="54" spans="1:55" hidden="1" x14ac:dyDescent="0.3">
      <c r="A54" t="s">
        <v>163</v>
      </c>
      <c r="B54" t="s">
        <v>162</v>
      </c>
      <c r="C54" s="46">
        <v>45730.445833333331</v>
      </c>
      <c r="D54" t="s">
        <v>32</v>
      </c>
      <c r="F54" t="s">
        <v>33</v>
      </c>
      <c r="H54" t="s">
        <v>82</v>
      </c>
      <c r="I54">
        <v>10.545400000000001</v>
      </c>
      <c r="J54" t="s">
        <v>83</v>
      </c>
      <c r="K54">
        <v>1062</v>
      </c>
      <c r="L54" t="s">
        <v>84</v>
      </c>
      <c r="M54">
        <v>15.7</v>
      </c>
      <c r="N54" t="s">
        <v>85</v>
      </c>
      <c r="O54">
        <v>22.35</v>
      </c>
      <c r="P54" t="s">
        <v>86</v>
      </c>
      <c r="Q54">
        <v>17.899999999999999</v>
      </c>
      <c r="R54" t="s">
        <v>87</v>
      </c>
      <c r="S54">
        <v>23.71</v>
      </c>
      <c r="T54" t="s">
        <v>88</v>
      </c>
      <c r="U54">
        <v>73.39</v>
      </c>
      <c r="V54" t="s">
        <v>89</v>
      </c>
      <c r="W54">
        <v>74.099999999999994</v>
      </c>
      <c r="X54" t="s">
        <v>90</v>
      </c>
      <c r="Y54">
        <v>2.44</v>
      </c>
      <c r="Z54" t="s">
        <v>91</v>
      </c>
      <c r="AA54" s="91">
        <f t="shared" si="0"/>
        <v>122.91999999999999</v>
      </c>
      <c r="AB54" t="s">
        <v>92</v>
      </c>
      <c r="AC54">
        <v>56</v>
      </c>
      <c r="AD54" t="s">
        <v>93</v>
      </c>
      <c r="AE54">
        <v>77</v>
      </c>
      <c r="AF54" t="s">
        <v>95</v>
      </c>
      <c r="AG54">
        <v>36</v>
      </c>
      <c r="AH54" t="s">
        <v>100</v>
      </c>
      <c r="AI54">
        <v>3.25</v>
      </c>
      <c r="AJ54" t="s">
        <v>97</v>
      </c>
      <c r="AK54">
        <v>0.28799999999999998</v>
      </c>
      <c r="AL54" t="s">
        <v>98</v>
      </c>
      <c r="AM54">
        <v>5.0200000000000002E-2</v>
      </c>
      <c r="AN54" s="203" t="s">
        <v>99</v>
      </c>
      <c r="AO54" s="204">
        <v>0.81084367005874625</v>
      </c>
      <c r="AP54" t="s">
        <v>94</v>
      </c>
      <c r="AR54" t="s">
        <v>180</v>
      </c>
      <c r="AT54" t="s">
        <v>102</v>
      </c>
      <c r="AV54" t="s">
        <v>101</v>
      </c>
      <c r="AX54" t="s">
        <v>103</v>
      </c>
      <c r="AZ54" t="s">
        <v>104</v>
      </c>
      <c r="BB54" t="s">
        <v>105</v>
      </c>
    </row>
    <row r="55" spans="1:55" hidden="1" x14ac:dyDescent="0.3">
      <c r="A55" t="s">
        <v>164</v>
      </c>
      <c r="B55" t="s">
        <v>162</v>
      </c>
      <c r="C55" s="46">
        <v>45735.618055555555</v>
      </c>
      <c r="D55" t="s">
        <v>32</v>
      </c>
      <c r="F55" t="s">
        <v>33</v>
      </c>
      <c r="H55" t="s">
        <v>82</v>
      </c>
      <c r="I55">
        <v>10.353899999999999</v>
      </c>
      <c r="J55" t="s">
        <v>83</v>
      </c>
      <c r="K55">
        <v>995.3</v>
      </c>
      <c r="L55" t="s">
        <v>84</v>
      </c>
      <c r="M55">
        <v>-0.4</v>
      </c>
      <c r="N55" t="s">
        <v>85</v>
      </c>
      <c r="O55">
        <v>37.479999999999997</v>
      </c>
      <c r="P55" t="s">
        <v>86</v>
      </c>
      <c r="Q55">
        <v>35.33</v>
      </c>
      <c r="R55" t="s">
        <v>87</v>
      </c>
      <c r="S55">
        <v>21.52</v>
      </c>
      <c r="T55" t="s">
        <v>88</v>
      </c>
      <c r="U55">
        <v>9.36</v>
      </c>
      <c r="V55" t="s">
        <v>89</v>
      </c>
      <c r="W55">
        <v>0.31</v>
      </c>
      <c r="X55" t="s">
        <v>90</v>
      </c>
      <c r="Y55">
        <v>5.58</v>
      </c>
      <c r="Z55" t="s">
        <v>91</v>
      </c>
      <c r="AA55" s="91">
        <f t="shared" si="0"/>
        <v>18</v>
      </c>
      <c r="AB55" t="s">
        <v>92</v>
      </c>
      <c r="AC55">
        <v>0</v>
      </c>
      <c r="AD55" t="s">
        <v>93</v>
      </c>
      <c r="AE55">
        <v>18</v>
      </c>
      <c r="AF55" t="s">
        <v>95</v>
      </c>
      <c r="AG55">
        <v>26</v>
      </c>
      <c r="AH55" t="s">
        <v>100</v>
      </c>
      <c r="AI55">
        <v>1.99</v>
      </c>
      <c r="AJ55" t="s">
        <v>97</v>
      </c>
      <c r="AK55">
        <v>0.91090000000000004</v>
      </c>
      <c r="AL55" t="s">
        <v>98</v>
      </c>
      <c r="AM55">
        <v>0.2172</v>
      </c>
      <c r="AN55" s="203" t="s">
        <v>99</v>
      </c>
      <c r="AO55" s="204">
        <v>11.708268714762095</v>
      </c>
      <c r="AP55" t="s">
        <v>94</v>
      </c>
      <c r="AR55" t="s">
        <v>180</v>
      </c>
      <c r="AT55" t="s">
        <v>102</v>
      </c>
      <c r="AV55" t="s">
        <v>101</v>
      </c>
      <c r="AX55" t="s">
        <v>103</v>
      </c>
      <c r="AZ55" t="s">
        <v>104</v>
      </c>
      <c r="BB55" t="s">
        <v>105</v>
      </c>
    </row>
    <row r="56" spans="1:55" hidden="1" x14ac:dyDescent="0.3">
      <c r="A56" t="s">
        <v>165</v>
      </c>
      <c r="B56" t="s">
        <v>162</v>
      </c>
      <c r="C56" s="46">
        <v>45736.416666666664</v>
      </c>
      <c r="D56" t="s">
        <v>32</v>
      </c>
      <c r="F56" t="s">
        <v>33</v>
      </c>
      <c r="H56" t="s">
        <v>82</v>
      </c>
      <c r="I56">
        <v>10.641500000000001</v>
      </c>
      <c r="J56" t="s">
        <v>83</v>
      </c>
      <c r="K56">
        <v>994.6</v>
      </c>
      <c r="L56" t="s">
        <v>84</v>
      </c>
      <c r="M56">
        <v>-1</v>
      </c>
      <c r="N56" t="s">
        <v>85</v>
      </c>
      <c r="O56">
        <v>60.83</v>
      </c>
      <c r="P56" t="s">
        <v>86</v>
      </c>
      <c r="Q56">
        <v>52.46</v>
      </c>
      <c r="R56" t="s">
        <v>87</v>
      </c>
      <c r="S56">
        <v>11.99</v>
      </c>
      <c r="T56" t="s">
        <v>88</v>
      </c>
      <c r="U56">
        <v>5.78</v>
      </c>
      <c r="V56" t="s">
        <v>89</v>
      </c>
      <c r="W56">
        <v>0.08</v>
      </c>
      <c r="X56" t="s">
        <v>90</v>
      </c>
      <c r="Y56">
        <v>5.76</v>
      </c>
      <c r="Z56" t="s">
        <v>91</v>
      </c>
      <c r="AA56" s="91">
        <f t="shared" si="0"/>
        <v>6</v>
      </c>
      <c r="AB56" t="s">
        <v>92</v>
      </c>
      <c r="AC56">
        <v>0</v>
      </c>
      <c r="AD56" t="s">
        <v>93</v>
      </c>
      <c r="AE56">
        <v>6</v>
      </c>
      <c r="AF56" s="73" t="s">
        <v>95</v>
      </c>
      <c r="AG56" s="73">
        <v>24</v>
      </c>
      <c r="AH56" t="s">
        <v>100</v>
      </c>
      <c r="AI56">
        <v>2.4</v>
      </c>
      <c r="AJ56" t="s">
        <v>97</v>
      </c>
      <c r="AK56">
        <v>0.92090000000000005</v>
      </c>
      <c r="AL56" t="s">
        <v>98</v>
      </c>
      <c r="AM56">
        <v>0.19670000000000001</v>
      </c>
      <c r="AN56" s="203" t="s">
        <v>99</v>
      </c>
      <c r="AO56" s="204">
        <v>11.829481272273728</v>
      </c>
      <c r="AP56" t="s">
        <v>94</v>
      </c>
      <c r="AR56" t="s">
        <v>180</v>
      </c>
      <c r="AT56" t="s">
        <v>102</v>
      </c>
      <c r="AV56" t="s">
        <v>101</v>
      </c>
      <c r="AX56" t="s">
        <v>103</v>
      </c>
      <c r="AZ56" t="s">
        <v>104</v>
      </c>
      <c r="BB56" t="s">
        <v>105</v>
      </c>
    </row>
    <row r="57" spans="1:55" hidden="1" x14ac:dyDescent="0.3">
      <c r="A57" t="s">
        <v>166</v>
      </c>
      <c r="B57" t="s">
        <v>162</v>
      </c>
      <c r="C57" s="46">
        <v>45731.458333333336</v>
      </c>
      <c r="D57" t="s">
        <v>32</v>
      </c>
      <c r="F57" t="s">
        <v>33</v>
      </c>
      <c r="H57" t="s">
        <v>82</v>
      </c>
      <c r="I57">
        <v>10.557</v>
      </c>
      <c r="J57" t="s">
        <v>83</v>
      </c>
      <c r="K57">
        <v>1051.9000000000001</v>
      </c>
      <c r="L57" t="s">
        <v>84</v>
      </c>
      <c r="M57">
        <v>13.2</v>
      </c>
      <c r="N57" t="s">
        <v>85</v>
      </c>
      <c r="O57">
        <v>37.020000000000003</v>
      </c>
      <c r="P57" t="s">
        <v>86</v>
      </c>
      <c r="Q57">
        <v>35.33</v>
      </c>
      <c r="R57" t="s">
        <v>87</v>
      </c>
      <c r="S57">
        <v>27.18</v>
      </c>
      <c r="T57" t="s">
        <v>88</v>
      </c>
      <c r="U57">
        <v>62.45</v>
      </c>
      <c r="V57" t="s">
        <v>89</v>
      </c>
      <c r="W57">
        <v>63.66</v>
      </c>
      <c r="X57" t="s">
        <v>90</v>
      </c>
      <c r="Y57">
        <v>3.59</v>
      </c>
      <c r="Z57" t="s">
        <v>91</v>
      </c>
      <c r="AA57" s="91">
        <f t="shared" si="0"/>
        <v>33</v>
      </c>
      <c r="AB57" t="s">
        <v>92</v>
      </c>
      <c r="AC57">
        <v>0</v>
      </c>
      <c r="AD57" s="73" t="s">
        <v>93</v>
      </c>
      <c r="AE57" s="73">
        <v>33</v>
      </c>
      <c r="AF57" t="s">
        <v>95</v>
      </c>
      <c r="AG57">
        <v>52</v>
      </c>
      <c r="AH57" t="s">
        <v>100</v>
      </c>
      <c r="AI57">
        <v>3.29</v>
      </c>
      <c r="AJ57" t="s">
        <v>97</v>
      </c>
      <c r="AK57">
        <v>0.58099999999999996</v>
      </c>
      <c r="AL57" t="s">
        <v>98</v>
      </c>
      <c r="AM57">
        <v>0.1124</v>
      </c>
      <c r="AN57" s="203" t="s">
        <v>99</v>
      </c>
      <c r="AO57" s="204">
        <v>2.3819824938148386</v>
      </c>
      <c r="AP57" t="s">
        <v>94</v>
      </c>
      <c r="AR57" t="s">
        <v>180</v>
      </c>
      <c r="AT57" t="s">
        <v>102</v>
      </c>
      <c r="AV57" t="s">
        <v>101</v>
      </c>
      <c r="AX57" t="s">
        <v>103</v>
      </c>
      <c r="AZ57" t="s">
        <v>104</v>
      </c>
      <c r="BB57" t="s">
        <v>105</v>
      </c>
    </row>
    <row r="58" spans="1:55" hidden="1" x14ac:dyDescent="0.3">
      <c r="A58" t="s">
        <v>167</v>
      </c>
      <c r="B58" t="s">
        <v>162</v>
      </c>
      <c r="C58" s="46">
        <v>45731.618055555555</v>
      </c>
      <c r="D58" t="s">
        <v>32</v>
      </c>
      <c r="F58" t="s">
        <v>33</v>
      </c>
      <c r="H58" t="s">
        <v>82</v>
      </c>
      <c r="I58">
        <v>10.5</v>
      </c>
      <c r="J58" t="s">
        <v>83</v>
      </c>
      <c r="K58">
        <v>1048.3</v>
      </c>
      <c r="L58" t="s">
        <v>84</v>
      </c>
      <c r="M58">
        <v>12.7</v>
      </c>
      <c r="N58" t="s">
        <v>85</v>
      </c>
      <c r="O58">
        <v>46.54</v>
      </c>
      <c r="P58" t="s">
        <v>86</v>
      </c>
      <c r="Q58">
        <v>43.86</v>
      </c>
      <c r="R58" t="s">
        <v>87</v>
      </c>
      <c r="S58">
        <v>28.22</v>
      </c>
      <c r="T58" s="73" t="s">
        <v>88</v>
      </c>
      <c r="U58" s="73">
        <f>120.98-W58</f>
        <v>68.849999999999994</v>
      </c>
      <c r="V58" s="73" t="s">
        <v>89</v>
      </c>
      <c r="W58" s="73">
        <v>52.13</v>
      </c>
      <c r="X58" t="s">
        <v>90</v>
      </c>
      <c r="Y58">
        <v>3.84</v>
      </c>
      <c r="Z58" t="s">
        <v>91</v>
      </c>
      <c r="AA58" s="91">
        <f t="shared" si="0"/>
        <v>72.599999999999994</v>
      </c>
      <c r="AB58" t="s">
        <v>92</v>
      </c>
      <c r="AC58">
        <v>30</v>
      </c>
      <c r="AD58" s="73" t="s">
        <v>93</v>
      </c>
      <c r="AE58" s="73">
        <v>48</v>
      </c>
      <c r="AF58" t="s">
        <v>95</v>
      </c>
      <c r="AG58">
        <v>59</v>
      </c>
      <c r="AH58" t="s">
        <v>100</v>
      </c>
      <c r="AI58">
        <v>3.35</v>
      </c>
      <c r="AJ58" t="s">
        <v>97</v>
      </c>
      <c r="AK58">
        <v>0.86480000000000001</v>
      </c>
      <c r="AL58" t="s">
        <v>98</v>
      </c>
      <c r="AM58">
        <v>0.16719999999999999</v>
      </c>
      <c r="AN58" s="203" t="s">
        <v>99</v>
      </c>
      <c r="AO58" s="204">
        <v>2.9484914674135698</v>
      </c>
      <c r="AP58" t="s">
        <v>94</v>
      </c>
      <c r="AR58" t="s">
        <v>180</v>
      </c>
      <c r="AT58" t="s">
        <v>102</v>
      </c>
      <c r="AV58" t="s">
        <v>101</v>
      </c>
      <c r="AX58" t="s">
        <v>103</v>
      </c>
      <c r="AZ58" t="s">
        <v>104</v>
      </c>
      <c r="BB58" t="s">
        <v>105</v>
      </c>
    </row>
    <row r="59" spans="1:55" hidden="1" x14ac:dyDescent="0.3">
      <c r="A59" t="s">
        <v>168</v>
      </c>
      <c r="B59" t="s">
        <v>162</v>
      </c>
      <c r="C59" s="46">
        <v>45732.46875</v>
      </c>
      <c r="D59" t="s">
        <v>32</v>
      </c>
      <c r="F59" t="s">
        <v>33</v>
      </c>
      <c r="H59" t="s">
        <v>169</v>
      </c>
      <c r="I59">
        <v>5.5739000000000001</v>
      </c>
      <c r="J59" t="s">
        <v>83</v>
      </c>
      <c r="K59">
        <v>1030</v>
      </c>
      <c r="L59" t="s">
        <v>84</v>
      </c>
      <c r="M59">
        <v>8.1999999999999993</v>
      </c>
      <c r="N59" t="s">
        <v>85</v>
      </c>
      <c r="O59">
        <v>43.16</v>
      </c>
      <c r="P59" t="s">
        <v>86</v>
      </c>
      <c r="Q59">
        <v>38.79</v>
      </c>
      <c r="R59" t="s">
        <v>87</v>
      </c>
      <c r="S59">
        <v>32.21</v>
      </c>
      <c r="T59" t="s">
        <v>88</v>
      </c>
      <c r="U59">
        <v>38.99</v>
      </c>
      <c r="V59" t="s">
        <v>89</v>
      </c>
      <c r="W59">
        <v>42.59</v>
      </c>
      <c r="X59" t="s">
        <v>90</v>
      </c>
      <c r="Y59">
        <v>4.87</v>
      </c>
      <c r="Z59" t="s">
        <v>91</v>
      </c>
      <c r="AA59" s="91">
        <f t="shared" si="0"/>
        <v>26</v>
      </c>
      <c r="AB59" t="s">
        <v>92</v>
      </c>
      <c r="AC59">
        <v>0</v>
      </c>
      <c r="AD59" s="73" t="s">
        <v>93</v>
      </c>
      <c r="AE59" s="73">
        <v>26</v>
      </c>
      <c r="AF59" t="s">
        <v>95</v>
      </c>
      <c r="AG59">
        <v>43</v>
      </c>
      <c r="AH59" t="s">
        <v>100</v>
      </c>
      <c r="AI59">
        <v>2.91</v>
      </c>
      <c r="AJ59" t="s">
        <v>97</v>
      </c>
      <c r="AK59">
        <v>0.65459999999999996</v>
      </c>
      <c r="AL59" t="s">
        <v>98</v>
      </c>
      <c r="AM59">
        <v>0.1615</v>
      </c>
      <c r="AN59" s="203" t="s">
        <v>99</v>
      </c>
      <c r="AO59" s="204">
        <v>5.8826082804655941</v>
      </c>
      <c r="AP59" t="s">
        <v>94</v>
      </c>
      <c r="AR59" t="s">
        <v>180</v>
      </c>
      <c r="AT59" t="s">
        <v>102</v>
      </c>
      <c r="AV59" t="s">
        <v>101</v>
      </c>
      <c r="AX59" t="s">
        <v>103</v>
      </c>
      <c r="AZ59" t="s">
        <v>104</v>
      </c>
      <c r="BB59" t="s">
        <v>105</v>
      </c>
    </row>
    <row r="60" spans="1:55" hidden="1" x14ac:dyDescent="0.3">
      <c r="A60" t="s">
        <v>170</v>
      </c>
      <c r="B60" t="s">
        <v>162</v>
      </c>
      <c r="C60" s="46">
        <v>45733.451388888891</v>
      </c>
      <c r="D60" t="s">
        <v>32</v>
      </c>
      <c r="F60" t="s">
        <v>33</v>
      </c>
      <c r="H60" t="s">
        <v>82</v>
      </c>
      <c r="I60">
        <v>10.387</v>
      </c>
      <c r="J60" t="s">
        <v>83</v>
      </c>
      <c r="K60">
        <v>1015.3</v>
      </c>
      <c r="L60" t="s">
        <v>84</v>
      </c>
      <c r="M60">
        <v>4.4000000000000004</v>
      </c>
      <c r="N60" t="s">
        <v>85</v>
      </c>
      <c r="O60">
        <v>66.13</v>
      </c>
      <c r="P60" t="s">
        <v>86</v>
      </c>
      <c r="Q60">
        <v>63.75</v>
      </c>
      <c r="R60" t="s">
        <v>87</v>
      </c>
      <c r="S60">
        <v>25.09</v>
      </c>
      <c r="T60" t="s">
        <v>88</v>
      </c>
      <c r="U60">
        <v>29.85</v>
      </c>
      <c r="V60" t="s">
        <v>89</v>
      </c>
      <c r="W60">
        <v>23.19</v>
      </c>
      <c r="X60" t="s">
        <v>90</v>
      </c>
      <c r="Y60">
        <v>5.13</v>
      </c>
      <c r="Z60" t="s">
        <v>91</v>
      </c>
      <c r="AA60" s="91">
        <f t="shared" si="0"/>
        <v>25</v>
      </c>
      <c r="AB60" t="s">
        <v>92</v>
      </c>
      <c r="AC60">
        <v>0</v>
      </c>
      <c r="AD60" t="s">
        <v>93</v>
      </c>
      <c r="AE60">
        <v>25</v>
      </c>
      <c r="AF60" t="s">
        <v>95</v>
      </c>
      <c r="AG60">
        <v>36</v>
      </c>
      <c r="AH60" t="s">
        <v>100</v>
      </c>
      <c r="AI60">
        <v>2.82</v>
      </c>
      <c r="AJ60" t="s">
        <v>97</v>
      </c>
      <c r="AK60">
        <v>1.147</v>
      </c>
      <c r="AL60" t="s">
        <v>98</v>
      </c>
      <c r="AM60">
        <v>0.2233</v>
      </c>
      <c r="AN60" s="203" t="s">
        <v>99</v>
      </c>
      <c r="AO60" s="204">
        <v>8.3074719931980177</v>
      </c>
      <c r="AP60" t="s">
        <v>94</v>
      </c>
      <c r="AR60" t="s">
        <v>180</v>
      </c>
      <c r="AT60" t="s">
        <v>102</v>
      </c>
      <c r="AV60" t="s">
        <v>101</v>
      </c>
      <c r="AX60" t="s">
        <v>103</v>
      </c>
      <c r="AZ60" t="s">
        <v>104</v>
      </c>
      <c r="BB60" t="s">
        <v>105</v>
      </c>
    </row>
    <row r="61" spans="1:55" hidden="1" x14ac:dyDescent="0.3">
      <c r="A61" t="s">
        <v>171</v>
      </c>
      <c r="B61" t="s">
        <v>162</v>
      </c>
      <c r="C61" s="46">
        <v>45733.625</v>
      </c>
      <c r="D61" t="s">
        <v>32</v>
      </c>
      <c r="F61" t="s">
        <v>33</v>
      </c>
      <c r="H61" t="s">
        <v>82</v>
      </c>
      <c r="I61">
        <v>10.111499999999999</v>
      </c>
      <c r="J61" t="s">
        <v>83</v>
      </c>
      <c r="K61">
        <v>1010.8</v>
      </c>
      <c r="L61" t="s">
        <v>84</v>
      </c>
      <c r="M61">
        <v>3.3</v>
      </c>
      <c r="N61" t="s">
        <v>85</v>
      </c>
      <c r="O61">
        <v>77.5</v>
      </c>
      <c r="P61" t="s">
        <v>86</v>
      </c>
      <c r="Q61">
        <v>69.819999999999993</v>
      </c>
      <c r="R61" t="s">
        <v>87</v>
      </c>
      <c r="S61">
        <v>23.09</v>
      </c>
      <c r="T61" t="s">
        <v>88</v>
      </c>
      <c r="U61" t="s">
        <v>172</v>
      </c>
      <c r="V61" t="s">
        <v>89</v>
      </c>
      <c r="W61">
        <v>20.51</v>
      </c>
      <c r="X61" t="s">
        <v>90</v>
      </c>
      <c r="Y61">
        <v>5.22</v>
      </c>
      <c r="Z61" t="s">
        <v>91</v>
      </c>
      <c r="AA61" s="91">
        <f t="shared" si="0"/>
        <v>21.64</v>
      </c>
      <c r="AB61" t="s">
        <v>92</v>
      </c>
      <c r="AC61">
        <v>2</v>
      </c>
      <c r="AD61" t="s">
        <v>93</v>
      </c>
      <c r="AE61">
        <v>20</v>
      </c>
      <c r="AF61" t="s">
        <v>95</v>
      </c>
      <c r="AH61" t="s">
        <v>100</v>
      </c>
      <c r="AI61">
        <v>2.71</v>
      </c>
      <c r="AJ61" t="s">
        <v>97</v>
      </c>
      <c r="AK61">
        <v>2.2429000000000001</v>
      </c>
      <c r="AL61" t="s">
        <v>98</v>
      </c>
      <c r="AM61">
        <v>0.55879999999999996</v>
      </c>
      <c r="AN61" s="203" t="s">
        <v>99</v>
      </c>
      <c r="AO61" s="204">
        <v>9.0622716999210251</v>
      </c>
      <c r="AP61" t="s">
        <v>94</v>
      </c>
      <c r="AR61" t="s">
        <v>180</v>
      </c>
      <c r="AT61" t="s">
        <v>102</v>
      </c>
      <c r="AV61" t="s">
        <v>101</v>
      </c>
      <c r="AX61" t="s">
        <v>103</v>
      </c>
      <c r="AZ61" t="s">
        <v>104</v>
      </c>
      <c r="BB61" t="s">
        <v>105</v>
      </c>
    </row>
    <row r="62" spans="1:55" hidden="1" x14ac:dyDescent="0.3">
      <c r="A62" t="s">
        <v>173</v>
      </c>
      <c r="B62" t="s">
        <v>162</v>
      </c>
      <c r="C62" s="46">
        <v>45734.430555555555</v>
      </c>
      <c r="D62" t="s">
        <v>32</v>
      </c>
      <c r="F62" t="s">
        <v>33</v>
      </c>
      <c r="H62" t="s">
        <v>82</v>
      </c>
      <c r="I62">
        <v>10.3893</v>
      </c>
      <c r="J62" t="s">
        <v>83</v>
      </c>
      <c r="K62">
        <v>1003.5</v>
      </c>
      <c r="L62" t="s">
        <v>84</v>
      </c>
      <c r="M62">
        <v>1.5</v>
      </c>
      <c r="N62" t="s">
        <v>85</v>
      </c>
      <c r="O62">
        <v>64.36</v>
      </c>
      <c r="P62" t="s">
        <v>86</v>
      </c>
      <c r="Q62">
        <v>60.83</v>
      </c>
      <c r="R62" t="s">
        <v>87</v>
      </c>
      <c r="S62">
        <v>19.690000000000001</v>
      </c>
      <c r="T62" s="73" t="s">
        <v>88</v>
      </c>
      <c r="U62" s="73">
        <f>24.78-W62</f>
        <v>21.75</v>
      </c>
      <c r="V62" s="73" t="s">
        <v>89</v>
      </c>
      <c r="W62" s="73">
        <v>3.03</v>
      </c>
      <c r="X62" t="s">
        <v>90</v>
      </c>
      <c r="Y62">
        <v>5.3</v>
      </c>
      <c r="Z62" t="s">
        <v>91</v>
      </c>
      <c r="AA62" s="91">
        <f t="shared" si="0"/>
        <v>16</v>
      </c>
      <c r="AB62" t="s">
        <v>92</v>
      </c>
      <c r="AC62">
        <v>0</v>
      </c>
      <c r="AD62" t="s">
        <v>93</v>
      </c>
      <c r="AE62">
        <v>16</v>
      </c>
      <c r="AF62" t="s">
        <v>95</v>
      </c>
      <c r="AG62">
        <v>36</v>
      </c>
      <c r="AH62" t="s">
        <v>100</v>
      </c>
      <c r="AI62">
        <v>2.65</v>
      </c>
      <c r="AJ62" t="s">
        <v>97</v>
      </c>
      <c r="AK62">
        <v>0.63729999999999998</v>
      </c>
      <c r="AL62" t="s">
        <v>98</v>
      </c>
      <c r="AM62">
        <v>-6.1800000000000001E-2</v>
      </c>
      <c r="AN62" s="203" t="s">
        <v>99</v>
      </c>
      <c r="AO62" s="204">
        <v>10.299457654624709</v>
      </c>
      <c r="AP62" t="s">
        <v>94</v>
      </c>
      <c r="AR62" t="s">
        <v>180</v>
      </c>
      <c r="AT62" t="s">
        <v>102</v>
      </c>
      <c r="AV62" t="s">
        <v>101</v>
      </c>
      <c r="AX62" t="s">
        <v>103</v>
      </c>
      <c r="AZ62" t="s">
        <v>104</v>
      </c>
      <c r="BB62" t="s">
        <v>105</v>
      </c>
    </row>
    <row r="63" spans="1:55" hidden="1" x14ac:dyDescent="0.3">
      <c r="A63" t="s">
        <v>174</v>
      </c>
      <c r="B63" t="s">
        <v>162</v>
      </c>
      <c r="C63" s="46">
        <v>45734.631944444445</v>
      </c>
      <c r="D63" t="s">
        <v>32</v>
      </c>
      <c r="F63" t="s">
        <v>33</v>
      </c>
      <c r="H63" t="s">
        <v>82</v>
      </c>
      <c r="I63">
        <v>10.315</v>
      </c>
      <c r="J63" t="s">
        <v>83</v>
      </c>
      <c r="K63">
        <v>1002.2</v>
      </c>
      <c r="L63" t="s">
        <v>84</v>
      </c>
      <c r="M63">
        <v>1.2</v>
      </c>
      <c r="N63" t="s">
        <v>85</v>
      </c>
      <c r="O63">
        <v>68.36</v>
      </c>
      <c r="P63" t="s">
        <v>86</v>
      </c>
      <c r="Q63">
        <v>58.76</v>
      </c>
      <c r="R63" t="s">
        <v>87</v>
      </c>
      <c r="S63">
        <v>18.309999999999999</v>
      </c>
      <c r="T63" s="73" t="s">
        <v>88</v>
      </c>
      <c r="U63" s="73">
        <f>20.89-W63</f>
        <v>19.64</v>
      </c>
      <c r="V63" s="73" t="s">
        <v>89</v>
      </c>
      <c r="W63" s="73">
        <v>1.25</v>
      </c>
      <c r="X63" t="s">
        <v>90</v>
      </c>
      <c r="Y63">
        <v>5.51</v>
      </c>
      <c r="Z63" t="s">
        <v>91</v>
      </c>
      <c r="AA63" s="91">
        <f t="shared" si="0"/>
        <v>17</v>
      </c>
      <c r="AB63" t="s">
        <v>92</v>
      </c>
      <c r="AC63">
        <v>0</v>
      </c>
      <c r="AD63" t="s">
        <v>93</v>
      </c>
      <c r="AE63">
        <v>17</v>
      </c>
      <c r="AF63" t="s">
        <v>95</v>
      </c>
      <c r="AG63">
        <v>28</v>
      </c>
      <c r="AH63" t="s">
        <v>100</v>
      </c>
      <c r="AI63">
        <v>2.66</v>
      </c>
      <c r="AJ63" t="s">
        <v>97</v>
      </c>
      <c r="AK63">
        <v>2.0139999999999998</v>
      </c>
      <c r="AL63" t="s">
        <v>98</v>
      </c>
      <c r="AM63">
        <v>0.27</v>
      </c>
      <c r="AN63" s="203" t="s">
        <v>99</v>
      </c>
      <c r="AO63" s="204">
        <v>10.521448774814061</v>
      </c>
      <c r="AP63" t="s">
        <v>94</v>
      </c>
      <c r="AR63" t="s">
        <v>180</v>
      </c>
      <c r="AT63" t="s">
        <v>102</v>
      </c>
      <c r="AV63" t="s">
        <v>101</v>
      </c>
      <c r="AX63" t="s">
        <v>103</v>
      </c>
      <c r="AZ63" t="s">
        <v>104</v>
      </c>
      <c r="BB63" t="s">
        <v>105</v>
      </c>
    </row>
    <row r="64" spans="1:55" hidden="1" x14ac:dyDescent="0.3">
      <c r="A64" t="s">
        <v>175</v>
      </c>
      <c r="B64" t="s">
        <v>162</v>
      </c>
      <c r="C64" s="46">
        <v>45735.385416666664</v>
      </c>
      <c r="D64" t="s">
        <v>32</v>
      </c>
      <c r="F64" t="s">
        <v>33</v>
      </c>
      <c r="H64" t="s">
        <v>82</v>
      </c>
      <c r="I64">
        <v>10.267899999999999</v>
      </c>
      <c r="J64" t="s">
        <v>83</v>
      </c>
      <c r="K64">
        <v>997.4</v>
      </c>
      <c r="L64" t="s">
        <v>84</v>
      </c>
      <c r="M64">
        <v>0.1</v>
      </c>
      <c r="N64" t="s">
        <v>85</v>
      </c>
      <c r="O64">
        <v>108.22</v>
      </c>
      <c r="P64" t="s">
        <v>86</v>
      </c>
      <c r="Q64">
        <v>99.31</v>
      </c>
      <c r="R64" t="s">
        <v>87</v>
      </c>
      <c r="S64">
        <v>13.44</v>
      </c>
      <c r="T64" t="s">
        <v>88</v>
      </c>
      <c r="U64">
        <v>10.17</v>
      </c>
      <c r="V64" t="s">
        <v>89</v>
      </c>
      <c r="W64">
        <v>0.62</v>
      </c>
      <c r="X64" t="s">
        <v>90</v>
      </c>
      <c r="Y64">
        <v>5.9</v>
      </c>
      <c r="Z64" t="s">
        <v>91</v>
      </c>
      <c r="AA64" s="91">
        <f t="shared" si="0"/>
        <v>18</v>
      </c>
      <c r="AB64" t="s">
        <v>92</v>
      </c>
      <c r="AC64">
        <v>0</v>
      </c>
      <c r="AD64" t="s">
        <v>93</v>
      </c>
      <c r="AE64">
        <v>18</v>
      </c>
      <c r="AF64" t="s">
        <v>95</v>
      </c>
      <c r="AG64">
        <v>30</v>
      </c>
      <c r="AH64" t="s">
        <v>100</v>
      </c>
      <c r="AI64">
        <v>2.69</v>
      </c>
      <c r="AJ64" t="s">
        <v>97</v>
      </c>
      <c r="AK64">
        <v>0.96750000000000003</v>
      </c>
      <c r="AL64" t="s">
        <v>98</v>
      </c>
      <c r="AM64">
        <v>0.2253</v>
      </c>
      <c r="AN64" s="203" t="s">
        <v>99</v>
      </c>
      <c r="AO64" s="204">
        <v>11.345530311380935</v>
      </c>
      <c r="AP64" t="s">
        <v>94</v>
      </c>
      <c r="AR64" t="s">
        <v>180</v>
      </c>
      <c r="AT64" t="s">
        <v>102</v>
      </c>
      <c r="AV64" t="s">
        <v>101</v>
      </c>
      <c r="AX64" t="s">
        <v>103</v>
      </c>
      <c r="AZ64" t="s">
        <v>104</v>
      </c>
      <c r="BB64" t="s">
        <v>105</v>
      </c>
    </row>
    <row r="65" spans="1:55" hidden="1" x14ac:dyDescent="0.3">
      <c r="A65" t="s">
        <v>176</v>
      </c>
      <c r="B65" t="s">
        <v>162</v>
      </c>
      <c r="C65" s="46">
        <v>45737.416666666664</v>
      </c>
      <c r="D65" t="s">
        <v>32</v>
      </c>
      <c r="F65" t="s">
        <v>33</v>
      </c>
      <c r="H65" t="s">
        <v>82</v>
      </c>
      <c r="I65">
        <v>10.641500000000001</v>
      </c>
      <c r="J65" t="s">
        <v>83</v>
      </c>
      <c r="K65">
        <v>994.6</v>
      </c>
      <c r="L65" t="s">
        <v>84</v>
      </c>
      <c r="M65">
        <v>-1</v>
      </c>
      <c r="N65" t="s">
        <v>85</v>
      </c>
      <c r="O65">
        <v>68.739999999999995</v>
      </c>
      <c r="P65" t="s">
        <v>86</v>
      </c>
      <c r="Q65">
        <v>56.84</v>
      </c>
      <c r="R65" t="s">
        <v>87</v>
      </c>
      <c r="S65">
        <v>12.4</v>
      </c>
      <c r="T65" t="s">
        <v>88</v>
      </c>
      <c r="U65">
        <v>2.23</v>
      </c>
      <c r="V65" t="s">
        <v>89</v>
      </c>
      <c r="W65">
        <v>0</v>
      </c>
      <c r="X65" t="s">
        <v>90</v>
      </c>
      <c r="Y65">
        <v>4.82</v>
      </c>
      <c r="Z65" t="s">
        <v>91</v>
      </c>
      <c r="AA65" s="91">
        <f t="shared" si="0"/>
        <v>20.46</v>
      </c>
      <c r="AB65" t="s">
        <v>92</v>
      </c>
      <c r="AC65">
        <v>3</v>
      </c>
      <c r="AD65" t="s">
        <v>93</v>
      </c>
      <c r="AE65">
        <v>18</v>
      </c>
      <c r="AF65" t="s">
        <v>95</v>
      </c>
      <c r="AG65">
        <v>23</v>
      </c>
      <c r="AH65" t="s">
        <v>100</v>
      </c>
      <c r="AI65">
        <v>2.27</v>
      </c>
      <c r="AJ65" t="s">
        <v>97</v>
      </c>
      <c r="AL65" t="s">
        <v>98</v>
      </c>
      <c r="AM65">
        <v>8.2799999999999999E-2</v>
      </c>
      <c r="AN65" s="201" t="s">
        <v>99</v>
      </c>
      <c r="AO65" s="201">
        <v>12.27</v>
      </c>
      <c r="AP65" t="s">
        <v>94</v>
      </c>
      <c r="AQ65">
        <v>0.46</v>
      </c>
      <c r="AR65" t="s">
        <v>180</v>
      </c>
      <c r="AT65" t="s">
        <v>102</v>
      </c>
      <c r="AU65">
        <v>187</v>
      </c>
      <c r="AV65" t="s">
        <v>101</v>
      </c>
      <c r="AW65">
        <v>3.69</v>
      </c>
      <c r="AX65" t="s">
        <v>103</v>
      </c>
      <c r="AY65">
        <v>2.8</v>
      </c>
      <c r="AZ65" t="s">
        <v>104</v>
      </c>
      <c r="BA65">
        <v>2</v>
      </c>
      <c r="BB65" t="s">
        <v>105</v>
      </c>
      <c r="BC65">
        <v>98</v>
      </c>
    </row>
    <row r="66" spans="1:55" hidden="1" x14ac:dyDescent="0.3">
      <c r="A66" t="s">
        <v>199</v>
      </c>
      <c r="B66" t="s">
        <v>178</v>
      </c>
      <c r="C66" s="46">
        <v>45741.75</v>
      </c>
      <c r="D66" t="s">
        <v>32</v>
      </c>
      <c r="F66" t="s">
        <v>33</v>
      </c>
      <c r="H66" t="s">
        <v>82</v>
      </c>
      <c r="I66">
        <v>10.4313</v>
      </c>
      <c r="J66" t="s">
        <v>83</v>
      </c>
      <c r="K66">
        <v>1061.0999999999999</v>
      </c>
      <c r="L66" t="s">
        <v>84</v>
      </c>
      <c r="M66">
        <v>15.4</v>
      </c>
      <c r="N66" t="s">
        <v>85</v>
      </c>
      <c r="O66">
        <v>6.45</v>
      </c>
      <c r="P66" t="s">
        <v>86</v>
      </c>
      <c r="Q66">
        <v>0.69</v>
      </c>
      <c r="R66" t="s">
        <v>87</v>
      </c>
      <c r="S66">
        <v>23.81</v>
      </c>
      <c r="T66" t="s">
        <v>88</v>
      </c>
      <c r="U66">
        <v>69.45</v>
      </c>
      <c r="V66" t="s">
        <v>89</v>
      </c>
      <c r="W66">
        <v>60.03</v>
      </c>
      <c r="X66" t="s">
        <v>90</v>
      </c>
      <c r="Y66">
        <v>2.36</v>
      </c>
      <c r="Z66" t="s">
        <v>91</v>
      </c>
      <c r="AA66" s="91">
        <f t="shared" si="0"/>
        <v>97.97999999999999</v>
      </c>
      <c r="AB66" t="s">
        <v>92</v>
      </c>
      <c r="AC66">
        <v>39</v>
      </c>
      <c r="AD66" t="s">
        <v>93</v>
      </c>
      <c r="AE66">
        <v>66</v>
      </c>
      <c r="AF66" t="s">
        <v>95</v>
      </c>
      <c r="AG66">
        <v>28</v>
      </c>
      <c r="AH66" t="s">
        <v>100</v>
      </c>
      <c r="AI66">
        <v>3.04</v>
      </c>
      <c r="AJ66" t="s">
        <v>97</v>
      </c>
      <c r="AK66">
        <v>1.0149999999999999</v>
      </c>
      <c r="AL66" t="s">
        <v>98</v>
      </c>
      <c r="AM66">
        <v>0.1729</v>
      </c>
      <c r="AN66" s="201" t="s">
        <v>99</v>
      </c>
      <c r="AO66" s="201">
        <v>1.04</v>
      </c>
      <c r="AP66" t="s">
        <v>94</v>
      </c>
      <c r="AQ66">
        <v>0.26</v>
      </c>
      <c r="AR66" t="s">
        <v>180</v>
      </c>
      <c r="AT66" t="s">
        <v>102</v>
      </c>
      <c r="AU66">
        <v>357</v>
      </c>
      <c r="AV66" t="s">
        <v>101</v>
      </c>
      <c r="AW66">
        <v>3.29</v>
      </c>
      <c r="AX66" t="s">
        <v>103</v>
      </c>
      <c r="AY66">
        <v>2.8</v>
      </c>
      <c r="AZ66" t="s">
        <v>104</v>
      </c>
      <c r="BA66">
        <v>6</v>
      </c>
      <c r="BB66" t="s">
        <v>105</v>
      </c>
    </row>
    <row r="67" spans="1:55" hidden="1" x14ac:dyDescent="0.3">
      <c r="A67" t="s">
        <v>177</v>
      </c>
      <c r="B67" t="s">
        <v>178</v>
      </c>
      <c r="C67" s="46">
        <v>45741.770833333336</v>
      </c>
      <c r="D67" t="s">
        <v>32</v>
      </c>
      <c r="F67" t="s">
        <v>33</v>
      </c>
      <c r="H67" t="s">
        <v>82</v>
      </c>
      <c r="I67">
        <v>11.578200000000001</v>
      </c>
      <c r="J67" t="s">
        <v>83</v>
      </c>
      <c r="K67">
        <v>1061.0999999999999</v>
      </c>
      <c r="L67" t="s">
        <v>84</v>
      </c>
      <c r="M67">
        <v>15.4</v>
      </c>
      <c r="N67" t="s">
        <v>85</v>
      </c>
      <c r="O67">
        <v>12.67</v>
      </c>
      <c r="P67" t="s">
        <v>86</v>
      </c>
      <c r="Q67">
        <v>4.84</v>
      </c>
      <c r="R67" t="s">
        <v>87</v>
      </c>
      <c r="S67">
        <v>38.18</v>
      </c>
      <c r="T67" t="s">
        <v>88</v>
      </c>
      <c r="V67" t="s">
        <v>89</v>
      </c>
      <c r="X67" t="s">
        <v>90</v>
      </c>
      <c r="Z67" t="s">
        <v>91</v>
      </c>
      <c r="AA67" s="91"/>
      <c r="AB67" t="s">
        <v>92</v>
      </c>
      <c r="AD67" t="s">
        <v>93</v>
      </c>
      <c r="AF67" t="s">
        <v>95</v>
      </c>
      <c r="AH67" t="s">
        <v>94</v>
      </c>
      <c r="AJ67" t="s">
        <v>97</v>
      </c>
      <c r="AK67">
        <v>1.782</v>
      </c>
      <c r="AL67" t="s">
        <v>98</v>
      </c>
      <c r="AM67">
        <v>0.27779999999999999</v>
      </c>
      <c r="AN67" s="203" t="s">
        <v>99</v>
      </c>
      <c r="AO67" s="204">
        <v>1.04</v>
      </c>
      <c r="AP67" t="s">
        <v>94</v>
      </c>
      <c r="AR67" t="s">
        <v>180</v>
      </c>
      <c r="AT67" t="s">
        <v>102</v>
      </c>
      <c r="AV67" t="s">
        <v>101</v>
      </c>
      <c r="AX67" t="s">
        <v>103</v>
      </c>
      <c r="AZ67" t="s">
        <v>104</v>
      </c>
      <c r="BB67" t="s">
        <v>105</v>
      </c>
    </row>
    <row r="68" spans="1:55" hidden="1" x14ac:dyDescent="0.3">
      <c r="A68" t="s">
        <v>179</v>
      </c>
      <c r="B68" t="s">
        <v>178</v>
      </c>
      <c r="C68" s="46">
        <v>45742.375</v>
      </c>
      <c r="D68" t="s">
        <v>32</v>
      </c>
      <c r="F68" t="s">
        <v>33</v>
      </c>
      <c r="H68" t="s">
        <v>82</v>
      </c>
      <c r="I68">
        <v>10.3157</v>
      </c>
      <c r="J68" t="s">
        <v>83</v>
      </c>
      <c r="K68">
        <v>1059.8</v>
      </c>
      <c r="L68" t="s">
        <v>84</v>
      </c>
      <c r="M68">
        <v>15.1</v>
      </c>
      <c r="N68" t="s">
        <v>85</v>
      </c>
      <c r="O68">
        <v>22.43</v>
      </c>
      <c r="P68" t="s">
        <v>86</v>
      </c>
      <c r="Q68">
        <v>14.98</v>
      </c>
      <c r="R68" t="s">
        <v>87</v>
      </c>
      <c r="S68">
        <v>19.18</v>
      </c>
      <c r="T68" s="73" t="s">
        <v>88</v>
      </c>
      <c r="U68" s="73">
        <f>100.39-W68</f>
        <v>54.34</v>
      </c>
      <c r="V68" s="73" t="s">
        <v>89</v>
      </c>
      <c r="W68" s="73">
        <v>46.05</v>
      </c>
      <c r="X68" t="s">
        <v>90</v>
      </c>
      <c r="Y68">
        <v>3.16</v>
      </c>
      <c r="Z68" t="s">
        <v>91</v>
      </c>
      <c r="AA68" s="91">
        <f t="shared" si="0"/>
        <v>93.34</v>
      </c>
      <c r="AB68" t="s">
        <v>92</v>
      </c>
      <c r="AC68">
        <v>37</v>
      </c>
      <c r="AD68" t="s">
        <v>93</v>
      </c>
      <c r="AE68">
        <v>63</v>
      </c>
      <c r="AF68" t="s">
        <v>95</v>
      </c>
      <c r="AG68">
        <v>29</v>
      </c>
      <c r="AH68" t="s">
        <v>100</v>
      </c>
      <c r="AI68">
        <v>3.14</v>
      </c>
      <c r="AJ68" t="s">
        <v>97</v>
      </c>
      <c r="AK68">
        <v>0.72089999999999999</v>
      </c>
      <c r="AL68" t="s">
        <v>98</v>
      </c>
      <c r="AM68">
        <v>0.1206</v>
      </c>
      <c r="AN68" s="203" t="s">
        <v>99</v>
      </c>
      <c r="AO68" s="204">
        <v>1.2410380055998649</v>
      </c>
      <c r="AP68" t="s">
        <v>94</v>
      </c>
      <c r="AR68" s="73" t="s">
        <v>180</v>
      </c>
      <c r="AS68" s="73">
        <v>129</v>
      </c>
      <c r="AT68" t="s">
        <v>102</v>
      </c>
      <c r="AV68" t="s">
        <v>101</v>
      </c>
      <c r="AX68" t="s">
        <v>103</v>
      </c>
      <c r="AZ68" t="s">
        <v>104</v>
      </c>
      <c r="BB68" t="s">
        <v>105</v>
      </c>
    </row>
    <row r="69" spans="1:55" hidden="1" x14ac:dyDescent="0.3">
      <c r="A69" t="s">
        <v>190</v>
      </c>
      <c r="B69" t="s">
        <v>178</v>
      </c>
      <c r="C69" s="46">
        <v>45742.625</v>
      </c>
      <c r="D69" t="s">
        <v>32</v>
      </c>
      <c r="F69" t="s">
        <v>33</v>
      </c>
      <c r="H69" t="s">
        <v>82</v>
      </c>
      <c r="I69" s="135"/>
      <c r="J69" t="s">
        <v>83</v>
      </c>
      <c r="K69">
        <v>1058.2</v>
      </c>
      <c r="L69" t="s">
        <v>84</v>
      </c>
      <c r="M69">
        <v>14.6</v>
      </c>
      <c r="N69" t="s">
        <v>85</v>
      </c>
      <c r="O69">
        <v>20.66</v>
      </c>
      <c r="P69" t="s">
        <v>86</v>
      </c>
      <c r="Q69">
        <v>14.06</v>
      </c>
      <c r="R69" t="s">
        <v>87</v>
      </c>
      <c r="S69">
        <v>24.91</v>
      </c>
      <c r="T69" s="73" t="s">
        <v>88</v>
      </c>
      <c r="U69" s="73">
        <f>131.42-W69</f>
        <v>70.719999999999985</v>
      </c>
      <c r="V69" s="73" t="s">
        <v>89</v>
      </c>
      <c r="W69" s="73">
        <v>60.7</v>
      </c>
      <c r="X69" t="s">
        <v>90</v>
      </c>
      <c r="Y69">
        <v>2.75</v>
      </c>
      <c r="Z69" t="s">
        <v>91</v>
      </c>
      <c r="AA69" s="91">
        <f t="shared" ref="AA69:AA107" si="1">0.82*AC69+AE69</f>
        <v>82.78</v>
      </c>
      <c r="AB69" t="s">
        <v>92</v>
      </c>
      <c r="AC69">
        <v>29</v>
      </c>
      <c r="AD69" t="s">
        <v>93</v>
      </c>
      <c r="AE69">
        <v>59</v>
      </c>
      <c r="AF69" t="s">
        <v>95</v>
      </c>
      <c r="AG69">
        <v>41</v>
      </c>
      <c r="AH69" t="s">
        <v>100</v>
      </c>
      <c r="AI69">
        <v>2.97</v>
      </c>
      <c r="AJ69" t="s">
        <v>97</v>
      </c>
      <c r="AK69">
        <v>11.929399999999999</v>
      </c>
      <c r="AL69" t="s">
        <v>98</v>
      </c>
      <c r="AN69" s="203" t="s">
        <v>99</v>
      </c>
      <c r="AO69" s="204">
        <v>1.4890713403389562</v>
      </c>
      <c r="AP69" t="s">
        <v>94</v>
      </c>
      <c r="AR69" t="s">
        <v>180</v>
      </c>
      <c r="AS69">
        <v>164</v>
      </c>
      <c r="AT69" t="s">
        <v>102</v>
      </c>
      <c r="AV69" t="s">
        <v>101</v>
      </c>
      <c r="AX69" t="s">
        <v>103</v>
      </c>
      <c r="AZ69" t="s">
        <v>104</v>
      </c>
      <c r="BB69" t="s">
        <v>105</v>
      </c>
    </row>
    <row r="70" spans="1:55" hidden="1" x14ac:dyDescent="0.3">
      <c r="A70" t="s">
        <v>191</v>
      </c>
      <c r="B70" t="s">
        <v>178</v>
      </c>
      <c r="C70" s="46">
        <v>45742.75</v>
      </c>
      <c r="D70" t="s">
        <v>32</v>
      </c>
      <c r="F70" t="s">
        <v>33</v>
      </c>
      <c r="H70" t="s">
        <v>82</v>
      </c>
      <c r="I70">
        <v>10.5975</v>
      </c>
      <c r="J70" t="s">
        <v>83</v>
      </c>
      <c r="K70">
        <v>1058.2</v>
      </c>
      <c r="L70" t="s">
        <v>84</v>
      </c>
      <c r="M70">
        <v>15</v>
      </c>
      <c r="N70" t="s">
        <v>85</v>
      </c>
      <c r="O70">
        <v>28.49</v>
      </c>
      <c r="P70" t="s">
        <v>86</v>
      </c>
      <c r="Q70">
        <v>21.2</v>
      </c>
      <c r="R70" t="s">
        <v>87</v>
      </c>
      <c r="S70">
        <v>29.11</v>
      </c>
      <c r="T70" s="73" t="s">
        <v>88</v>
      </c>
      <c r="U70" s="73">
        <f>99.04-W70</f>
        <v>54.470000000000006</v>
      </c>
      <c r="V70" s="73" t="s">
        <v>89</v>
      </c>
      <c r="W70" s="73">
        <v>44.57</v>
      </c>
      <c r="X70" t="s">
        <v>90</v>
      </c>
      <c r="Y70">
        <v>2.44</v>
      </c>
      <c r="Z70" t="s">
        <v>91</v>
      </c>
      <c r="AA70" s="91">
        <f t="shared" si="1"/>
        <v>74.680000000000007</v>
      </c>
      <c r="AB70" t="s">
        <v>92</v>
      </c>
      <c r="AC70">
        <v>24</v>
      </c>
      <c r="AD70" t="s">
        <v>93</v>
      </c>
      <c r="AE70">
        <v>55</v>
      </c>
      <c r="AF70" t="s">
        <v>95</v>
      </c>
      <c r="AG70">
        <v>40</v>
      </c>
      <c r="AH70" t="s">
        <v>100</v>
      </c>
      <c r="AI70">
        <v>2.86</v>
      </c>
      <c r="AJ70" t="s">
        <v>97</v>
      </c>
      <c r="AK70">
        <v>0.29770000000000002</v>
      </c>
      <c r="AL70" t="s">
        <v>98</v>
      </c>
      <c r="AM70">
        <v>2.41E-2</v>
      </c>
      <c r="AN70" s="203" t="s">
        <v>99</v>
      </c>
      <c r="AO70" s="204">
        <v>1.4890713403389562</v>
      </c>
      <c r="AP70" t="s">
        <v>94</v>
      </c>
      <c r="AR70" t="s">
        <v>180</v>
      </c>
      <c r="AS70">
        <v>169</v>
      </c>
      <c r="AT70" t="s">
        <v>102</v>
      </c>
      <c r="AV70" t="s">
        <v>101</v>
      </c>
      <c r="AX70" t="s">
        <v>103</v>
      </c>
      <c r="AZ70" t="s">
        <v>104</v>
      </c>
      <c r="BB70" t="s">
        <v>105</v>
      </c>
    </row>
    <row r="71" spans="1:55" hidden="1" x14ac:dyDescent="0.3">
      <c r="A71" t="s">
        <v>192</v>
      </c>
      <c r="B71" t="s">
        <v>178</v>
      </c>
      <c r="C71" s="46">
        <v>45743.416666666664</v>
      </c>
      <c r="D71" t="s">
        <v>32</v>
      </c>
      <c r="F71" t="s">
        <v>33</v>
      </c>
      <c r="H71" t="s">
        <v>82</v>
      </c>
      <c r="I71">
        <v>10.2111</v>
      </c>
      <c r="J71" t="s">
        <v>83</v>
      </c>
      <c r="K71">
        <v>1052.2</v>
      </c>
      <c r="L71" t="s">
        <v>84</v>
      </c>
      <c r="M71">
        <v>13.4</v>
      </c>
      <c r="N71" t="s">
        <v>85</v>
      </c>
      <c r="O71">
        <v>21.27</v>
      </c>
      <c r="P71" t="s">
        <v>86</v>
      </c>
      <c r="Q71">
        <v>19.59</v>
      </c>
      <c r="R71" t="s">
        <v>87</v>
      </c>
      <c r="S71">
        <v>38.99</v>
      </c>
      <c r="T71" s="73" t="s">
        <v>88</v>
      </c>
      <c r="U71" s="73">
        <f>111.17-W71</f>
        <v>62.6</v>
      </c>
      <c r="V71" s="73" t="s">
        <v>89</v>
      </c>
      <c r="W71" s="73">
        <v>48.57</v>
      </c>
      <c r="X71" t="s">
        <v>90</v>
      </c>
      <c r="Y71">
        <v>3.21</v>
      </c>
      <c r="Z71" t="s">
        <v>91</v>
      </c>
      <c r="AA71" s="91">
        <f t="shared" si="1"/>
        <v>35.82</v>
      </c>
      <c r="AB71" t="s">
        <v>92</v>
      </c>
      <c r="AC71">
        <v>1</v>
      </c>
      <c r="AD71" t="s">
        <v>93</v>
      </c>
      <c r="AE71">
        <v>35</v>
      </c>
      <c r="AF71" t="s">
        <v>95</v>
      </c>
      <c r="AG71">
        <v>60</v>
      </c>
      <c r="AH71" t="s">
        <v>100</v>
      </c>
      <c r="AI71">
        <v>2.98</v>
      </c>
      <c r="AJ71" t="s">
        <v>97</v>
      </c>
      <c r="AK71">
        <v>0.44419999999999998</v>
      </c>
      <c r="AL71" t="s">
        <v>98</v>
      </c>
      <c r="AM71">
        <v>5.79E-2</v>
      </c>
      <c r="AN71" s="203" t="s">
        <v>99</v>
      </c>
      <c r="AO71" s="204">
        <v>2.4251611012189032</v>
      </c>
      <c r="AP71" t="s">
        <v>94</v>
      </c>
      <c r="AR71" s="73" t="s">
        <v>180</v>
      </c>
      <c r="AS71" s="73">
        <v>164</v>
      </c>
      <c r="AT71" t="s">
        <v>102</v>
      </c>
      <c r="AV71" t="s">
        <v>101</v>
      </c>
      <c r="AX71" t="s">
        <v>103</v>
      </c>
      <c r="AZ71" t="s">
        <v>104</v>
      </c>
      <c r="BB71" t="s">
        <v>105</v>
      </c>
    </row>
    <row r="72" spans="1:55" hidden="1" x14ac:dyDescent="0.3">
      <c r="A72" t="s">
        <v>193</v>
      </c>
      <c r="B72" t="s">
        <v>178</v>
      </c>
      <c r="C72" s="46">
        <v>45743.604166666664</v>
      </c>
      <c r="D72" t="s">
        <v>32</v>
      </c>
      <c r="F72" t="s">
        <v>33</v>
      </c>
      <c r="H72" t="s">
        <v>82</v>
      </c>
      <c r="I72">
        <v>10.3073</v>
      </c>
      <c r="J72" t="s">
        <v>83</v>
      </c>
      <c r="K72">
        <v>1049.2</v>
      </c>
      <c r="L72" t="s">
        <v>84</v>
      </c>
      <c r="M72">
        <v>12.9</v>
      </c>
      <c r="N72" t="s">
        <v>85</v>
      </c>
      <c r="O72">
        <v>25.65</v>
      </c>
      <c r="P72" t="s">
        <v>86</v>
      </c>
      <c r="Q72">
        <v>24.04</v>
      </c>
      <c r="R72" t="s">
        <v>87</v>
      </c>
      <c r="S72">
        <v>27.54</v>
      </c>
      <c r="T72" s="73" t="s">
        <v>88</v>
      </c>
      <c r="U72" s="73">
        <f>104.6-W72</f>
        <v>59.98</v>
      </c>
      <c r="V72" s="73" t="s">
        <v>89</v>
      </c>
      <c r="W72" s="73">
        <v>44.62</v>
      </c>
      <c r="X72" t="s">
        <v>90</v>
      </c>
      <c r="Y72">
        <v>3.26</v>
      </c>
      <c r="Z72" t="s">
        <v>91</v>
      </c>
      <c r="AA72" s="91">
        <f t="shared" si="1"/>
        <v>27.82</v>
      </c>
      <c r="AB72" t="s">
        <v>92</v>
      </c>
      <c r="AC72">
        <v>1</v>
      </c>
      <c r="AD72" t="s">
        <v>93</v>
      </c>
      <c r="AE72">
        <v>27</v>
      </c>
      <c r="AF72" t="s">
        <v>95</v>
      </c>
      <c r="AG72">
        <v>62</v>
      </c>
      <c r="AH72" t="s">
        <v>100</v>
      </c>
      <c r="AI72">
        <v>2.91</v>
      </c>
      <c r="AJ72" t="s">
        <v>97</v>
      </c>
      <c r="AK72">
        <v>0.53410000000000002</v>
      </c>
      <c r="AL72" t="s">
        <v>98</v>
      </c>
      <c r="AM72">
        <v>7.9100000000000004E-2</v>
      </c>
      <c r="AN72" s="203" t="s">
        <v>99</v>
      </c>
      <c r="AO72" s="204">
        <v>2.8967723750276986</v>
      </c>
      <c r="AP72" t="s">
        <v>94</v>
      </c>
      <c r="AR72" t="s">
        <v>180</v>
      </c>
      <c r="AS72">
        <v>196</v>
      </c>
      <c r="AT72" t="s">
        <v>102</v>
      </c>
      <c r="AV72" t="s">
        <v>101</v>
      </c>
      <c r="AX72" t="s">
        <v>103</v>
      </c>
      <c r="AZ72" t="s">
        <v>104</v>
      </c>
      <c r="BB72" t="s">
        <v>105</v>
      </c>
    </row>
    <row r="73" spans="1:55" hidden="1" x14ac:dyDescent="0.3">
      <c r="A73" t="s">
        <v>194</v>
      </c>
      <c r="B73" t="s">
        <v>178</v>
      </c>
      <c r="C73" s="46">
        <v>45743.694444444445</v>
      </c>
      <c r="D73" t="s">
        <v>32</v>
      </c>
      <c r="F73" t="s">
        <v>33</v>
      </c>
      <c r="H73" t="s">
        <v>82</v>
      </c>
      <c r="I73">
        <v>10.5817</v>
      </c>
      <c r="J73" t="s">
        <v>83</v>
      </c>
      <c r="K73">
        <v>1048.2</v>
      </c>
      <c r="L73" t="s">
        <v>84</v>
      </c>
      <c r="M73">
        <v>12.7</v>
      </c>
      <c r="N73" t="s">
        <v>85</v>
      </c>
      <c r="O73">
        <v>32.1</v>
      </c>
      <c r="P73" t="s">
        <v>86</v>
      </c>
      <c r="Q73">
        <v>29.8</v>
      </c>
      <c r="R73" t="s">
        <v>87</v>
      </c>
      <c r="S73">
        <v>29.9</v>
      </c>
      <c r="T73" t="s">
        <v>88</v>
      </c>
      <c r="U73">
        <v>61.02</v>
      </c>
      <c r="V73" t="s">
        <v>89</v>
      </c>
      <c r="W73">
        <v>54.44</v>
      </c>
      <c r="X73" t="s">
        <v>90</v>
      </c>
      <c r="Y73">
        <v>3.45</v>
      </c>
      <c r="Z73" t="s">
        <v>91</v>
      </c>
      <c r="AA73" s="91">
        <f t="shared" si="1"/>
        <v>74.900000000000006</v>
      </c>
      <c r="AB73" t="s">
        <v>92</v>
      </c>
      <c r="AC73">
        <v>45</v>
      </c>
      <c r="AD73" t="s">
        <v>93</v>
      </c>
      <c r="AE73">
        <v>38</v>
      </c>
      <c r="AF73" t="s">
        <v>95</v>
      </c>
      <c r="AG73">
        <v>66</v>
      </c>
      <c r="AH73" t="s">
        <v>100</v>
      </c>
      <c r="AI73">
        <v>2.82</v>
      </c>
      <c r="AJ73" t="s">
        <v>97</v>
      </c>
      <c r="AK73">
        <v>0.55179999999999996</v>
      </c>
      <c r="AL73" t="s">
        <v>98</v>
      </c>
      <c r="AM73">
        <v>7.5399999999999995E-2</v>
      </c>
      <c r="AN73" s="203" t="s">
        <v>99</v>
      </c>
      <c r="AO73" s="204">
        <v>3.0545093275342641</v>
      </c>
      <c r="AP73" t="s">
        <v>94</v>
      </c>
      <c r="AR73" s="73" t="s">
        <v>180</v>
      </c>
      <c r="AS73" s="73">
        <v>146</v>
      </c>
      <c r="AT73" t="s">
        <v>102</v>
      </c>
      <c r="AV73" t="s">
        <v>101</v>
      </c>
      <c r="AX73" t="s">
        <v>103</v>
      </c>
      <c r="AZ73" t="s">
        <v>104</v>
      </c>
      <c r="BB73" t="s">
        <v>105</v>
      </c>
    </row>
    <row r="74" spans="1:55" hidden="1" x14ac:dyDescent="0.3">
      <c r="A74" t="s">
        <v>195</v>
      </c>
      <c r="B74" t="s">
        <v>178</v>
      </c>
      <c r="C74" s="46">
        <v>45744.416666666664</v>
      </c>
      <c r="D74" t="s">
        <v>32</v>
      </c>
      <c r="E74">
        <v>34.9</v>
      </c>
      <c r="F74" t="s">
        <v>33</v>
      </c>
      <c r="G74">
        <v>15.3</v>
      </c>
      <c r="H74" t="s">
        <v>82</v>
      </c>
      <c r="I74">
        <v>10.383100000000001</v>
      </c>
      <c r="J74" t="s">
        <v>83</v>
      </c>
      <c r="K74">
        <v>1037.2</v>
      </c>
      <c r="L74" t="s">
        <v>84</v>
      </c>
      <c r="M74">
        <v>9.8000000000000007</v>
      </c>
      <c r="N74" t="s">
        <v>85</v>
      </c>
      <c r="O74">
        <v>48.62</v>
      </c>
      <c r="P74" t="s">
        <v>86</v>
      </c>
      <c r="Q74">
        <v>46.24</v>
      </c>
      <c r="R74" t="s">
        <v>87</v>
      </c>
      <c r="S74">
        <v>28.75</v>
      </c>
      <c r="T74" t="s">
        <v>88</v>
      </c>
      <c r="U74">
        <v>55.52</v>
      </c>
      <c r="V74" t="s">
        <v>89</v>
      </c>
      <c r="W74">
        <v>32.01</v>
      </c>
      <c r="X74" t="s">
        <v>90</v>
      </c>
      <c r="Y74">
        <v>4.41</v>
      </c>
      <c r="Z74" t="s">
        <v>91</v>
      </c>
      <c r="AA74" s="91">
        <f t="shared" si="1"/>
        <v>24.1</v>
      </c>
      <c r="AB74" t="s">
        <v>92</v>
      </c>
      <c r="AC74">
        <v>5</v>
      </c>
      <c r="AD74" t="s">
        <v>93</v>
      </c>
      <c r="AE74">
        <v>20</v>
      </c>
      <c r="AF74" t="s">
        <v>95</v>
      </c>
      <c r="AG74">
        <v>70</v>
      </c>
      <c r="AH74" t="s">
        <v>100</v>
      </c>
      <c r="AI74">
        <v>2.68</v>
      </c>
      <c r="AJ74" t="s">
        <v>97</v>
      </c>
      <c r="AK74">
        <v>0.8296</v>
      </c>
      <c r="AL74" t="s">
        <v>98</v>
      </c>
      <c r="AM74">
        <v>0.13039999999999999</v>
      </c>
      <c r="AN74" s="203" t="s">
        <v>99</v>
      </c>
      <c r="AO74" s="204">
        <v>4.8074508057842005</v>
      </c>
      <c r="AP74" t="s">
        <v>94</v>
      </c>
      <c r="AR74" t="s">
        <v>180</v>
      </c>
      <c r="AS74">
        <v>211</v>
      </c>
      <c r="AT74" t="s">
        <v>102</v>
      </c>
      <c r="AV74" t="s">
        <v>101</v>
      </c>
      <c r="AX74" t="s">
        <v>103</v>
      </c>
      <c r="AZ74" t="s">
        <v>104</v>
      </c>
      <c r="BB74" t="s">
        <v>105</v>
      </c>
    </row>
    <row r="75" spans="1:55" hidden="1" x14ac:dyDescent="0.3">
      <c r="A75" t="s">
        <v>196</v>
      </c>
      <c r="B75" t="s">
        <v>178</v>
      </c>
      <c r="C75" s="46">
        <v>45744.604166666664</v>
      </c>
      <c r="D75" t="s">
        <v>32</v>
      </c>
      <c r="F75" t="s">
        <v>33</v>
      </c>
      <c r="H75" t="s">
        <v>82</v>
      </c>
      <c r="I75">
        <v>10.6051</v>
      </c>
      <c r="J75" t="s">
        <v>83</v>
      </c>
      <c r="K75">
        <v>1033.2</v>
      </c>
      <c r="L75" t="s">
        <v>84</v>
      </c>
      <c r="M75">
        <v>9</v>
      </c>
      <c r="N75" t="s">
        <v>85</v>
      </c>
      <c r="O75">
        <v>81.95</v>
      </c>
      <c r="P75" t="s">
        <v>86</v>
      </c>
      <c r="Q75">
        <v>74.349999999999994</v>
      </c>
      <c r="R75" t="s">
        <v>87</v>
      </c>
      <c r="S75">
        <v>24.09</v>
      </c>
      <c r="T75" t="s">
        <v>88</v>
      </c>
      <c r="U75">
        <v>54.61</v>
      </c>
      <c r="V75" t="s">
        <v>89</v>
      </c>
      <c r="W75">
        <v>28.98</v>
      </c>
      <c r="X75" t="s">
        <v>90</v>
      </c>
      <c r="Y75">
        <v>5</v>
      </c>
      <c r="Z75" t="s">
        <v>91</v>
      </c>
      <c r="AA75" s="91">
        <f t="shared" si="1"/>
        <v>20.100000000000001</v>
      </c>
      <c r="AB75" t="s">
        <v>92</v>
      </c>
      <c r="AC75">
        <v>5</v>
      </c>
      <c r="AD75" t="s">
        <v>93</v>
      </c>
      <c r="AE75">
        <v>16</v>
      </c>
      <c r="AF75" s="73" t="s">
        <v>95</v>
      </c>
      <c r="AG75" s="73">
        <v>78</v>
      </c>
      <c r="AH75" t="s">
        <v>100</v>
      </c>
      <c r="AI75">
        <v>2.7</v>
      </c>
      <c r="AJ75" t="s">
        <v>97</v>
      </c>
      <c r="AK75">
        <v>1.7388999999999999</v>
      </c>
      <c r="AL75" t="s">
        <v>98</v>
      </c>
      <c r="AM75">
        <v>0.23</v>
      </c>
      <c r="AN75" s="203" t="s">
        <v>99</v>
      </c>
      <c r="AO75" s="204">
        <v>5.4531070490235836</v>
      </c>
      <c r="AP75" t="s">
        <v>94</v>
      </c>
      <c r="AR75" t="s">
        <v>180</v>
      </c>
      <c r="AS75">
        <v>205</v>
      </c>
      <c r="AT75" t="s">
        <v>102</v>
      </c>
      <c r="AV75" t="s">
        <v>101</v>
      </c>
      <c r="AX75" t="s">
        <v>103</v>
      </c>
      <c r="AZ75" t="s">
        <v>104</v>
      </c>
      <c r="BB75" t="s">
        <v>105</v>
      </c>
    </row>
    <row r="76" spans="1:55" hidden="1" x14ac:dyDescent="0.3">
      <c r="A76" t="s">
        <v>197</v>
      </c>
      <c r="B76" t="s">
        <v>178</v>
      </c>
      <c r="C76" s="46">
        <v>45745.5</v>
      </c>
      <c r="D76" t="s">
        <v>32</v>
      </c>
      <c r="E76">
        <v>31.9</v>
      </c>
      <c r="F76" t="s">
        <v>33</v>
      </c>
      <c r="G76">
        <v>15</v>
      </c>
      <c r="H76" t="s">
        <v>82</v>
      </c>
      <c r="I76">
        <v>10.3392</v>
      </c>
      <c r="J76" t="s">
        <v>83</v>
      </c>
      <c r="K76">
        <v>1023</v>
      </c>
      <c r="L76" t="s">
        <v>84</v>
      </c>
      <c r="M76">
        <v>6.3</v>
      </c>
      <c r="N76" t="s">
        <v>85</v>
      </c>
      <c r="O76">
        <v>75.73</v>
      </c>
      <c r="P76" t="s">
        <v>86</v>
      </c>
      <c r="Q76">
        <v>65.510000000000005</v>
      </c>
      <c r="R76" t="s">
        <v>87</v>
      </c>
      <c r="S76">
        <v>14.71</v>
      </c>
      <c r="T76" t="s">
        <v>88</v>
      </c>
      <c r="U76">
        <v>39.979999999999997</v>
      </c>
      <c r="V76" t="s">
        <v>89</v>
      </c>
      <c r="W76">
        <v>20</v>
      </c>
      <c r="X76" t="s">
        <v>90</v>
      </c>
      <c r="Y76">
        <v>5.7</v>
      </c>
      <c r="Z76" s="74" t="s">
        <v>91</v>
      </c>
      <c r="AA76" s="91">
        <f t="shared" si="1"/>
        <v>10</v>
      </c>
      <c r="AB76" s="74" t="s">
        <v>92</v>
      </c>
      <c r="AC76" s="74">
        <v>0</v>
      </c>
      <c r="AD76" s="74" t="s">
        <v>93</v>
      </c>
      <c r="AE76" s="74">
        <v>10</v>
      </c>
      <c r="AF76" t="s">
        <v>95</v>
      </c>
      <c r="AG76">
        <v>68</v>
      </c>
      <c r="AH76" t="s">
        <v>100</v>
      </c>
      <c r="AI76">
        <v>2.61</v>
      </c>
      <c r="AJ76" t="s">
        <v>97</v>
      </c>
      <c r="AK76">
        <v>1.0914999999999999</v>
      </c>
      <c r="AL76" t="s">
        <v>98</v>
      </c>
      <c r="AM76">
        <v>0.21779999999999999</v>
      </c>
      <c r="AN76" s="203" t="s">
        <v>99</v>
      </c>
      <c r="AO76" s="204">
        <v>7.1198223850590994</v>
      </c>
      <c r="AP76" t="s">
        <v>94</v>
      </c>
      <c r="AR76" t="s">
        <v>180</v>
      </c>
      <c r="AS76">
        <v>192</v>
      </c>
      <c r="AT76" t="s">
        <v>102</v>
      </c>
      <c r="AV76" t="s">
        <v>101</v>
      </c>
      <c r="AX76" t="s">
        <v>103</v>
      </c>
      <c r="AZ76" t="s">
        <v>104</v>
      </c>
      <c r="BB76" t="s">
        <v>105</v>
      </c>
    </row>
    <row r="77" spans="1:55" hidden="1" x14ac:dyDescent="0.3">
      <c r="A77" t="s">
        <v>181</v>
      </c>
      <c r="B77" t="s">
        <v>178</v>
      </c>
      <c r="C77" s="46">
        <v>45746.6875</v>
      </c>
      <c r="D77" t="s">
        <v>32</v>
      </c>
      <c r="F77" t="s">
        <v>33</v>
      </c>
      <c r="H77" t="s">
        <v>82</v>
      </c>
      <c r="I77">
        <v>10.3438</v>
      </c>
      <c r="J77" t="s">
        <v>83</v>
      </c>
      <c r="K77">
        <v>1010.4</v>
      </c>
      <c r="L77" t="s">
        <v>84</v>
      </c>
      <c r="M77">
        <v>3.2</v>
      </c>
      <c r="N77" t="s">
        <v>85</v>
      </c>
      <c r="O77">
        <v>84.87</v>
      </c>
      <c r="P77" t="s">
        <v>86</v>
      </c>
      <c r="Q77">
        <v>72.81</v>
      </c>
      <c r="R77" t="s">
        <v>87</v>
      </c>
      <c r="S77">
        <v>13.57</v>
      </c>
      <c r="T77" t="s">
        <v>88</v>
      </c>
      <c r="U77">
        <v>25.83</v>
      </c>
      <c r="V77" t="s">
        <v>89</v>
      </c>
      <c r="W77">
        <v>9.69</v>
      </c>
      <c r="X77" t="s">
        <v>90</v>
      </c>
      <c r="Y77">
        <v>6.17</v>
      </c>
      <c r="Z77" t="s">
        <v>91</v>
      </c>
      <c r="AA77" s="91">
        <f t="shared" si="1"/>
        <v>10</v>
      </c>
      <c r="AB77" t="s">
        <v>92</v>
      </c>
      <c r="AC77">
        <v>0</v>
      </c>
      <c r="AD77" t="s">
        <v>93</v>
      </c>
      <c r="AE77">
        <v>10</v>
      </c>
      <c r="AF77" t="s">
        <v>95</v>
      </c>
      <c r="AG77">
        <v>55</v>
      </c>
      <c r="AH77" t="s">
        <v>100</v>
      </c>
      <c r="AI77">
        <v>2.5</v>
      </c>
      <c r="AJ77" t="s">
        <v>97</v>
      </c>
      <c r="AK77">
        <v>2.0869</v>
      </c>
      <c r="AL77" t="s">
        <v>98</v>
      </c>
      <c r="AM77">
        <v>0.30349999999999999</v>
      </c>
      <c r="AN77" s="203" t="s">
        <v>99</v>
      </c>
      <c r="AO77" s="204">
        <v>9.2198852208262387</v>
      </c>
      <c r="AP77" t="s">
        <v>94</v>
      </c>
      <c r="AR77" t="s">
        <v>180</v>
      </c>
      <c r="AS77">
        <v>176</v>
      </c>
      <c r="AT77" t="s">
        <v>102</v>
      </c>
      <c r="AV77" t="s">
        <v>101</v>
      </c>
      <c r="AX77" t="s">
        <v>103</v>
      </c>
      <c r="AZ77" t="s">
        <v>104</v>
      </c>
      <c r="BB77" t="s">
        <v>105</v>
      </c>
    </row>
    <row r="78" spans="1:55" hidden="1" x14ac:dyDescent="0.3">
      <c r="A78" t="s">
        <v>182</v>
      </c>
      <c r="B78" t="s">
        <v>178</v>
      </c>
      <c r="C78" s="46">
        <v>45747.416666666664</v>
      </c>
      <c r="D78" t="s">
        <v>32</v>
      </c>
      <c r="F78" t="s">
        <v>33</v>
      </c>
      <c r="H78" t="s">
        <v>82</v>
      </c>
      <c r="I78">
        <v>10.5535</v>
      </c>
      <c r="J78" t="s">
        <v>83</v>
      </c>
      <c r="K78">
        <v>1005.7</v>
      </c>
      <c r="L78" t="s">
        <v>84</v>
      </c>
      <c r="M78">
        <v>2</v>
      </c>
      <c r="N78" t="s">
        <v>85</v>
      </c>
      <c r="O78">
        <v>50.84</v>
      </c>
      <c r="P78" t="s">
        <v>86</v>
      </c>
      <c r="Q78">
        <v>50</v>
      </c>
      <c r="R78" t="s">
        <v>87</v>
      </c>
      <c r="S78">
        <v>18.88</v>
      </c>
      <c r="T78" t="s">
        <v>88</v>
      </c>
      <c r="U78">
        <v>25.93</v>
      </c>
      <c r="V78" t="s">
        <v>89</v>
      </c>
      <c r="W78">
        <v>3.89</v>
      </c>
      <c r="X78" t="s">
        <v>90</v>
      </c>
      <c r="Y78">
        <v>6.33</v>
      </c>
      <c r="Z78" t="s">
        <v>91</v>
      </c>
      <c r="AA78" s="91">
        <f t="shared" si="1"/>
        <v>11.82</v>
      </c>
      <c r="AB78" t="s">
        <v>92</v>
      </c>
      <c r="AC78">
        <v>1</v>
      </c>
      <c r="AD78" t="s">
        <v>93</v>
      </c>
      <c r="AE78">
        <v>11</v>
      </c>
      <c r="AF78" t="s">
        <v>95</v>
      </c>
      <c r="AG78">
        <v>61</v>
      </c>
      <c r="AH78" t="s">
        <v>100</v>
      </c>
      <c r="AI78">
        <v>2.57</v>
      </c>
      <c r="AJ78" t="s">
        <v>97</v>
      </c>
      <c r="AK78">
        <v>0.93169999999999997</v>
      </c>
      <c r="AL78" t="s">
        <v>98</v>
      </c>
      <c r="AM78">
        <v>0.1893</v>
      </c>
      <c r="AN78" s="203" t="s">
        <v>99</v>
      </c>
      <c r="AO78" s="204">
        <v>10.015167660236951</v>
      </c>
      <c r="AP78" t="s">
        <v>94</v>
      </c>
      <c r="AR78" t="s">
        <v>180</v>
      </c>
      <c r="AS78">
        <v>177</v>
      </c>
      <c r="AT78" t="s">
        <v>102</v>
      </c>
      <c r="AV78" t="s">
        <v>101</v>
      </c>
      <c r="AX78" t="s">
        <v>103</v>
      </c>
      <c r="AZ78" t="s">
        <v>104</v>
      </c>
      <c r="BB78" t="s">
        <v>105</v>
      </c>
    </row>
    <row r="79" spans="1:55" hidden="1" x14ac:dyDescent="0.3">
      <c r="A79" t="s">
        <v>183</v>
      </c>
      <c r="B79" t="s">
        <v>178</v>
      </c>
      <c r="C79" s="46">
        <v>45747.680555555555</v>
      </c>
      <c r="D79" t="s">
        <v>32</v>
      </c>
      <c r="E79">
        <v>35.1</v>
      </c>
      <c r="F79" t="s">
        <v>33</v>
      </c>
      <c r="G79">
        <v>21.9</v>
      </c>
      <c r="H79" t="s">
        <v>82</v>
      </c>
      <c r="I79">
        <v>10.583</v>
      </c>
      <c r="J79" t="s">
        <v>83</v>
      </c>
      <c r="K79">
        <v>1003.9</v>
      </c>
      <c r="L79" t="s">
        <v>84</v>
      </c>
      <c r="M79">
        <v>1.6</v>
      </c>
      <c r="N79" t="s">
        <v>85</v>
      </c>
      <c r="O79">
        <v>55.61</v>
      </c>
      <c r="P79" t="s">
        <v>86</v>
      </c>
      <c r="Q79">
        <v>53</v>
      </c>
      <c r="R79" t="s">
        <v>87</v>
      </c>
      <c r="S79">
        <v>16.3</v>
      </c>
      <c r="T79" t="s">
        <v>88</v>
      </c>
      <c r="U79">
        <v>20.52</v>
      </c>
      <c r="V79" t="s">
        <v>89</v>
      </c>
      <c r="W79">
        <v>5.59</v>
      </c>
      <c r="X79" t="s">
        <v>90</v>
      </c>
      <c r="Y79">
        <v>6.42</v>
      </c>
      <c r="Z79" t="s">
        <v>91</v>
      </c>
      <c r="AA79" s="91">
        <f t="shared" si="1"/>
        <v>13.28</v>
      </c>
      <c r="AB79" t="s">
        <v>92</v>
      </c>
      <c r="AC79">
        <v>4</v>
      </c>
      <c r="AD79" t="s">
        <v>93</v>
      </c>
      <c r="AE79">
        <v>10</v>
      </c>
      <c r="AF79" t="s">
        <v>95</v>
      </c>
      <c r="AG79">
        <v>61</v>
      </c>
      <c r="AH79" t="s">
        <v>100</v>
      </c>
      <c r="AI79">
        <v>2.93</v>
      </c>
      <c r="AJ79" t="s">
        <v>97</v>
      </c>
      <c r="AK79">
        <v>0.92630000000000001</v>
      </c>
      <c r="AL79" t="s">
        <v>98</v>
      </c>
      <c r="AM79">
        <v>0.17030000000000001</v>
      </c>
      <c r="AN79" s="203" t="s">
        <v>99</v>
      </c>
      <c r="AO79" s="204">
        <v>10.321486982357719</v>
      </c>
      <c r="AP79" t="s">
        <v>94</v>
      </c>
      <c r="AR79" t="s">
        <v>180</v>
      </c>
      <c r="AS79">
        <v>178</v>
      </c>
      <c r="AT79" t="s">
        <v>102</v>
      </c>
      <c r="AV79" t="s">
        <v>101</v>
      </c>
      <c r="AX79" t="s">
        <v>103</v>
      </c>
      <c r="AZ79" t="s">
        <v>104</v>
      </c>
      <c r="BB79" t="s">
        <v>105</v>
      </c>
    </row>
    <row r="80" spans="1:55" hidden="1" x14ac:dyDescent="0.3">
      <c r="A80" t="s">
        <v>184</v>
      </c>
      <c r="B80" t="s">
        <v>178</v>
      </c>
      <c r="C80" s="46">
        <v>45748.375</v>
      </c>
      <c r="D80" t="s">
        <v>32</v>
      </c>
      <c r="F80" t="s">
        <v>33</v>
      </c>
      <c r="H80" t="s">
        <v>82</v>
      </c>
      <c r="I80">
        <v>10.421799999999999</v>
      </c>
      <c r="J80" t="s">
        <v>83</v>
      </c>
      <c r="K80">
        <v>1001.9</v>
      </c>
      <c r="L80" t="s">
        <v>84</v>
      </c>
      <c r="M80">
        <v>0.9</v>
      </c>
      <c r="N80" t="s">
        <v>85</v>
      </c>
      <c r="O80">
        <v>53.84</v>
      </c>
      <c r="P80" t="s">
        <v>86</v>
      </c>
      <c r="Q80">
        <v>51.54</v>
      </c>
      <c r="R80" t="s">
        <v>87</v>
      </c>
      <c r="S80">
        <v>10.7</v>
      </c>
      <c r="T80" s="73" t="s">
        <v>88</v>
      </c>
      <c r="U80" s="73">
        <v>19.149999999999999</v>
      </c>
      <c r="V80" s="73" t="s">
        <v>89</v>
      </c>
      <c r="W80" s="73">
        <v>1.29</v>
      </c>
      <c r="X80" t="s">
        <v>90</v>
      </c>
      <c r="Y80">
        <v>6.45</v>
      </c>
      <c r="Z80" t="s">
        <v>91</v>
      </c>
      <c r="AA80" s="91">
        <f t="shared" si="1"/>
        <v>15.1</v>
      </c>
      <c r="AB80" t="s">
        <v>92</v>
      </c>
      <c r="AC80">
        <v>5</v>
      </c>
      <c r="AD80" t="s">
        <v>93</v>
      </c>
      <c r="AE80">
        <v>11</v>
      </c>
      <c r="AF80" t="s">
        <v>95</v>
      </c>
      <c r="AG80">
        <v>46</v>
      </c>
      <c r="AH80" t="s">
        <v>100</v>
      </c>
      <c r="AI80">
        <v>2.66</v>
      </c>
      <c r="AJ80" t="s">
        <v>97</v>
      </c>
      <c r="AK80">
        <v>0.77139999999999997</v>
      </c>
      <c r="AL80" t="s">
        <v>98</v>
      </c>
      <c r="AM80">
        <v>0.1149</v>
      </c>
      <c r="AN80" s="203" t="s">
        <v>99</v>
      </c>
      <c r="AO80" s="204">
        <v>10.662981851082613</v>
      </c>
      <c r="AP80" t="s">
        <v>94</v>
      </c>
      <c r="AR80" t="s">
        <v>180</v>
      </c>
      <c r="AS80">
        <v>180</v>
      </c>
      <c r="AT80" t="s">
        <v>102</v>
      </c>
      <c r="AV80" t="s">
        <v>101</v>
      </c>
      <c r="AX80" t="s">
        <v>103</v>
      </c>
      <c r="AZ80" t="s">
        <v>104</v>
      </c>
      <c r="BB80" t="s">
        <v>105</v>
      </c>
    </row>
    <row r="81" spans="1:54" hidden="1" x14ac:dyDescent="0.3">
      <c r="A81" t="s">
        <v>185</v>
      </c>
      <c r="B81" t="s">
        <v>178</v>
      </c>
      <c r="C81" s="46">
        <v>45748.625</v>
      </c>
      <c r="D81" t="s">
        <v>32</v>
      </c>
      <c r="F81" t="s">
        <v>33</v>
      </c>
      <c r="H81" t="s">
        <v>82</v>
      </c>
      <c r="I81">
        <v>10.3058</v>
      </c>
      <c r="J81" t="s">
        <v>83</v>
      </c>
      <c r="K81">
        <v>999.9</v>
      </c>
      <c r="L81" t="s">
        <v>84</v>
      </c>
      <c r="M81">
        <v>0.6</v>
      </c>
      <c r="N81" t="s">
        <v>85</v>
      </c>
      <c r="O81">
        <v>43.78</v>
      </c>
      <c r="P81" t="s">
        <v>86</v>
      </c>
      <c r="Q81">
        <v>43.09</v>
      </c>
      <c r="R81" t="s">
        <v>87</v>
      </c>
      <c r="S81">
        <v>19.3</v>
      </c>
      <c r="T81" t="s">
        <v>88</v>
      </c>
      <c r="U81">
        <v>17.07</v>
      </c>
      <c r="V81" t="s">
        <v>89</v>
      </c>
      <c r="W81">
        <v>1.47</v>
      </c>
      <c r="X81" t="s">
        <v>90</v>
      </c>
      <c r="Y81">
        <v>6.52</v>
      </c>
      <c r="Z81" t="s">
        <v>91</v>
      </c>
      <c r="AA81" s="91">
        <f t="shared" si="1"/>
        <v>13.46</v>
      </c>
      <c r="AB81" t="s">
        <v>92</v>
      </c>
      <c r="AC81">
        <v>3</v>
      </c>
      <c r="AD81" t="s">
        <v>93</v>
      </c>
      <c r="AE81">
        <v>11</v>
      </c>
      <c r="AF81" t="s">
        <v>95</v>
      </c>
      <c r="AG81">
        <v>53</v>
      </c>
      <c r="AH81" t="s">
        <v>100</v>
      </c>
      <c r="AI81">
        <v>2.62</v>
      </c>
      <c r="AJ81" t="s">
        <v>97</v>
      </c>
      <c r="AK81">
        <v>0.86750000000000005</v>
      </c>
      <c r="AL81" t="s">
        <v>98</v>
      </c>
      <c r="AM81">
        <v>0.29620000000000002</v>
      </c>
      <c r="AN81" s="203" t="s">
        <v>99</v>
      </c>
      <c r="AO81" s="204">
        <v>11.005682404065595</v>
      </c>
      <c r="AP81" t="s">
        <v>94</v>
      </c>
      <c r="AR81" t="s">
        <v>180</v>
      </c>
      <c r="AS81">
        <v>184</v>
      </c>
      <c r="AT81" t="s">
        <v>102</v>
      </c>
      <c r="AV81" t="s">
        <v>101</v>
      </c>
      <c r="AX81" t="s">
        <v>103</v>
      </c>
      <c r="AZ81" t="s">
        <v>104</v>
      </c>
      <c r="BB81" t="s">
        <v>105</v>
      </c>
    </row>
    <row r="82" spans="1:54" hidden="1" x14ac:dyDescent="0.3">
      <c r="A82" t="s">
        <v>186</v>
      </c>
      <c r="B82" t="s">
        <v>178</v>
      </c>
      <c r="C82" s="46">
        <v>45749.395833333336</v>
      </c>
      <c r="D82" t="s">
        <v>32</v>
      </c>
      <c r="F82" t="s">
        <v>33</v>
      </c>
      <c r="H82" t="s">
        <v>82</v>
      </c>
      <c r="I82">
        <v>10.368600000000001</v>
      </c>
      <c r="J82" t="s">
        <v>83</v>
      </c>
      <c r="K82">
        <v>999</v>
      </c>
      <c r="L82" t="s">
        <v>84</v>
      </c>
      <c r="M82">
        <v>0.1</v>
      </c>
      <c r="N82" t="s">
        <v>85</v>
      </c>
      <c r="O82">
        <v>63.75</v>
      </c>
      <c r="P82" t="s">
        <v>86</v>
      </c>
      <c r="Q82">
        <v>53.95</v>
      </c>
      <c r="R82" t="s">
        <v>87</v>
      </c>
      <c r="S82">
        <v>10.24</v>
      </c>
      <c r="T82" t="s">
        <v>88</v>
      </c>
      <c r="U82">
        <v>9.1300000000000008</v>
      </c>
      <c r="V82" t="s">
        <v>89</v>
      </c>
      <c r="W82">
        <v>1.45</v>
      </c>
      <c r="X82" t="s">
        <v>90</v>
      </c>
      <c r="Y82">
        <v>6.69</v>
      </c>
      <c r="Z82" t="s">
        <v>91</v>
      </c>
      <c r="AA82" s="91">
        <f t="shared" si="1"/>
        <v>14.1</v>
      </c>
      <c r="AB82" t="s">
        <v>92</v>
      </c>
      <c r="AC82">
        <v>5</v>
      </c>
      <c r="AD82" t="s">
        <v>93</v>
      </c>
      <c r="AE82">
        <v>10</v>
      </c>
      <c r="AF82" t="s">
        <v>95</v>
      </c>
      <c r="AG82">
        <v>50</v>
      </c>
      <c r="AH82" t="s">
        <v>100</v>
      </c>
      <c r="AI82">
        <v>2.67</v>
      </c>
      <c r="AJ82" t="s">
        <v>97</v>
      </c>
      <c r="AK82">
        <v>1.1136999999999999</v>
      </c>
      <c r="AL82" t="s">
        <v>98</v>
      </c>
      <c r="AM82">
        <v>0.23330000000000001</v>
      </c>
      <c r="AN82" s="203" t="s">
        <v>99</v>
      </c>
      <c r="AO82" s="204">
        <v>11.160292554865283</v>
      </c>
      <c r="AP82" t="s">
        <v>94</v>
      </c>
      <c r="AR82" t="s">
        <v>180</v>
      </c>
      <c r="AS82">
        <v>174</v>
      </c>
      <c r="AT82" t="s">
        <v>102</v>
      </c>
      <c r="AV82" t="s">
        <v>101</v>
      </c>
      <c r="AX82" t="s">
        <v>103</v>
      </c>
      <c r="AZ82" t="s">
        <v>104</v>
      </c>
      <c r="BB82" t="s">
        <v>105</v>
      </c>
    </row>
    <row r="83" spans="1:54" hidden="1" x14ac:dyDescent="0.3">
      <c r="A83" t="s">
        <v>187</v>
      </c>
      <c r="B83" t="s">
        <v>178</v>
      </c>
      <c r="C83" s="46">
        <v>45749.666666666664</v>
      </c>
      <c r="D83" t="s">
        <v>32</v>
      </c>
      <c r="F83" t="s">
        <v>33</v>
      </c>
      <c r="H83" t="s">
        <v>82</v>
      </c>
      <c r="I83">
        <v>11.5398</v>
      </c>
      <c r="J83" t="s">
        <v>83</v>
      </c>
      <c r="K83">
        <v>996.2</v>
      </c>
      <c r="L83" t="s">
        <v>84</v>
      </c>
      <c r="M83">
        <v>-0.3</v>
      </c>
      <c r="N83" t="s">
        <v>85</v>
      </c>
      <c r="O83">
        <v>35.56</v>
      </c>
      <c r="P83" t="s">
        <v>86</v>
      </c>
      <c r="Q83">
        <v>34.56</v>
      </c>
      <c r="R83" t="s">
        <v>87</v>
      </c>
      <c r="S83">
        <v>19.440000000000001</v>
      </c>
      <c r="T83" t="s">
        <v>88</v>
      </c>
      <c r="U83">
        <v>7.61</v>
      </c>
      <c r="V83" t="s">
        <v>89</v>
      </c>
      <c r="W83">
        <v>1.41</v>
      </c>
      <c r="X83" t="s">
        <v>90</v>
      </c>
      <c r="Y83">
        <v>6.31</v>
      </c>
      <c r="Z83" t="s">
        <v>91</v>
      </c>
      <c r="AA83" s="91">
        <f t="shared" si="1"/>
        <v>15.739999999999998</v>
      </c>
      <c r="AB83" t="s">
        <v>92</v>
      </c>
      <c r="AC83">
        <v>7</v>
      </c>
      <c r="AD83" t="s">
        <v>93</v>
      </c>
      <c r="AE83">
        <v>10</v>
      </c>
      <c r="AF83" t="s">
        <v>95</v>
      </c>
      <c r="AG83">
        <v>49</v>
      </c>
      <c r="AH83" t="s">
        <v>100</v>
      </c>
      <c r="AI83">
        <v>2.65</v>
      </c>
      <c r="AJ83" t="s">
        <v>97</v>
      </c>
      <c r="AK83">
        <v>0.72550000000000003</v>
      </c>
      <c r="AL83" t="s">
        <v>98</v>
      </c>
      <c r="AM83">
        <v>0.19800000000000001</v>
      </c>
      <c r="AN83" s="203" t="s">
        <v>99</v>
      </c>
      <c r="AO83" s="204">
        <v>11.642876561750935</v>
      </c>
      <c r="AP83" t="s">
        <v>94</v>
      </c>
      <c r="AR83" t="s">
        <v>180</v>
      </c>
      <c r="AS83">
        <v>177</v>
      </c>
      <c r="AT83" t="s">
        <v>102</v>
      </c>
      <c r="AV83" t="s">
        <v>101</v>
      </c>
      <c r="AX83" t="s">
        <v>103</v>
      </c>
      <c r="AZ83" t="s">
        <v>104</v>
      </c>
      <c r="BB83" t="s">
        <v>105</v>
      </c>
    </row>
    <row r="84" spans="1:54" hidden="1" x14ac:dyDescent="0.3">
      <c r="A84" t="s">
        <v>188</v>
      </c>
      <c r="B84" t="s">
        <v>178</v>
      </c>
      <c r="C84" s="46">
        <v>45750.416666666664</v>
      </c>
      <c r="D84" t="s">
        <v>32</v>
      </c>
      <c r="F84" t="s">
        <v>33</v>
      </c>
      <c r="H84" t="s">
        <v>82</v>
      </c>
      <c r="I84">
        <v>10.3956</v>
      </c>
      <c r="J84" t="s">
        <v>83</v>
      </c>
      <c r="K84">
        <v>995.3</v>
      </c>
      <c r="L84" t="s">
        <v>84</v>
      </c>
      <c r="M84">
        <v>-0.7</v>
      </c>
      <c r="N84" t="s">
        <v>85</v>
      </c>
      <c r="O84">
        <v>44.32</v>
      </c>
      <c r="P84" t="s">
        <v>86</v>
      </c>
      <c r="Q84">
        <v>44.01</v>
      </c>
      <c r="R84" t="s">
        <v>87</v>
      </c>
      <c r="S84">
        <v>17.850000000000001</v>
      </c>
      <c r="T84" t="s">
        <v>88</v>
      </c>
      <c r="U84">
        <v>6.59</v>
      </c>
      <c r="V84" t="s">
        <v>89</v>
      </c>
      <c r="W84">
        <v>0.13</v>
      </c>
      <c r="X84" t="s">
        <v>90</v>
      </c>
      <c r="Y84">
        <v>7.08</v>
      </c>
      <c r="Z84" t="s">
        <v>91</v>
      </c>
      <c r="AA84" s="91">
        <f t="shared" si="1"/>
        <v>12</v>
      </c>
      <c r="AB84" t="s">
        <v>92</v>
      </c>
      <c r="AC84">
        <v>0</v>
      </c>
      <c r="AD84" t="s">
        <v>93</v>
      </c>
      <c r="AE84">
        <v>12</v>
      </c>
      <c r="AF84" t="s">
        <v>95</v>
      </c>
      <c r="AG84">
        <v>49</v>
      </c>
      <c r="AH84" t="s">
        <v>100</v>
      </c>
      <c r="AI84">
        <v>2.67</v>
      </c>
      <c r="AJ84" t="s">
        <v>97</v>
      </c>
      <c r="AK84">
        <v>0.82</v>
      </c>
      <c r="AL84" t="s">
        <v>98</v>
      </c>
      <c r="AM84">
        <v>0.20119999999999999</v>
      </c>
      <c r="AN84" s="203" t="s">
        <v>99</v>
      </c>
      <c r="AO84" s="204">
        <v>11.798500840283317</v>
      </c>
      <c r="AP84" t="s">
        <v>94</v>
      </c>
      <c r="AR84" t="s">
        <v>180</v>
      </c>
      <c r="AS84">
        <v>180</v>
      </c>
      <c r="AT84" t="s">
        <v>102</v>
      </c>
      <c r="AV84" t="s">
        <v>101</v>
      </c>
      <c r="AX84" t="s">
        <v>103</v>
      </c>
      <c r="AZ84" t="s">
        <v>104</v>
      </c>
      <c r="BB84" t="s">
        <v>105</v>
      </c>
    </row>
    <row r="85" spans="1:54" hidden="1" x14ac:dyDescent="0.3">
      <c r="A85" t="s">
        <v>189</v>
      </c>
      <c r="B85" t="s">
        <v>178</v>
      </c>
      <c r="C85" s="46">
        <v>45750.625</v>
      </c>
      <c r="D85" t="s">
        <v>32</v>
      </c>
      <c r="F85" t="s">
        <v>33</v>
      </c>
      <c r="H85" t="s">
        <v>82</v>
      </c>
      <c r="I85">
        <v>10.2774</v>
      </c>
      <c r="J85" t="s">
        <v>83</v>
      </c>
      <c r="K85">
        <v>993.6</v>
      </c>
      <c r="L85" t="s">
        <v>84</v>
      </c>
      <c r="M85">
        <v>-0.9</v>
      </c>
      <c r="N85" t="s">
        <v>85</v>
      </c>
      <c r="O85">
        <v>42.47</v>
      </c>
      <c r="P85" t="s">
        <v>86</v>
      </c>
      <c r="Q85">
        <v>41.63</v>
      </c>
      <c r="R85" t="s">
        <v>87</v>
      </c>
      <c r="S85">
        <v>17.899999999999999</v>
      </c>
      <c r="T85" t="s">
        <v>88</v>
      </c>
      <c r="U85">
        <v>5.95</v>
      </c>
      <c r="V85" t="s">
        <v>89</v>
      </c>
      <c r="W85">
        <v>0.1</v>
      </c>
      <c r="X85" t="s">
        <v>90</v>
      </c>
      <c r="Y85">
        <v>6.71</v>
      </c>
      <c r="Z85" t="s">
        <v>91</v>
      </c>
      <c r="AA85" s="91">
        <f t="shared" si="1"/>
        <v>12</v>
      </c>
      <c r="AB85" t="s">
        <v>92</v>
      </c>
      <c r="AC85">
        <v>0</v>
      </c>
      <c r="AD85" t="s">
        <v>93</v>
      </c>
      <c r="AE85">
        <v>12</v>
      </c>
      <c r="AF85" t="s">
        <v>95</v>
      </c>
      <c r="AG85">
        <v>58</v>
      </c>
      <c r="AH85" t="s">
        <v>100</v>
      </c>
      <c r="AI85">
        <v>2.7</v>
      </c>
      <c r="AJ85" t="s">
        <v>97</v>
      </c>
      <c r="AK85">
        <v>0.86660000000000004</v>
      </c>
      <c r="AL85" t="s">
        <v>98</v>
      </c>
      <c r="AM85">
        <v>0.2467</v>
      </c>
      <c r="AN85" s="203" t="s">
        <v>99</v>
      </c>
      <c r="AO85" s="204">
        <v>12.093134968682435</v>
      </c>
      <c r="AP85" t="s">
        <v>94</v>
      </c>
      <c r="AR85" t="s">
        <v>180</v>
      </c>
      <c r="AS85">
        <v>181</v>
      </c>
      <c r="AT85" t="s">
        <v>102</v>
      </c>
      <c r="AV85" t="s">
        <v>101</v>
      </c>
      <c r="AX85" t="s">
        <v>103</v>
      </c>
      <c r="AZ85" t="s">
        <v>104</v>
      </c>
      <c r="BB85" t="s">
        <v>105</v>
      </c>
    </row>
    <row r="86" spans="1:54" hidden="1" x14ac:dyDescent="0.3">
      <c r="A86" t="s">
        <v>198</v>
      </c>
      <c r="B86" t="s">
        <v>178</v>
      </c>
      <c r="C86" s="46">
        <v>45751.375</v>
      </c>
      <c r="D86" t="s">
        <v>32</v>
      </c>
      <c r="E86">
        <v>24.9</v>
      </c>
      <c r="F86" t="s">
        <v>33</v>
      </c>
      <c r="G86">
        <v>16</v>
      </c>
      <c r="H86" t="s">
        <v>82</v>
      </c>
      <c r="I86">
        <v>10.4091</v>
      </c>
      <c r="J86" t="s">
        <v>83</v>
      </c>
      <c r="K86">
        <v>994.1</v>
      </c>
      <c r="L86" t="s">
        <v>84</v>
      </c>
      <c r="M86">
        <v>-1.1000000000000001</v>
      </c>
      <c r="N86" t="s">
        <v>85</v>
      </c>
      <c r="O86">
        <v>27.8</v>
      </c>
      <c r="P86" t="s">
        <v>86</v>
      </c>
      <c r="Q86">
        <v>27.73</v>
      </c>
      <c r="R86" t="s">
        <v>87</v>
      </c>
      <c r="S86">
        <v>16.850000000000001</v>
      </c>
      <c r="T86" t="s">
        <v>88</v>
      </c>
      <c r="U86">
        <v>3.43</v>
      </c>
      <c r="V86" t="s">
        <v>89</v>
      </c>
      <c r="W86">
        <v>0.03</v>
      </c>
      <c r="X86" t="s">
        <v>90</v>
      </c>
      <c r="Y86">
        <v>6.68</v>
      </c>
      <c r="Z86" t="s">
        <v>91</v>
      </c>
      <c r="AA86" s="91">
        <f t="shared" si="1"/>
        <v>19.2</v>
      </c>
      <c r="AB86" t="s">
        <v>92</v>
      </c>
      <c r="AC86">
        <v>10</v>
      </c>
      <c r="AD86" t="s">
        <v>93</v>
      </c>
      <c r="AE86">
        <v>11</v>
      </c>
      <c r="AF86" t="s">
        <v>95</v>
      </c>
      <c r="AG86">
        <v>55</v>
      </c>
      <c r="AH86" t="s">
        <v>100</v>
      </c>
      <c r="AI86">
        <v>2.66</v>
      </c>
      <c r="AJ86" t="s">
        <v>97</v>
      </c>
      <c r="AK86">
        <v>0.71760000000000002</v>
      </c>
      <c r="AL86" t="s">
        <v>98</v>
      </c>
      <c r="AM86">
        <v>0.15659999999999999</v>
      </c>
      <c r="AN86" s="201" t="s">
        <v>99</v>
      </c>
      <c r="AO86" s="201">
        <v>12.02</v>
      </c>
      <c r="AP86" t="s">
        <v>94</v>
      </c>
      <c r="AQ86">
        <v>0.54</v>
      </c>
      <c r="AR86" t="s">
        <v>180</v>
      </c>
      <c r="AS86">
        <v>169</v>
      </c>
      <c r="AT86" t="s">
        <v>102</v>
      </c>
      <c r="AU86">
        <v>223</v>
      </c>
      <c r="AV86" t="s">
        <v>101</v>
      </c>
      <c r="AW86">
        <v>1.17</v>
      </c>
      <c r="AX86" t="s">
        <v>103</v>
      </c>
      <c r="AY86">
        <v>3.2</v>
      </c>
      <c r="AZ86" t="s">
        <v>104</v>
      </c>
      <c r="BA86">
        <v>2</v>
      </c>
      <c r="BB86" t="s">
        <v>105</v>
      </c>
    </row>
    <row r="87" spans="1:54" hidden="1" x14ac:dyDescent="0.3">
      <c r="A87" t="s">
        <v>221</v>
      </c>
      <c r="B87" t="s">
        <v>201</v>
      </c>
      <c r="C87" s="46">
        <v>45741.75</v>
      </c>
      <c r="D87" t="s">
        <v>32</v>
      </c>
      <c r="F87" t="s">
        <v>33</v>
      </c>
      <c r="H87" t="s">
        <v>82</v>
      </c>
      <c r="I87">
        <v>10.457100000000001</v>
      </c>
      <c r="J87" t="s">
        <v>83</v>
      </c>
      <c r="K87">
        <v>1061.9000000000001</v>
      </c>
      <c r="L87" t="s">
        <v>84</v>
      </c>
      <c r="M87">
        <v>15.5</v>
      </c>
      <c r="N87" t="s">
        <v>85</v>
      </c>
      <c r="O87">
        <v>11.29</v>
      </c>
      <c r="P87" t="s">
        <v>86</v>
      </c>
      <c r="Q87">
        <v>0.69</v>
      </c>
      <c r="R87" t="s">
        <v>87</v>
      </c>
      <c r="S87">
        <v>25.17</v>
      </c>
      <c r="T87" t="s">
        <v>88</v>
      </c>
      <c r="U87">
        <v>76.88</v>
      </c>
      <c r="V87" t="s">
        <v>89</v>
      </c>
      <c r="W87">
        <v>66.8</v>
      </c>
      <c r="X87" t="s">
        <v>90</v>
      </c>
      <c r="Y87">
        <v>2.52</v>
      </c>
      <c r="Z87" t="s">
        <v>91</v>
      </c>
      <c r="AA87" s="91">
        <f t="shared" si="1"/>
        <v>98.97999999999999</v>
      </c>
      <c r="AB87" t="s">
        <v>92</v>
      </c>
      <c r="AC87">
        <v>39</v>
      </c>
      <c r="AD87" t="s">
        <v>93</v>
      </c>
      <c r="AE87">
        <v>67</v>
      </c>
      <c r="AF87" t="s">
        <v>95</v>
      </c>
      <c r="AG87">
        <v>18</v>
      </c>
      <c r="AH87" t="s">
        <v>100</v>
      </c>
      <c r="AI87">
        <v>3.06</v>
      </c>
      <c r="AJ87" t="s">
        <v>97</v>
      </c>
      <c r="AK87">
        <v>0.86960000000000004</v>
      </c>
      <c r="AL87" t="s">
        <v>98</v>
      </c>
      <c r="AM87">
        <v>0.1285</v>
      </c>
      <c r="AN87" s="201" t="s">
        <v>99</v>
      </c>
      <c r="AO87" s="201">
        <v>1.04</v>
      </c>
      <c r="AP87" t="s">
        <v>94</v>
      </c>
      <c r="AQ87">
        <v>0.27</v>
      </c>
      <c r="AR87" t="s">
        <v>180</v>
      </c>
      <c r="AT87" t="s">
        <v>102</v>
      </c>
      <c r="AU87">
        <v>369</v>
      </c>
      <c r="AV87" t="s">
        <v>101</v>
      </c>
      <c r="AW87">
        <v>3.22</v>
      </c>
      <c r="AX87" t="s">
        <v>103</v>
      </c>
      <c r="AY87">
        <v>2.8</v>
      </c>
      <c r="AZ87" t="s">
        <v>104</v>
      </c>
      <c r="BA87">
        <v>7</v>
      </c>
      <c r="BB87" t="s">
        <v>105</v>
      </c>
    </row>
    <row r="88" spans="1:54" hidden="1" x14ac:dyDescent="0.3">
      <c r="A88" t="s">
        <v>200</v>
      </c>
      <c r="B88" t="s">
        <v>201</v>
      </c>
      <c r="C88" s="46">
        <v>45741.770833333336</v>
      </c>
      <c r="D88" t="s">
        <v>32</v>
      </c>
      <c r="F88" t="s">
        <v>33</v>
      </c>
      <c r="H88" t="s">
        <v>82</v>
      </c>
      <c r="I88">
        <v>10.5922</v>
      </c>
      <c r="J88" t="s">
        <v>83</v>
      </c>
      <c r="K88">
        <v>1061.9000000000001</v>
      </c>
      <c r="L88" t="s">
        <v>84</v>
      </c>
      <c r="M88">
        <v>15.5</v>
      </c>
      <c r="N88" t="s">
        <v>85</v>
      </c>
      <c r="O88">
        <v>18.2</v>
      </c>
      <c r="P88" t="s">
        <v>86</v>
      </c>
      <c r="Q88">
        <v>7.83</v>
      </c>
      <c r="R88" t="s">
        <v>87</v>
      </c>
      <c r="S88">
        <v>23.63</v>
      </c>
      <c r="T88" t="s">
        <v>88</v>
      </c>
      <c r="V88" t="s">
        <v>89</v>
      </c>
      <c r="X88" t="s">
        <v>90</v>
      </c>
      <c r="Z88" t="s">
        <v>91</v>
      </c>
      <c r="AA88" s="91"/>
      <c r="AB88" t="s">
        <v>92</v>
      </c>
      <c r="AD88" t="s">
        <v>93</v>
      </c>
      <c r="AF88" t="s">
        <v>95</v>
      </c>
      <c r="AH88" t="s">
        <v>94</v>
      </c>
      <c r="AJ88" t="s">
        <v>97</v>
      </c>
      <c r="AK88">
        <v>1.0068999999999999</v>
      </c>
      <c r="AL88" t="s">
        <v>98</v>
      </c>
      <c r="AM88">
        <v>0.16600000000000001</v>
      </c>
      <c r="AN88" s="203" t="s">
        <v>99</v>
      </c>
      <c r="AO88" s="204">
        <v>1.04</v>
      </c>
      <c r="AP88" t="s">
        <v>94</v>
      </c>
      <c r="AR88" t="s">
        <v>180</v>
      </c>
      <c r="AT88" t="s">
        <v>102</v>
      </c>
      <c r="AV88" t="s">
        <v>101</v>
      </c>
      <c r="AX88" t="s">
        <v>103</v>
      </c>
      <c r="AZ88" t="s">
        <v>104</v>
      </c>
      <c r="BB88" t="s">
        <v>105</v>
      </c>
    </row>
    <row r="89" spans="1:54" hidden="1" x14ac:dyDescent="0.3">
      <c r="A89" s="75" t="s">
        <v>202</v>
      </c>
      <c r="B89" t="s">
        <v>201</v>
      </c>
      <c r="C89" s="46">
        <v>45742.375</v>
      </c>
      <c r="D89" t="s">
        <v>32</v>
      </c>
      <c r="F89" t="s">
        <v>33</v>
      </c>
      <c r="H89" t="s">
        <v>82</v>
      </c>
      <c r="I89">
        <v>10.364800000000001</v>
      </c>
      <c r="J89" t="s">
        <v>83</v>
      </c>
      <c r="K89">
        <v>1059.7</v>
      </c>
      <c r="L89" t="s">
        <v>84</v>
      </c>
      <c r="M89">
        <v>15.1</v>
      </c>
      <c r="N89" t="s">
        <v>85</v>
      </c>
      <c r="O89">
        <v>25.12</v>
      </c>
      <c r="P89" t="s">
        <v>86</v>
      </c>
      <c r="Q89">
        <v>14.52</v>
      </c>
      <c r="R89" t="s">
        <v>87</v>
      </c>
      <c r="S89">
        <v>18.04</v>
      </c>
      <c r="T89" t="s">
        <v>88</v>
      </c>
      <c r="U89">
        <v>72.98</v>
      </c>
      <c r="V89" t="s">
        <v>89</v>
      </c>
      <c r="W89">
        <v>63.28</v>
      </c>
      <c r="X89" t="s">
        <v>90</v>
      </c>
      <c r="Y89">
        <v>2.88</v>
      </c>
      <c r="Z89" t="s">
        <v>91</v>
      </c>
      <c r="AA89" s="91">
        <f t="shared" si="1"/>
        <v>92.7</v>
      </c>
      <c r="AB89" t="s">
        <v>92</v>
      </c>
      <c r="AC89">
        <v>35</v>
      </c>
      <c r="AD89" t="s">
        <v>93</v>
      </c>
      <c r="AE89">
        <v>64</v>
      </c>
      <c r="AF89" t="s">
        <v>95</v>
      </c>
      <c r="AG89">
        <v>28</v>
      </c>
      <c r="AH89" t="s">
        <v>100</v>
      </c>
      <c r="AI89">
        <v>3.02</v>
      </c>
      <c r="AJ89" t="s">
        <v>97</v>
      </c>
      <c r="AK89">
        <v>0.85319999999999996</v>
      </c>
      <c r="AL89" t="s">
        <v>98</v>
      </c>
      <c r="AM89">
        <v>0.15049999999999999</v>
      </c>
      <c r="AN89" s="203" t="s">
        <v>99</v>
      </c>
      <c r="AO89" s="204">
        <v>1.3800191071658661</v>
      </c>
      <c r="AP89" t="s">
        <v>94</v>
      </c>
      <c r="AR89" s="73" t="s">
        <v>180</v>
      </c>
      <c r="AS89" s="73">
        <v>177</v>
      </c>
      <c r="AT89" t="s">
        <v>102</v>
      </c>
      <c r="AV89" t="s">
        <v>101</v>
      </c>
      <c r="AX89" t="s">
        <v>103</v>
      </c>
      <c r="AZ89" t="s">
        <v>104</v>
      </c>
      <c r="BB89" t="s">
        <v>105</v>
      </c>
    </row>
    <row r="90" spans="1:54" hidden="1" x14ac:dyDescent="0.3">
      <c r="A90" s="75" t="s">
        <v>212</v>
      </c>
      <c r="B90" t="s">
        <v>201</v>
      </c>
      <c r="C90" s="46">
        <v>45742.625</v>
      </c>
      <c r="D90" t="s">
        <v>32</v>
      </c>
      <c r="F90" t="s">
        <v>33</v>
      </c>
      <c r="H90" t="s">
        <v>82</v>
      </c>
      <c r="J90" t="s">
        <v>83</v>
      </c>
      <c r="K90">
        <v>1056.0999999999999</v>
      </c>
      <c r="L90" t="s">
        <v>84</v>
      </c>
      <c r="M90">
        <v>14.7</v>
      </c>
      <c r="N90" t="s">
        <v>85</v>
      </c>
      <c r="O90">
        <v>24.58</v>
      </c>
      <c r="P90" t="s">
        <v>86</v>
      </c>
      <c r="Q90">
        <v>16.28</v>
      </c>
      <c r="R90" t="s">
        <v>87</v>
      </c>
      <c r="S90">
        <v>24.06</v>
      </c>
      <c r="T90" s="73" t="s">
        <v>88</v>
      </c>
      <c r="U90" s="73">
        <f>95.17-W90</f>
        <v>49.52</v>
      </c>
      <c r="V90" s="73" t="s">
        <v>89</v>
      </c>
      <c r="W90" s="73">
        <v>45.65</v>
      </c>
      <c r="X90" t="s">
        <v>90</v>
      </c>
      <c r="Y90">
        <v>2.71</v>
      </c>
      <c r="Z90" t="s">
        <v>91</v>
      </c>
      <c r="AA90" s="91">
        <f t="shared" si="1"/>
        <v>82.96</v>
      </c>
      <c r="AB90" t="s">
        <v>92</v>
      </c>
      <c r="AC90">
        <v>28</v>
      </c>
      <c r="AD90" t="s">
        <v>93</v>
      </c>
      <c r="AE90">
        <v>60</v>
      </c>
      <c r="AF90" t="s">
        <v>95</v>
      </c>
      <c r="AG90">
        <v>43</v>
      </c>
      <c r="AH90" t="s">
        <v>100</v>
      </c>
      <c r="AI90">
        <v>2.96</v>
      </c>
      <c r="AJ90" t="s">
        <v>97</v>
      </c>
      <c r="AK90">
        <v>11.0016</v>
      </c>
      <c r="AL90" t="s">
        <v>98</v>
      </c>
      <c r="AN90" s="203" t="s">
        <v>99</v>
      </c>
      <c r="AO90" s="204">
        <v>1.9391262914118959</v>
      </c>
      <c r="AP90" t="s">
        <v>94</v>
      </c>
      <c r="AR90" t="s">
        <v>180</v>
      </c>
      <c r="AS90">
        <v>156</v>
      </c>
      <c r="AT90" t="s">
        <v>102</v>
      </c>
      <c r="AV90" t="s">
        <v>101</v>
      </c>
      <c r="AX90" t="s">
        <v>103</v>
      </c>
      <c r="AZ90" t="s">
        <v>104</v>
      </c>
      <c r="BB90" t="s">
        <v>105</v>
      </c>
    </row>
    <row r="91" spans="1:54" hidden="1" x14ac:dyDescent="0.3">
      <c r="A91" s="75" t="s">
        <v>213</v>
      </c>
      <c r="B91" t="s">
        <v>201</v>
      </c>
      <c r="C91" s="46">
        <v>45742.75</v>
      </c>
      <c r="D91" t="s">
        <v>32</v>
      </c>
      <c r="F91" t="s">
        <v>33</v>
      </c>
      <c r="H91" t="s">
        <v>82</v>
      </c>
      <c r="I91">
        <v>10.3079</v>
      </c>
      <c r="J91" t="s">
        <v>83</v>
      </c>
      <c r="K91">
        <v>1056.0999999999999</v>
      </c>
      <c r="L91" t="s">
        <v>84</v>
      </c>
      <c r="M91">
        <v>14.4</v>
      </c>
      <c r="N91" t="s">
        <v>85</v>
      </c>
      <c r="O91">
        <v>34.479999999999997</v>
      </c>
      <c r="P91" t="s">
        <v>86</v>
      </c>
      <c r="Q91">
        <v>24.27</v>
      </c>
      <c r="R91" t="s">
        <v>87</v>
      </c>
      <c r="S91">
        <v>22.95</v>
      </c>
      <c r="T91" t="s">
        <v>88</v>
      </c>
      <c r="U91">
        <v>71.269000000000005</v>
      </c>
      <c r="V91" t="s">
        <v>89</v>
      </c>
      <c r="W91">
        <v>61.23</v>
      </c>
      <c r="X91" t="s">
        <v>90</v>
      </c>
      <c r="Y91">
        <v>2.62</v>
      </c>
      <c r="Z91" t="s">
        <v>91</v>
      </c>
      <c r="AA91" s="91">
        <f t="shared" si="1"/>
        <v>74.680000000000007</v>
      </c>
      <c r="AB91" t="s">
        <v>92</v>
      </c>
      <c r="AC91">
        <v>24</v>
      </c>
      <c r="AD91" t="s">
        <v>93</v>
      </c>
      <c r="AE91">
        <v>55</v>
      </c>
      <c r="AF91" t="s">
        <v>95</v>
      </c>
      <c r="AG91">
        <v>46</v>
      </c>
      <c r="AH91" t="s">
        <v>100</v>
      </c>
      <c r="AI91">
        <v>2.89</v>
      </c>
      <c r="AJ91" t="s">
        <v>97</v>
      </c>
      <c r="AK91">
        <v>0.33889999999999998</v>
      </c>
      <c r="AL91" t="s">
        <v>98</v>
      </c>
      <c r="AM91">
        <v>3.3300000000000003E-2</v>
      </c>
      <c r="AN91" s="203" t="s">
        <v>99</v>
      </c>
      <c r="AO91" s="204">
        <v>1.9391262914118959</v>
      </c>
      <c r="AP91" t="s">
        <v>94</v>
      </c>
      <c r="AR91" t="s">
        <v>180</v>
      </c>
      <c r="AS91">
        <v>175</v>
      </c>
      <c r="AT91" t="s">
        <v>102</v>
      </c>
      <c r="AV91" t="s">
        <v>101</v>
      </c>
      <c r="AX91" t="s">
        <v>103</v>
      </c>
      <c r="AZ91" t="s">
        <v>104</v>
      </c>
      <c r="BB91" t="s">
        <v>105</v>
      </c>
    </row>
    <row r="92" spans="1:54" hidden="1" x14ac:dyDescent="0.3">
      <c r="A92" s="75" t="s">
        <v>214</v>
      </c>
      <c r="B92" t="s">
        <v>201</v>
      </c>
      <c r="C92" s="46">
        <v>45743.416666666664</v>
      </c>
      <c r="D92" t="s">
        <v>32</v>
      </c>
      <c r="F92" t="s">
        <v>33</v>
      </c>
      <c r="H92" t="s">
        <v>82</v>
      </c>
      <c r="I92">
        <v>10.5518</v>
      </c>
      <c r="J92" t="s">
        <v>83</v>
      </c>
      <c r="K92">
        <v>1051.9000000000001</v>
      </c>
      <c r="L92" t="s">
        <v>84</v>
      </c>
      <c r="M92">
        <v>13.3</v>
      </c>
      <c r="N92" t="s">
        <v>85</v>
      </c>
      <c r="O92">
        <v>28.65</v>
      </c>
      <c r="P92" t="s">
        <v>86</v>
      </c>
      <c r="Q92">
        <v>25.42</v>
      </c>
      <c r="R92" t="s">
        <v>87</v>
      </c>
      <c r="S92">
        <v>30.83</v>
      </c>
      <c r="T92" t="s">
        <v>88</v>
      </c>
      <c r="U92">
        <v>68.260000000000005</v>
      </c>
      <c r="V92" t="s">
        <v>89</v>
      </c>
      <c r="W92">
        <v>53.09</v>
      </c>
      <c r="X92" t="s">
        <v>90</v>
      </c>
      <c r="Y92">
        <v>3.34</v>
      </c>
      <c r="Z92" t="s">
        <v>91</v>
      </c>
      <c r="AA92" s="91">
        <f t="shared" si="1"/>
        <v>35.46</v>
      </c>
      <c r="AB92" t="s">
        <v>92</v>
      </c>
      <c r="AC92">
        <v>3</v>
      </c>
      <c r="AD92" t="s">
        <v>93</v>
      </c>
      <c r="AE92">
        <v>33</v>
      </c>
      <c r="AF92" t="s">
        <v>95</v>
      </c>
      <c r="AG92">
        <v>61</v>
      </c>
      <c r="AH92" t="s">
        <v>100</v>
      </c>
      <c r="AI92">
        <v>2.94</v>
      </c>
      <c r="AJ92" t="s">
        <v>97</v>
      </c>
      <c r="AK92">
        <v>0.49380000000000002</v>
      </c>
      <c r="AL92" t="s">
        <v>98</v>
      </c>
      <c r="AM92">
        <v>5.45E-2</v>
      </c>
      <c r="AN92" s="203" t="s">
        <v>99</v>
      </c>
      <c r="AO92" s="204">
        <v>2.5957131222624268</v>
      </c>
      <c r="AP92" t="s">
        <v>94</v>
      </c>
      <c r="AR92" s="73" t="s">
        <v>180</v>
      </c>
      <c r="AS92" s="73">
        <v>209</v>
      </c>
      <c r="AT92" t="s">
        <v>102</v>
      </c>
      <c r="AV92" t="s">
        <v>101</v>
      </c>
      <c r="AX92" t="s">
        <v>103</v>
      </c>
      <c r="AZ92" t="s">
        <v>104</v>
      </c>
      <c r="BB92" t="s">
        <v>105</v>
      </c>
    </row>
    <row r="93" spans="1:54" hidden="1" x14ac:dyDescent="0.3">
      <c r="A93" s="75" t="s">
        <v>215</v>
      </c>
      <c r="B93" t="s">
        <v>201</v>
      </c>
      <c r="C93" s="46">
        <v>45743.604166666664</v>
      </c>
      <c r="D93" t="s">
        <v>32</v>
      </c>
      <c r="F93" t="s">
        <v>33</v>
      </c>
      <c r="H93" t="s">
        <v>82</v>
      </c>
      <c r="I93">
        <v>10.549200000000001</v>
      </c>
      <c r="J93" t="s">
        <v>83</v>
      </c>
      <c r="K93">
        <v>1048.5999999999999</v>
      </c>
      <c r="L93" t="s">
        <v>84</v>
      </c>
      <c r="M93">
        <v>12.8</v>
      </c>
      <c r="N93" t="s">
        <v>85</v>
      </c>
      <c r="O93">
        <v>35.869999999999997</v>
      </c>
      <c r="P93" t="s">
        <v>86</v>
      </c>
      <c r="Q93">
        <v>30.41</v>
      </c>
      <c r="R93" t="s">
        <v>87</v>
      </c>
      <c r="S93">
        <v>30.84</v>
      </c>
      <c r="T93" t="s">
        <v>88</v>
      </c>
      <c r="U93">
        <v>58.53</v>
      </c>
      <c r="V93" t="s">
        <v>89</v>
      </c>
      <c r="W93">
        <v>54.71</v>
      </c>
      <c r="X93" t="s">
        <v>90</v>
      </c>
      <c r="Y93">
        <v>3.33</v>
      </c>
      <c r="Z93" t="s">
        <v>91</v>
      </c>
      <c r="AA93" s="91">
        <f t="shared" si="1"/>
        <v>26</v>
      </c>
      <c r="AB93" t="s">
        <v>92</v>
      </c>
      <c r="AC93">
        <v>0</v>
      </c>
      <c r="AD93" t="s">
        <v>93</v>
      </c>
      <c r="AE93">
        <v>26</v>
      </c>
      <c r="AF93" t="s">
        <v>95</v>
      </c>
      <c r="AG93">
        <v>72</v>
      </c>
      <c r="AH93" t="s">
        <v>100</v>
      </c>
      <c r="AI93">
        <v>2.88</v>
      </c>
      <c r="AJ93" t="s">
        <v>97</v>
      </c>
      <c r="AK93">
        <v>0.51480000000000004</v>
      </c>
      <c r="AL93" t="s">
        <v>98</v>
      </c>
      <c r="AM93">
        <v>6.9000000000000006E-2</v>
      </c>
      <c r="AN93" s="203" t="s">
        <v>99</v>
      </c>
      <c r="AO93" s="204">
        <v>3.1148809532399939</v>
      </c>
      <c r="AP93" t="s">
        <v>94</v>
      </c>
      <c r="AR93" t="s">
        <v>180</v>
      </c>
      <c r="AS93">
        <v>206</v>
      </c>
      <c r="AT93" t="s">
        <v>102</v>
      </c>
      <c r="AV93" t="s">
        <v>101</v>
      </c>
      <c r="AX93" t="s">
        <v>103</v>
      </c>
      <c r="AZ93" t="s">
        <v>104</v>
      </c>
      <c r="BB93" t="s">
        <v>105</v>
      </c>
    </row>
    <row r="94" spans="1:54" hidden="1" x14ac:dyDescent="0.3">
      <c r="A94" t="s">
        <v>216</v>
      </c>
      <c r="B94" t="s">
        <v>201</v>
      </c>
      <c r="C94" s="46">
        <v>45743.694444444445</v>
      </c>
      <c r="D94" t="s">
        <v>32</v>
      </c>
      <c r="F94" t="s">
        <v>33</v>
      </c>
      <c r="H94" t="s">
        <v>82</v>
      </c>
      <c r="I94">
        <v>10.537000000000001</v>
      </c>
      <c r="J94" t="s">
        <v>83</v>
      </c>
      <c r="K94">
        <v>1047.9000000000001</v>
      </c>
      <c r="L94" t="s">
        <v>84</v>
      </c>
      <c r="M94">
        <v>12.6</v>
      </c>
      <c r="N94" t="s">
        <v>85</v>
      </c>
      <c r="O94">
        <v>26.11</v>
      </c>
      <c r="P94" t="s">
        <v>86</v>
      </c>
      <c r="Q94">
        <v>22.96</v>
      </c>
      <c r="R94" t="s">
        <v>87</v>
      </c>
      <c r="S94">
        <v>24.71</v>
      </c>
      <c r="T94" t="s">
        <v>88</v>
      </c>
      <c r="U94">
        <v>62.63</v>
      </c>
      <c r="V94" t="s">
        <v>89</v>
      </c>
      <c r="W94">
        <v>47.64</v>
      </c>
      <c r="X94" t="s">
        <v>90</v>
      </c>
      <c r="Y94">
        <v>3.32</v>
      </c>
      <c r="Z94" t="s">
        <v>91</v>
      </c>
      <c r="AA94" s="91">
        <f t="shared" si="1"/>
        <v>75.539999999999992</v>
      </c>
      <c r="AB94" t="s">
        <v>92</v>
      </c>
      <c r="AC94">
        <v>47</v>
      </c>
      <c r="AD94" t="s">
        <v>93</v>
      </c>
      <c r="AE94">
        <v>37</v>
      </c>
      <c r="AF94" t="s">
        <v>95</v>
      </c>
      <c r="AG94">
        <v>70</v>
      </c>
      <c r="AH94" t="s">
        <v>100</v>
      </c>
      <c r="AI94">
        <v>2.84</v>
      </c>
      <c r="AJ94" t="s">
        <v>97</v>
      </c>
      <c r="AK94">
        <v>0.44130000000000003</v>
      </c>
      <c r="AL94" t="s">
        <v>98</v>
      </c>
      <c r="AM94">
        <v>3.4299999999999997E-2</v>
      </c>
      <c r="AN94" s="203" t="s">
        <v>99</v>
      </c>
      <c r="AO94" s="204">
        <v>3.2253811056001784</v>
      </c>
      <c r="AP94" t="s">
        <v>94</v>
      </c>
      <c r="AR94" t="s">
        <v>180</v>
      </c>
      <c r="AS94">
        <v>210</v>
      </c>
      <c r="AT94" t="s">
        <v>102</v>
      </c>
      <c r="AV94" t="s">
        <v>101</v>
      </c>
      <c r="AX94" t="s">
        <v>103</v>
      </c>
      <c r="AZ94" t="s">
        <v>104</v>
      </c>
      <c r="BB94" t="s">
        <v>105</v>
      </c>
    </row>
    <row r="95" spans="1:54" hidden="1" x14ac:dyDescent="0.3">
      <c r="A95" s="75" t="s">
        <v>217</v>
      </c>
      <c r="B95" t="s">
        <v>201</v>
      </c>
      <c r="C95" s="46">
        <v>45744.416666666664</v>
      </c>
      <c r="D95" t="s">
        <v>32</v>
      </c>
      <c r="E95">
        <v>35.799999999999997</v>
      </c>
      <c r="F95" t="s">
        <v>33</v>
      </c>
      <c r="G95">
        <v>15.4</v>
      </c>
      <c r="H95" t="s">
        <v>82</v>
      </c>
      <c r="I95">
        <v>10.4246</v>
      </c>
      <c r="J95" t="s">
        <v>83</v>
      </c>
      <c r="K95">
        <v>1036.7</v>
      </c>
      <c r="L95" t="s">
        <v>84</v>
      </c>
      <c r="M95">
        <v>9.6999999999999993</v>
      </c>
      <c r="N95" t="s">
        <v>85</v>
      </c>
      <c r="O95">
        <v>49.62</v>
      </c>
      <c r="P95" t="s">
        <v>86</v>
      </c>
      <c r="Q95">
        <v>46.85</v>
      </c>
      <c r="R95" t="s">
        <v>87</v>
      </c>
      <c r="S95">
        <v>25.08</v>
      </c>
      <c r="T95" t="s">
        <v>88</v>
      </c>
      <c r="U95">
        <v>54.83</v>
      </c>
      <c r="V95" t="s">
        <v>89</v>
      </c>
      <c r="W95">
        <v>31.34</v>
      </c>
      <c r="X95" t="s">
        <v>90</v>
      </c>
      <c r="Y95">
        <v>4.68</v>
      </c>
      <c r="Z95" t="s">
        <v>91</v>
      </c>
      <c r="AA95" s="91">
        <f t="shared" si="1"/>
        <v>25.46</v>
      </c>
      <c r="AB95" t="s">
        <v>92</v>
      </c>
      <c r="AC95">
        <v>3</v>
      </c>
      <c r="AD95" t="s">
        <v>93</v>
      </c>
      <c r="AE95">
        <v>23</v>
      </c>
      <c r="AF95" t="s">
        <v>95</v>
      </c>
      <c r="AG95">
        <v>74</v>
      </c>
      <c r="AH95" t="s">
        <v>100</v>
      </c>
      <c r="AI95">
        <v>2.64</v>
      </c>
      <c r="AJ95" t="s">
        <v>97</v>
      </c>
      <c r="AK95">
        <v>0.77890000000000004</v>
      </c>
      <c r="AL95" t="s">
        <v>98</v>
      </c>
      <c r="AM95">
        <v>0.17100000000000001</v>
      </c>
      <c r="AN95" s="203" t="s">
        <v>99</v>
      </c>
      <c r="AO95" s="204">
        <v>5.0114140671214109</v>
      </c>
      <c r="AP95" t="s">
        <v>94</v>
      </c>
      <c r="AR95" t="s">
        <v>180</v>
      </c>
      <c r="AS95">
        <v>200</v>
      </c>
      <c r="AT95" t="s">
        <v>102</v>
      </c>
      <c r="AV95" t="s">
        <v>101</v>
      </c>
      <c r="AX95" t="s">
        <v>103</v>
      </c>
      <c r="AZ95" t="s">
        <v>104</v>
      </c>
      <c r="BB95" t="s">
        <v>105</v>
      </c>
    </row>
    <row r="96" spans="1:54" hidden="1" x14ac:dyDescent="0.3">
      <c r="A96" t="s">
        <v>218</v>
      </c>
      <c r="B96" t="s">
        <v>201</v>
      </c>
      <c r="C96" s="76">
        <v>45744.604166666664</v>
      </c>
      <c r="D96" t="s">
        <v>32</v>
      </c>
      <c r="F96" t="s">
        <v>33</v>
      </c>
      <c r="H96" t="s">
        <v>82</v>
      </c>
      <c r="I96">
        <v>10.576700000000001</v>
      </c>
      <c r="J96" t="s">
        <v>83</v>
      </c>
      <c r="K96">
        <v>1031.8</v>
      </c>
      <c r="L96" t="s">
        <v>84</v>
      </c>
      <c r="M96">
        <v>8.6</v>
      </c>
      <c r="N96" t="s">
        <v>85</v>
      </c>
      <c r="O96">
        <v>70.28</v>
      </c>
      <c r="P96" t="s">
        <v>86</v>
      </c>
      <c r="Q96">
        <v>61.98</v>
      </c>
      <c r="R96" t="s">
        <v>87</v>
      </c>
      <c r="S96">
        <v>23.93</v>
      </c>
      <c r="T96" t="s">
        <v>88</v>
      </c>
      <c r="U96">
        <v>51.82</v>
      </c>
      <c r="V96" t="s">
        <v>89</v>
      </c>
      <c r="W96">
        <v>26.71</v>
      </c>
      <c r="X96" t="s">
        <v>90</v>
      </c>
      <c r="Y96">
        <v>5.2</v>
      </c>
      <c r="Z96" t="s">
        <v>91</v>
      </c>
      <c r="AA96" s="91">
        <f t="shared" si="1"/>
        <v>18.28</v>
      </c>
      <c r="AB96" t="s">
        <v>92</v>
      </c>
      <c r="AC96">
        <v>4</v>
      </c>
      <c r="AD96" t="s">
        <v>93</v>
      </c>
      <c r="AE96">
        <v>15</v>
      </c>
      <c r="AF96" t="s">
        <v>95</v>
      </c>
      <c r="AG96">
        <v>77</v>
      </c>
      <c r="AH96" t="s">
        <v>100</v>
      </c>
      <c r="AI96">
        <v>2.66</v>
      </c>
      <c r="AJ96" t="s">
        <v>97</v>
      </c>
      <c r="AK96">
        <v>1.5047999999999999</v>
      </c>
      <c r="AL96" t="s">
        <v>98</v>
      </c>
      <c r="AM96">
        <v>0.16520000000000001</v>
      </c>
      <c r="AN96" s="203" t="s">
        <v>99</v>
      </c>
      <c r="AO96" s="204">
        <v>5.8036363344199504</v>
      </c>
      <c r="AP96" t="s">
        <v>94</v>
      </c>
      <c r="AR96" t="s">
        <v>180</v>
      </c>
      <c r="AS96">
        <v>208</v>
      </c>
      <c r="AT96" t="s">
        <v>102</v>
      </c>
      <c r="AV96" t="s">
        <v>101</v>
      </c>
      <c r="AX96" t="s">
        <v>103</v>
      </c>
      <c r="AZ96" t="s">
        <v>104</v>
      </c>
      <c r="BB96" t="s">
        <v>105</v>
      </c>
    </row>
    <row r="97" spans="1:54" hidden="1" x14ac:dyDescent="0.3">
      <c r="A97" t="s">
        <v>219</v>
      </c>
      <c r="B97" t="s">
        <v>201</v>
      </c>
      <c r="C97" s="76">
        <v>45745.5</v>
      </c>
      <c r="D97" t="s">
        <v>32</v>
      </c>
      <c r="E97">
        <v>30</v>
      </c>
      <c r="F97" t="s">
        <v>33</v>
      </c>
      <c r="G97">
        <v>14.9</v>
      </c>
      <c r="H97" t="s">
        <v>82</v>
      </c>
      <c r="I97">
        <v>10.5153</v>
      </c>
      <c r="J97" t="s">
        <v>83</v>
      </c>
      <c r="K97">
        <v>1022.8</v>
      </c>
      <c r="L97" t="s">
        <v>84</v>
      </c>
      <c r="M97">
        <v>6.2</v>
      </c>
      <c r="N97" t="s">
        <v>85</v>
      </c>
      <c r="O97">
        <v>69.66</v>
      </c>
      <c r="P97" t="s">
        <v>86</v>
      </c>
      <c r="Q97">
        <v>56.76</v>
      </c>
      <c r="R97" t="s">
        <v>87</v>
      </c>
      <c r="S97">
        <v>14.11</v>
      </c>
      <c r="T97" t="s">
        <v>88</v>
      </c>
      <c r="U97">
        <v>44.61</v>
      </c>
      <c r="V97" t="s">
        <v>89</v>
      </c>
      <c r="W97">
        <v>16.14</v>
      </c>
      <c r="X97" t="s">
        <v>90</v>
      </c>
      <c r="Y97">
        <v>5.58</v>
      </c>
      <c r="Z97" t="s">
        <v>91</v>
      </c>
      <c r="AA97" s="91">
        <f t="shared" si="1"/>
        <v>10</v>
      </c>
      <c r="AB97" t="s">
        <v>92</v>
      </c>
      <c r="AC97">
        <v>0</v>
      </c>
      <c r="AD97" t="s">
        <v>93</v>
      </c>
      <c r="AE97">
        <v>10</v>
      </c>
      <c r="AF97" t="s">
        <v>95</v>
      </c>
      <c r="AG97">
        <v>70</v>
      </c>
      <c r="AH97" t="s">
        <v>100</v>
      </c>
      <c r="AI97">
        <v>2.6</v>
      </c>
      <c r="AJ97" t="s">
        <v>97</v>
      </c>
      <c r="AK97">
        <v>1.3517999999999999</v>
      </c>
      <c r="AL97" t="s">
        <v>98</v>
      </c>
      <c r="AM97">
        <v>0.2329</v>
      </c>
      <c r="AN97" s="203" t="s">
        <v>99</v>
      </c>
      <c r="AO97" s="204">
        <v>7.2762966106229712</v>
      </c>
      <c r="AP97" t="s">
        <v>94</v>
      </c>
      <c r="AR97" t="s">
        <v>180</v>
      </c>
      <c r="AS97">
        <v>193</v>
      </c>
      <c r="AT97" t="s">
        <v>102</v>
      </c>
      <c r="AV97" t="s">
        <v>101</v>
      </c>
      <c r="AX97" t="s">
        <v>103</v>
      </c>
      <c r="AZ97" t="s">
        <v>104</v>
      </c>
      <c r="BB97" t="s">
        <v>105</v>
      </c>
    </row>
    <row r="98" spans="1:54" hidden="1" x14ac:dyDescent="0.3">
      <c r="A98" t="s">
        <v>203</v>
      </c>
      <c r="B98" t="s">
        <v>201</v>
      </c>
      <c r="C98" s="76">
        <v>45746.6875</v>
      </c>
      <c r="D98" t="s">
        <v>32</v>
      </c>
      <c r="F98" t="s">
        <v>33</v>
      </c>
      <c r="H98" t="s">
        <v>82</v>
      </c>
      <c r="I98">
        <v>10.275</v>
      </c>
      <c r="J98" t="s">
        <v>83</v>
      </c>
      <c r="K98">
        <v>1011.7</v>
      </c>
      <c r="L98" t="s">
        <v>84</v>
      </c>
      <c r="M98">
        <v>3.5</v>
      </c>
      <c r="N98" t="s">
        <v>85</v>
      </c>
      <c r="O98">
        <v>74.650000000000006</v>
      </c>
      <c r="P98" t="s">
        <v>86</v>
      </c>
      <c r="Q98">
        <v>63.44</v>
      </c>
      <c r="R98" t="s">
        <v>87</v>
      </c>
      <c r="S98">
        <v>14.61</v>
      </c>
      <c r="T98" t="s">
        <v>88</v>
      </c>
      <c r="U98">
        <v>31.15</v>
      </c>
      <c r="V98" t="s">
        <v>89</v>
      </c>
      <c r="W98">
        <v>7.25</v>
      </c>
      <c r="X98" t="s">
        <v>90</v>
      </c>
      <c r="Y98">
        <v>6.41</v>
      </c>
      <c r="Z98" t="s">
        <v>91</v>
      </c>
      <c r="AA98" s="91">
        <f t="shared" si="1"/>
        <v>10</v>
      </c>
      <c r="AB98" t="s">
        <v>92</v>
      </c>
      <c r="AC98">
        <v>0</v>
      </c>
      <c r="AD98" t="s">
        <v>93</v>
      </c>
      <c r="AE98">
        <v>10</v>
      </c>
      <c r="AF98" t="s">
        <v>95</v>
      </c>
      <c r="AG98">
        <v>57</v>
      </c>
      <c r="AH98" t="s">
        <v>100</v>
      </c>
      <c r="AI98">
        <v>2.5299999999999998</v>
      </c>
      <c r="AJ98" t="s">
        <v>97</v>
      </c>
      <c r="AK98">
        <v>1.7995000000000001</v>
      </c>
      <c r="AL98" t="s">
        <v>98</v>
      </c>
      <c r="AM98">
        <v>0.28060000000000002</v>
      </c>
      <c r="AN98" s="203" t="s">
        <v>99</v>
      </c>
      <c r="AO98" s="204">
        <v>9.1245666693761969</v>
      </c>
      <c r="AP98" t="s">
        <v>94</v>
      </c>
      <c r="AR98" t="s">
        <v>180</v>
      </c>
      <c r="AS98">
        <v>189</v>
      </c>
      <c r="AT98" t="s">
        <v>102</v>
      </c>
      <c r="AV98" t="s">
        <v>101</v>
      </c>
      <c r="AX98" t="s">
        <v>103</v>
      </c>
      <c r="AZ98" t="s">
        <v>104</v>
      </c>
      <c r="BB98" t="s">
        <v>105</v>
      </c>
    </row>
    <row r="99" spans="1:54" hidden="1" x14ac:dyDescent="0.3">
      <c r="A99" t="s">
        <v>204</v>
      </c>
      <c r="B99" t="s">
        <v>201</v>
      </c>
      <c r="C99" s="76">
        <v>45747.416666666664</v>
      </c>
      <c r="D99" t="s">
        <v>32</v>
      </c>
      <c r="F99" t="s">
        <v>33</v>
      </c>
      <c r="H99" t="s">
        <v>82</v>
      </c>
      <c r="I99">
        <v>10.582700000000001</v>
      </c>
      <c r="J99" t="s">
        <v>83</v>
      </c>
      <c r="K99">
        <v>1006.8</v>
      </c>
      <c r="L99" t="s">
        <v>84</v>
      </c>
      <c r="M99">
        <v>2.2999999999999998</v>
      </c>
      <c r="N99" t="s">
        <v>85</v>
      </c>
      <c r="O99">
        <v>61.44</v>
      </c>
      <c r="P99" t="s">
        <v>86</v>
      </c>
      <c r="Q99">
        <v>58.45</v>
      </c>
      <c r="R99" t="s">
        <v>87</v>
      </c>
      <c r="S99">
        <v>14.25</v>
      </c>
      <c r="T99" t="s">
        <v>88</v>
      </c>
      <c r="U99">
        <v>28.74</v>
      </c>
      <c r="V99" t="s">
        <v>89</v>
      </c>
      <c r="W99">
        <v>4.6100000000000003</v>
      </c>
      <c r="X99" t="s">
        <v>90</v>
      </c>
      <c r="Y99">
        <v>6.35</v>
      </c>
      <c r="Z99" t="s">
        <v>91</v>
      </c>
      <c r="AA99" s="91">
        <f t="shared" si="1"/>
        <v>12.64</v>
      </c>
      <c r="AB99" t="s">
        <v>92</v>
      </c>
      <c r="AC99">
        <v>2</v>
      </c>
      <c r="AD99" t="s">
        <v>93</v>
      </c>
      <c r="AE99">
        <v>11</v>
      </c>
      <c r="AF99" t="s">
        <v>95</v>
      </c>
      <c r="AG99">
        <v>64</v>
      </c>
      <c r="AH99" t="s">
        <v>100</v>
      </c>
      <c r="AI99">
        <v>2.6</v>
      </c>
      <c r="AJ99" t="s">
        <v>97</v>
      </c>
      <c r="AK99">
        <v>0.90549999999999997</v>
      </c>
      <c r="AL99" t="s">
        <v>98</v>
      </c>
      <c r="AM99">
        <v>0.16930000000000001</v>
      </c>
      <c r="AN99" s="203" t="s">
        <v>99</v>
      </c>
      <c r="AO99" s="204">
        <v>9.9519476583746425</v>
      </c>
      <c r="AP99" t="s">
        <v>94</v>
      </c>
      <c r="AR99" t="s">
        <v>180</v>
      </c>
      <c r="AS99">
        <v>177</v>
      </c>
      <c r="AT99" t="s">
        <v>102</v>
      </c>
      <c r="AV99" t="s">
        <v>101</v>
      </c>
      <c r="AX99" t="s">
        <v>103</v>
      </c>
      <c r="AZ99" t="s">
        <v>104</v>
      </c>
      <c r="BB99" t="s">
        <v>105</v>
      </c>
    </row>
    <row r="100" spans="1:54" hidden="1" x14ac:dyDescent="0.3">
      <c r="A100" t="s">
        <v>205</v>
      </c>
      <c r="B100" t="s">
        <v>201</v>
      </c>
      <c r="C100" s="76">
        <v>45747.680555555555</v>
      </c>
      <c r="D100" t="s">
        <v>32</v>
      </c>
      <c r="E100">
        <v>35.4</v>
      </c>
      <c r="F100" t="s">
        <v>33</v>
      </c>
      <c r="G100">
        <v>21.2</v>
      </c>
      <c r="H100" t="s">
        <v>82</v>
      </c>
      <c r="I100">
        <v>10.385899999999999</v>
      </c>
      <c r="J100" t="s">
        <v>83</v>
      </c>
      <c r="K100">
        <v>1005.1</v>
      </c>
      <c r="L100" t="s">
        <v>84</v>
      </c>
      <c r="M100">
        <v>1.9</v>
      </c>
      <c r="N100" t="s">
        <v>85</v>
      </c>
      <c r="O100">
        <v>49.46</v>
      </c>
      <c r="P100" t="s">
        <v>86</v>
      </c>
      <c r="Q100">
        <v>46.77</v>
      </c>
      <c r="R100" t="s">
        <v>87</v>
      </c>
      <c r="S100">
        <v>16.3</v>
      </c>
      <c r="T100" t="s">
        <v>88</v>
      </c>
      <c r="U100">
        <v>25.03</v>
      </c>
      <c r="V100" t="s">
        <v>89</v>
      </c>
      <c r="W100">
        <v>3.6</v>
      </c>
      <c r="X100" t="s">
        <v>90</v>
      </c>
      <c r="Y100">
        <v>6.48</v>
      </c>
      <c r="Z100" t="s">
        <v>91</v>
      </c>
      <c r="AA100" s="91">
        <f t="shared" si="1"/>
        <v>13.28</v>
      </c>
      <c r="AB100" t="s">
        <v>92</v>
      </c>
      <c r="AC100">
        <v>4</v>
      </c>
      <c r="AD100" t="s">
        <v>93</v>
      </c>
      <c r="AE100">
        <v>10</v>
      </c>
      <c r="AF100" t="s">
        <v>95</v>
      </c>
      <c r="AG100">
        <v>61</v>
      </c>
      <c r="AH100" t="s">
        <v>100</v>
      </c>
      <c r="AI100">
        <v>2.74</v>
      </c>
      <c r="AJ100" t="s">
        <v>97</v>
      </c>
      <c r="AK100">
        <v>0.72089999999999999</v>
      </c>
      <c r="AL100" t="s">
        <v>98</v>
      </c>
      <c r="AM100">
        <v>8.9200000000000002E-2</v>
      </c>
      <c r="AN100" s="203" t="s">
        <v>99</v>
      </c>
      <c r="AO100" s="204">
        <v>10.240664876366566</v>
      </c>
      <c r="AP100" t="s">
        <v>94</v>
      </c>
      <c r="AR100" t="s">
        <v>180</v>
      </c>
      <c r="AS100">
        <v>185</v>
      </c>
      <c r="AT100" t="s">
        <v>102</v>
      </c>
      <c r="AV100" t="s">
        <v>101</v>
      </c>
      <c r="AX100" t="s">
        <v>103</v>
      </c>
      <c r="AZ100" t="s">
        <v>104</v>
      </c>
      <c r="BB100" t="s">
        <v>105</v>
      </c>
    </row>
    <row r="101" spans="1:54" hidden="1" x14ac:dyDescent="0.3">
      <c r="A101" t="s">
        <v>206</v>
      </c>
      <c r="B101" t="s">
        <v>201</v>
      </c>
      <c r="C101" s="76">
        <v>45748.375</v>
      </c>
      <c r="D101" t="s">
        <v>32</v>
      </c>
      <c r="F101" t="s">
        <v>33</v>
      </c>
      <c r="H101" t="s">
        <v>82</v>
      </c>
      <c r="I101">
        <v>10.729699999999999</v>
      </c>
      <c r="J101" t="s">
        <v>83</v>
      </c>
      <c r="K101">
        <v>1003.2</v>
      </c>
      <c r="L101" t="s">
        <v>84</v>
      </c>
      <c r="M101">
        <v>1.2</v>
      </c>
      <c r="N101" t="s">
        <v>85</v>
      </c>
      <c r="O101">
        <v>53.46</v>
      </c>
      <c r="P101" t="s">
        <v>86</v>
      </c>
      <c r="Q101">
        <v>50.46</v>
      </c>
      <c r="R101" t="s">
        <v>87</v>
      </c>
      <c r="S101">
        <v>18.25</v>
      </c>
      <c r="T101" t="s">
        <v>88</v>
      </c>
      <c r="U101">
        <v>20.079999999999998</v>
      </c>
      <c r="V101" t="s">
        <v>89</v>
      </c>
      <c r="W101">
        <v>2.1800000000000002</v>
      </c>
      <c r="X101" t="s">
        <v>90</v>
      </c>
      <c r="Y101">
        <v>6.38</v>
      </c>
      <c r="Z101" t="s">
        <v>91</v>
      </c>
      <c r="AA101" s="91">
        <f t="shared" si="1"/>
        <v>16.920000000000002</v>
      </c>
      <c r="AB101" t="s">
        <v>92</v>
      </c>
      <c r="AC101">
        <v>6</v>
      </c>
      <c r="AD101" t="s">
        <v>93</v>
      </c>
      <c r="AE101">
        <v>12</v>
      </c>
      <c r="AF101" t="s">
        <v>95</v>
      </c>
      <c r="AG101">
        <v>52</v>
      </c>
      <c r="AH101" t="s">
        <v>100</v>
      </c>
      <c r="AI101">
        <v>2.7</v>
      </c>
      <c r="AJ101" t="s">
        <v>97</v>
      </c>
      <c r="AK101">
        <v>0.64159999999999995</v>
      </c>
      <c r="AL101" t="s">
        <v>98</v>
      </c>
      <c r="AM101">
        <v>-2.0999999999999999E-3</v>
      </c>
      <c r="AN101" s="203" t="s">
        <v>99</v>
      </c>
      <c r="AO101" s="204">
        <v>10.564371906116314</v>
      </c>
      <c r="AP101" t="s">
        <v>94</v>
      </c>
      <c r="AR101" t="s">
        <v>180</v>
      </c>
      <c r="AS101">
        <v>184</v>
      </c>
      <c r="AT101" t="s">
        <v>102</v>
      </c>
      <c r="AV101" t="s">
        <v>101</v>
      </c>
      <c r="AX101" t="s">
        <v>103</v>
      </c>
      <c r="AZ101" t="s">
        <v>104</v>
      </c>
      <c r="BB101" t="s">
        <v>105</v>
      </c>
    </row>
    <row r="102" spans="1:54" hidden="1" x14ac:dyDescent="0.3">
      <c r="A102" t="s">
        <v>207</v>
      </c>
      <c r="B102" t="s">
        <v>201</v>
      </c>
      <c r="C102" s="76">
        <v>45748.625</v>
      </c>
      <c r="D102" t="s">
        <v>32</v>
      </c>
      <c r="F102" t="s">
        <v>33</v>
      </c>
      <c r="H102" t="s">
        <v>82</v>
      </c>
      <c r="I102">
        <v>10.181100000000001</v>
      </c>
      <c r="J102" t="s">
        <v>83</v>
      </c>
      <c r="K102">
        <v>1001</v>
      </c>
      <c r="L102" t="s">
        <v>84</v>
      </c>
      <c r="M102">
        <v>0.9</v>
      </c>
      <c r="N102" t="s">
        <v>85</v>
      </c>
      <c r="O102">
        <v>43.55</v>
      </c>
      <c r="P102" t="s">
        <v>86</v>
      </c>
      <c r="Q102">
        <v>43.01</v>
      </c>
      <c r="R102" t="s">
        <v>87</v>
      </c>
      <c r="S102">
        <v>17.809999999999999</v>
      </c>
      <c r="T102" t="s">
        <v>88</v>
      </c>
      <c r="U102">
        <v>18.91</v>
      </c>
      <c r="V102" t="s">
        <v>89</v>
      </c>
      <c r="W102">
        <v>1.8</v>
      </c>
      <c r="X102" t="s">
        <v>90</v>
      </c>
      <c r="Y102">
        <v>6.41</v>
      </c>
      <c r="Z102" t="s">
        <v>91</v>
      </c>
      <c r="AA102" s="91">
        <f t="shared" si="1"/>
        <v>20.02</v>
      </c>
      <c r="AB102" t="s">
        <v>92</v>
      </c>
      <c r="AC102">
        <v>11</v>
      </c>
      <c r="AD102" t="s">
        <v>93</v>
      </c>
      <c r="AE102">
        <v>11</v>
      </c>
      <c r="AF102" t="s">
        <v>95</v>
      </c>
      <c r="AG102">
        <v>52</v>
      </c>
      <c r="AH102" t="s">
        <v>100</v>
      </c>
      <c r="AI102">
        <v>2.61</v>
      </c>
      <c r="AJ102" t="s">
        <v>97</v>
      </c>
      <c r="AK102">
        <v>0.88290000000000002</v>
      </c>
      <c r="AL102" t="s">
        <v>98</v>
      </c>
      <c r="AM102">
        <v>0.3795</v>
      </c>
      <c r="AN102" s="203" t="s">
        <v>99</v>
      </c>
      <c r="AO102" s="204">
        <v>10.940546052033621</v>
      </c>
      <c r="AP102" t="s">
        <v>94</v>
      </c>
      <c r="AR102" t="s">
        <v>180</v>
      </c>
      <c r="AS102">
        <v>188</v>
      </c>
      <c r="AT102" t="s">
        <v>102</v>
      </c>
      <c r="AV102" t="s">
        <v>101</v>
      </c>
      <c r="AX102" t="s">
        <v>103</v>
      </c>
      <c r="AZ102" t="s">
        <v>104</v>
      </c>
      <c r="BB102" t="s">
        <v>105</v>
      </c>
    </row>
    <row r="103" spans="1:54" hidden="1" x14ac:dyDescent="0.3">
      <c r="A103" t="s">
        <v>208</v>
      </c>
      <c r="B103" t="s">
        <v>201</v>
      </c>
      <c r="C103" s="76">
        <v>45749.395833333336</v>
      </c>
      <c r="D103" t="s">
        <v>32</v>
      </c>
      <c r="F103" t="s">
        <v>33</v>
      </c>
      <c r="H103" t="s">
        <v>82</v>
      </c>
      <c r="I103">
        <v>10.2752</v>
      </c>
      <c r="J103" t="s">
        <v>83</v>
      </c>
      <c r="K103">
        <v>999.8</v>
      </c>
      <c r="L103" t="s">
        <v>84</v>
      </c>
      <c r="M103">
        <v>0.4</v>
      </c>
      <c r="N103" t="s">
        <v>85</v>
      </c>
      <c r="O103">
        <v>63.36</v>
      </c>
      <c r="P103" t="s">
        <v>86</v>
      </c>
      <c r="Q103">
        <v>52.85</v>
      </c>
      <c r="R103" t="s">
        <v>87</v>
      </c>
      <c r="S103">
        <v>10.67</v>
      </c>
      <c r="T103" t="s">
        <v>88</v>
      </c>
      <c r="U103">
        <v>12.53</v>
      </c>
      <c r="V103" t="s">
        <v>89</v>
      </c>
      <c r="W103">
        <v>0.71</v>
      </c>
      <c r="X103" t="s">
        <v>90</v>
      </c>
      <c r="Y103">
        <v>6.52</v>
      </c>
      <c r="Z103" t="s">
        <v>91</v>
      </c>
      <c r="AA103" s="91">
        <f t="shared" si="1"/>
        <v>12.46</v>
      </c>
      <c r="AB103" t="s">
        <v>92</v>
      </c>
      <c r="AC103">
        <v>3</v>
      </c>
      <c r="AD103" t="s">
        <v>93</v>
      </c>
      <c r="AE103">
        <v>10</v>
      </c>
      <c r="AF103" t="s">
        <v>95</v>
      </c>
      <c r="AG103">
        <v>49</v>
      </c>
      <c r="AH103" t="s">
        <v>100</v>
      </c>
      <c r="AI103">
        <v>2.69</v>
      </c>
      <c r="AJ103" t="s">
        <v>97</v>
      </c>
      <c r="AK103">
        <v>1.0911</v>
      </c>
      <c r="AL103" t="s">
        <v>98</v>
      </c>
      <c r="AM103">
        <v>0.2253</v>
      </c>
      <c r="AN103" s="203" t="s">
        <v>99</v>
      </c>
      <c r="AO103" s="204">
        <v>11.146347688033785</v>
      </c>
      <c r="AP103" t="s">
        <v>94</v>
      </c>
      <c r="AR103" t="s">
        <v>180</v>
      </c>
      <c r="AS103">
        <v>178</v>
      </c>
      <c r="AT103" t="s">
        <v>102</v>
      </c>
      <c r="AV103" t="s">
        <v>101</v>
      </c>
      <c r="AX103" t="s">
        <v>103</v>
      </c>
      <c r="AZ103" t="s">
        <v>104</v>
      </c>
      <c r="BB103" t="s">
        <v>105</v>
      </c>
    </row>
    <row r="104" spans="1:54" hidden="1" x14ac:dyDescent="0.3">
      <c r="A104" t="s">
        <v>209</v>
      </c>
      <c r="B104" t="s">
        <v>201</v>
      </c>
      <c r="C104" s="76">
        <v>45749.666666666664</v>
      </c>
      <c r="D104" t="s">
        <v>32</v>
      </c>
      <c r="F104" t="s">
        <v>33</v>
      </c>
      <c r="H104" t="s">
        <v>82</v>
      </c>
      <c r="I104">
        <v>11.3581</v>
      </c>
      <c r="J104" t="s">
        <v>83</v>
      </c>
      <c r="K104">
        <v>997.4</v>
      </c>
      <c r="L104" t="s">
        <v>84</v>
      </c>
      <c r="M104">
        <v>0</v>
      </c>
      <c r="N104" t="s">
        <v>85</v>
      </c>
      <c r="O104">
        <v>43.63</v>
      </c>
      <c r="P104" t="s">
        <v>86</v>
      </c>
      <c r="Q104">
        <v>42.78</v>
      </c>
      <c r="R104" t="s">
        <v>87</v>
      </c>
      <c r="S104">
        <v>16.2</v>
      </c>
      <c r="T104" t="s">
        <v>88</v>
      </c>
      <c r="U104">
        <v>11.09</v>
      </c>
      <c r="V104" t="s">
        <v>89</v>
      </c>
      <c r="W104">
        <v>0.25</v>
      </c>
      <c r="X104" t="s">
        <v>90</v>
      </c>
      <c r="Y104">
        <v>6.56</v>
      </c>
      <c r="Z104" t="s">
        <v>91</v>
      </c>
      <c r="AA104" s="91">
        <f t="shared" si="1"/>
        <v>12.46</v>
      </c>
      <c r="AB104" t="s">
        <v>92</v>
      </c>
      <c r="AC104">
        <v>3</v>
      </c>
      <c r="AD104" t="s">
        <v>93</v>
      </c>
      <c r="AE104">
        <v>10</v>
      </c>
      <c r="AF104" t="s">
        <v>95</v>
      </c>
      <c r="AG104">
        <v>54</v>
      </c>
      <c r="AH104" t="s">
        <v>100</v>
      </c>
      <c r="AI104">
        <v>2.63</v>
      </c>
      <c r="AJ104" t="s">
        <v>97</v>
      </c>
      <c r="AK104">
        <v>0.66100000000000003</v>
      </c>
      <c r="AL104" t="s">
        <v>98</v>
      </c>
      <c r="AM104">
        <v>0.18060000000000001</v>
      </c>
      <c r="AN104" s="203" t="s">
        <v>99</v>
      </c>
      <c r="AO104" s="204">
        <v>11.559260939828526</v>
      </c>
      <c r="AP104" t="s">
        <v>94</v>
      </c>
      <c r="AR104" t="s">
        <v>180</v>
      </c>
      <c r="AS104">
        <v>184</v>
      </c>
      <c r="AT104" t="s">
        <v>102</v>
      </c>
      <c r="AV104" t="s">
        <v>101</v>
      </c>
      <c r="AX104" t="s">
        <v>103</v>
      </c>
      <c r="AZ104" t="s">
        <v>104</v>
      </c>
      <c r="BB104" t="s">
        <v>105</v>
      </c>
    </row>
    <row r="105" spans="1:54" hidden="1" x14ac:dyDescent="0.3">
      <c r="A105" t="s">
        <v>210</v>
      </c>
      <c r="B105" t="s">
        <v>201</v>
      </c>
      <c r="C105" s="76">
        <v>45750.416666666664</v>
      </c>
      <c r="D105" t="s">
        <v>32</v>
      </c>
      <c r="F105" t="s">
        <v>33</v>
      </c>
      <c r="H105" t="s">
        <v>82</v>
      </c>
      <c r="I105">
        <v>10.291600000000001</v>
      </c>
      <c r="J105" t="s">
        <v>83</v>
      </c>
      <c r="K105">
        <v>996.4</v>
      </c>
      <c r="L105" t="s">
        <v>84</v>
      </c>
      <c r="M105">
        <v>-0.4</v>
      </c>
      <c r="N105" t="s">
        <v>85</v>
      </c>
      <c r="O105">
        <v>41.55</v>
      </c>
      <c r="P105" t="s">
        <v>86</v>
      </c>
      <c r="Q105">
        <v>40.86</v>
      </c>
      <c r="R105" t="s">
        <v>87</v>
      </c>
      <c r="S105">
        <v>20.89</v>
      </c>
      <c r="T105" t="s">
        <v>88</v>
      </c>
      <c r="U105">
        <v>8.69</v>
      </c>
      <c r="V105" t="s">
        <v>89</v>
      </c>
      <c r="W105">
        <v>0.24</v>
      </c>
      <c r="X105" t="s">
        <v>90</v>
      </c>
      <c r="Y105">
        <v>6.75</v>
      </c>
      <c r="Z105" t="s">
        <v>91</v>
      </c>
      <c r="AA105" s="91">
        <f t="shared" si="1"/>
        <v>11</v>
      </c>
      <c r="AB105" t="s">
        <v>92</v>
      </c>
      <c r="AC105">
        <v>0</v>
      </c>
      <c r="AD105" t="s">
        <v>93</v>
      </c>
      <c r="AE105">
        <v>11</v>
      </c>
      <c r="AF105" t="s">
        <v>95</v>
      </c>
      <c r="AG105">
        <v>56</v>
      </c>
      <c r="AH105" t="s">
        <v>100</v>
      </c>
      <c r="AI105">
        <v>2.69</v>
      </c>
      <c r="AJ105" t="s">
        <v>97</v>
      </c>
      <c r="AK105">
        <v>0.74939999999999996</v>
      </c>
      <c r="AL105" t="s">
        <v>98</v>
      </c>
      <c r="AM105">
        <v>0.18890000000000001</v>
      </c>
      <c r="AN105" s="203" t="s">
        <v>99</v>
      </c>
      <c r="AO105" s="204">
        <v>11.731825521822973</v>
      </c>
      <c r="AP105" t="s">
        <v>94</v>
      </c>
      <c r="AR105" t="s">
        <v>180</v>
      </c>
      <c r="AS105">
        <v>181</v>
      </c>
      <c r="AT105" t="s">
        <v>102</v>
      </c>
      <c r="AV105" t="s">
        <v>101</v>
      </c>
      <c r="AX105" t="s">
        <v>103</v>
      </c>
      <c r="AZ105" t="s">
        <v>104</v>
      </c>
      <c r="BB105" t="s">
        <v>105</v>
      </c>
    </row>
    <row r="106" spans="1:54" hidden="1" x14ac:dyDescent="0.3">
      <c r="A106" t="s">
        <v>211</v>
      </c>
      <c r="B106" t="s">
        <v>201</v>
      </c>
      <c r="C106" s="76">
        <v>45750.625</v>
      </c>
      <c r="D106" t="s">
        <v>32</v>
      </c>
      <c r="F106" t="s">
        <v>33</v>
      </c>
      <c r="H106" t="s">
        <v>82</v>
      </c>
      <c r="I106">
        <v>10.1967</v>
      </c>
      <c r="J106" t="s">
        <v>83</v>
      </c>
      <c r="K106">
        <v>994.8</v>
      </c>
      <c r="L106" t="s">
        <v>84</v>
      </c>
      <c r="M106">
        <v>-0.6</v>
      </c>
      <c r="N106" t="s">
        <v>85</v>
      </c>
      <c r="O106">
        <v>36.94</v>
      </c>
      <c r="P106" t="s">
        <v>86</v>
      </c>
      <c r="Q106">
        <v>35.869999999999997</v>
      </c>
      <c r="R106" t="s">
        <v>87</v>
      </c>
      <c r="S106">
        <v>15.38</v>
      </c>
      <c r="T106" t="s">
        <v>88</v>
      </c>
      <c r="U106">
        <v>8.02</v>
      </c>
      <c r="V106" t="s">
        <v>89</v>
      </c>
      <c r="W106">
        <v>0.19</v>
      </c>
      <c r="X106" t="s">
        <v>90</v>
      </c>
      <c r="Y106">
        <v>6.68</v>
      </c>
      <c r="Z106" t="s">
        <v>91</v>
      </c>
      <c r="AA106" s="91">
        <f t="shared" si="1"/>
        <v>12</v>
      </c>
      <c r="AB106" t="s">
        <v>92</v>
      </c>
      <c r="AC106">
        <v>0</v>
      </c>
      <c r="AD106" t="s">
        <v>93</v>
      </c>
      <c r="AE106">
        <v>12</v>
      </c>
      <c r="AF106" t="s">
        <v>95</v>
      </c>
      <c r="AG106">
        <v>58</v>
      </c>
      <c r="AH106" t="s">
        <v>100</v>
      </c>
      <c r="AI106">
        <v>2.65</v>
      </c>
      <c r="AJ106" t="s">
        <v>97</v>
      </c>
      <c r="AK106">
        <v>0.74790000000000001</v>
      </c>
      <c r="AL106" t="s">
        <v>98</v>
      </c>
      <c r="AM106">
        <v>0.192</v>
      </c>
      <c r="AN106" s="203" t="s">
        <v>99</v>
      </c>
      <c r="AO106" s="204">
        <v>12.008564416279285</v>
      </c>
      <c r="AP106" t="s">
        <v>94</v>
      </c>
      <c r="AR106" t="s">
        <v>180</v>
      </c>
      <c r="AS106">
        <v>176</v>
      </c>
      <c r="AT106" t="s">
        <v>102</v>
      </c>
      <c r="AV106" t="s">
        <v>101</v>
      </c>
      <c r="AX106" t="s">
        <v>103</v>
      </c>
      <c r="AZ106" t="s">
        <v>104</v>
      </c>
      <c r="BB106" t="s">
        <v>105</v>
      </c>
    </row>
    <row r="107" spans="1:54" hidden="1" x14ac:dyDescent="0.3">
      <c r="A107" t="s">
        <v>220</v>
      </c>
      <c r="B107" t="s">
        <v>201</v>
      </c>
      <c r="C107" s="76">
        <v>45751.375</v>
      </c>
      <c r="D107" t="s">
        <v>32</v>
      </c>
      <c r="E107">
        <v>19.3</v>
      </c>
      <c r="F107" t="s">
        <v>33</v>
      </c>
      <c r="G107">
        <v>17.100000000000001</v>
      </c>
      <c r="H107" t="s">
        <v>82</v>
      </c>
      <c r="I107">
        <v>10.1251</v>
      </c>
      <c r="J107" t="s">
        <v>83</v>
      </c>
      <c r="K107">
        <v>995.1</v>
      </c>
      <c r="L107" t="s">
        <v>84</v>
      </c>
      <c r="M107">
        <v>-0.8</v>
      </c>
      <c r="N107" t="s">
        <v>85</v>
      </c>
      <c r="O107">
        <v>38.630000000000003</v>
      </c>
      <c r="P107" t="s">
        <v>86</v>
      </c>
      <c r="Q107">
        <v>37.94</v>
      </c>
      <c r="R107" t="s">
        <v>87</v>
      </c>
      <c r="S107">
        <v>16.899999999999999</v>
      </c>
      <c r="T107" t="s">
        <v>88</v>
      </c>
      <c r="U107">
        <v>5.22</v>
      </c>
      <c r="V107" t="s">
        <v>89</v>
      </c>
      <c r="W107">
        <v>0.06</v>
      </c>
      <c r="X107" t="s">
        <v>90</v>
      </c>
      <c r="Y107">
        <v>7.62</v>
      </c>
      <c r="Z107" t="s">
        <v>91</v>
      </c>
      <c r="AA107" s="91">
        <f t="shared" si="1"/>
        <v>17.38</v>
      </c>
      <c r="AB107" t="s">
        <v>92</v>
      </c>
      <c r="AC107">
        <v>9</v>
      </c>
      <c r="AD107" t="s">
        <v>93</v>
      </c>
      <c r="AE107">
        <v>10</v>
      </c>
      <c r="AF107" t="s">
        <v>95</v>
      </c>
      <c r="AG107">
        <v>67</v>
      </c>
      <c r="AH107" t="s">
        <v>100</v>
      </c>
      <c r="AI107">
        <v>2.7</v>
      </c>
      <c r="AJ107" t="s">
        <v>97</v>
      </c>
      <c r="AK107">
        <v>0.72509999999999997</v>
      </c>
      <c r="AL107" t="s">
        <v>98</v>
      </c>
      <c r="AM107">
        <v>0.19400000000000001</v>
      </c>
      <c r="AN107" s="201" t="s">
        <v>99</v>
      </c>
      <c r="AO107" s="201">
        <v>12.08</v>
      </c>
      <c r="AP107" t="s">
        <v>94</v>
      </c>
      <c r="AQ107">
        <v>0.55000000000000004</v>
      </c>
      <c r="AR107" t="s">
        <v>180</v>
      </c>
      <c r="AS107">
        <v>170</v>
      </c>
      <c r="AT107" t="s">
        <v>102</v>
      </c>
      <c r="AU107">
        <v>228</v>
      </c>
      <c r="AV107" t="s">
        <v>101</v>
      </c>
      <c r="AW107">
        <v>1.05</v>
      </c>
      <c r="AX107" t="s">
        <v>103</v>
      </c>
      <c r="AY107">
        <v>3.1</v>
      </c>
      <c r="AZ107" t="s">
        <v>104</v>
      </c>
      <c r="BA107">
        <v>2</v>
      </c>
      <c r="BB107" t="s">
        <v>105</v>
      </c>
    </row>
    <row r="108" spans="1:54" hidden="1" x14ac:dyDescent="0.3">
      <c r="A108" t="s">
        <v>402</v>
      </c>
      <c r="B108" t="s">
        <v>223</v>
      </c>
      <c r="C108" s="77">
        <v>45755.75</v>
      </c>
      <c r="D108" t="s">
        <v>32</v>
      </c>
      <c r="F108" t="s">
        <v>33</v>
      </c>
      <c r="H108" t="s">
        <v>82</v>
      </c>
      <c r="I108">
        <v>10.2401</v>
      </c>
      <c r="J108" t="s">
        <v>83</v>
      </c>
      <c r="K108">
        <v>1058.9000000000001</v>
      </c>
      <c r="L108" t="s">
        <v>84</v>
      </c>
      <c r="M108">
        <v>15.1</v>
      </c>
      <c r="N108" t="s">
        <v>85</v>
      </c>
      <c r="O108">
        <v>29.1</v>
      </c>
      <c r="P108" t="s">
        <v>86</v>
      </c>
      <c r="Q108">
        <v>23.68</v>
      </c>
      <c r="R108" t="s">
        <v>87</v>
      </c>
      <c r="S108">
        <v>17.46</v>
      </c>
      <c r="T108" t="s">
        <v>88</v>
      </c>
      <c r="U108">
        <v>79.849999999999994</v>
      </c>
      <c r="V108" t="s">
        <v>89</v>
      </c>
      <c r="W108">
        <v>67.83</v>
      </c>
      <c r="X108" t="s">
        <v>90</v>
      </c>
      <c r="Y108">
        <v>2.35</v>
      </c>
      <c r="Z108" t="s">
        <v>91</v>
      </c>
      <c r="AA108" s="91">
        <f t="shared" ref="AA108:AA136" si="2">0.82*AC108+AE108</f>
        <v>106.97999999999999</v>
      </c>
      <c r="AB108" t="s">
        <v>92</v>
      </c>
      <c r="AC108">
        <v>39</v>
      </c>
      <c r="AD108" t="s">
        <v>93</v>
      </c>
      <c r="AE108">
        <v>75</v>
      </c>
      <c r="AF108" t="s">
        <v>95</v>
      </c>
      <c r="AG108">
        <v>24</v>
      </c>
      <c r="AH108" t="s">
        <v>100</v>
      </c>
      <c r="AI108">
        <v>2.92</v>
      </c>
      <c r="AJ108" t="s">
        <v>97</v>
      </c>
      <c r="AK108">
        <v>0.11119999999999999</v>
      </c>
      <c r="AL108" t="s">
        <v>98</v>
      </c>
      <c r="AM108">
        <v>-7.5399999999999995E-2</v>
      </c>
      <c r="AN108" s="201" t="s">
        <v>99</v>
      </c>
      <c r="AO108" s="201">
        <v>0.94</v>
      </c>
      <c r="AP108" t="s">
        <v>94</v>
      </c>
      <c r="AQ108">
        <v>0.22</v>
      </c>
      <c r="AR108" t="s">
        <v>180</v>
      </c>
      <c r="AS108">
        <v>168</v>
      </c>
      <c r="AT108" t="s">
        <v>102</v>
      </c>
      <c r="AU108">
        <v>352</v>
      </c>
      <c r="AV108" t="s">
        <v>101</v>
      </c>
      <c r="AW108">
        <v>0.51</v>
      </c>
      <c r="AX108" t="s">
        <v>103</v>
      </c>
      <c r="AY108">
        <v>2.9</v>
      </c>
      <c r="AZ108" t="s">
        <v>104</v>
      </c>
      <c r="BA108">
        <v>4</v>
      </c>
      <c r="BB108" t="s">
        <v>105</v>
      </c>
    </row>
    <row r="109" spans="1:54" hidden="1" x14ac:dyDescent="0.3">
      <c r="A109" t="s">
        <v>404</v>
      </c>
      <c r="B109" t="s">
        <v>223</v>
      </c>
      <c r="C109" s="46">
        <v>45756.375</v>
      </c>
      <c r="D109" t="s">
        <v>32</v>
      </c>
      <c r="F109" t="s">
        <v>33</v>
      </c>
      <c r="H109" t="s">
        <v>82</v>
      </c>
      <c r="I109">
        <v>10.345000000000001</v>
      </c>
      <c r="J109" t="s">
        <v>83</v>
      </c>
      <c r="K109">
        <v>1058.2</v>
      </c>
      <c r="L109" t="s">
        <v>84</v>
      </c>
      <c r="M109">
        <v>14.7</v>
      </c>
      <c r="N109" t="s">
        <v>85</v>
      </c>
      <c r="O109">
        <v>14.36</v>
      </c>
      <c r="P109" t="s">
        <v>86</v>
      </c>
      <c r="Q109">
        <v>12.37</v>
      </c>
      <c r="R109" t="s">
        <v>87</v>
      </c>
      <c r="S109">
        <v>11.76</v>
      </c>
      <c r="T109" t="s">
        <v>88</v>
      </c>
      <c r="U109">
        <v>67.569999999999993</v>
      </c>
      <c r="V109" t="s">
        <v>89</v>
      </c>
      <c r="W109">
        <v>65.069999999999993</v>
      </c>
      <c r="X109" t="s">
        <v>90</v>
      </c>
      <c r="Y109">
        <v>2.68</v>
      </c>
      <c r="Z109" t="s">
        <v>91</v>
      </c>
      <c r="AA109" s="91">
        <f t="shared" si="2"/>
        <v>94.24</v>
      </c>
      <c r="AB109" t="s">
        <v>92</v>
      </c>
      <c r="AC109">
        <v>32</v>
      </c>
      <c r="AD109" t="s">
        <v>93</v>
      </c>
      <c r="AE109">
        <v>68</v>
      </c>
      <c r="AF109" t="s">
        <v>95</v>
      </c>
      <c r="AG109">
        <v>34</v>
      </c>
      <c r="AH109" t="s">
        <v>100</v>
      </c>
      <c r="AI109">
        <v>3.05</v>
      </c>
      <c r="AJ109" t="s">
        <v>97</v>
      </c>
      <c r="AK109">
        <v>0.21310000000000001</v>
      </c>
      <c r="AL109" t="s">
        <v>98</v>
      </c>
      <c r="AM109">
        <v>3.49E-2</v>
      </c>
      <c r="AN109" s="203" t="s">
        <v>99</v>
      </c>
      <c r="AO109" s="204">
        <v>1.0485964810154127</v>
      </c>
      <c r="AP109" t="s">
        <v>94</v>
      </c>
      <c r="AR109" t="s">
        <v>180</v>
      </c>
      <c r="AS109">
        <v>210</v>
      </c>
      <c r="AT109" t="s">
        <v>102</v>
      </c>
      <c r="AV109" t="s">
        <v>101</v>
      </c>
      <c r="AX109" t="s">
        <v>103</v>
      </c>
      <c r="AZ109" t="s">
        <v>104</v>
      </c>
      <c r="BB109" t="s">
        <v>105</v>
      </c>
    </row>
    <row r="110" spans="1:54" hidden="1" x14ac:dyDescent="0.3">
      <c r="A110" t="s">
        <v>406</v>
      </c>
      <c r="B110" t="s">
        <v>223</v>
      </c>
      <c r="C110" s="46">
        <v>45756.625</v>
      </c>
      <c r="D110" t="s">
        <v>32</v>
      </c>
      <c r="F110" t="s">
        <v>33</v>
      </c>
      <c r="H110" t="s">
        <v>82</v>
      </c>
      <c r="I110">
        <v>10.2026</v>
      </c>
      <c r="J110" t="s">
        <v>83</v>
      </c>
      <c r="K110">
        <v>1056.5</v>
      </c>
      <c r="L110" t="s">
        <v>84</v>
      </c>
      <c r="M110">
        <v>14.4</v>
      </c>
      <c r="N110" t="s">
        <v>85</v>
      </c>
      <c r="O110">
        <v>18.89</v>
      </c>
      <c r="P110" t="s">
        <v>86</v>
      </c>
      <c r="Q110">
        <v>16.510000000000002</v>
      </c>
      <c r="R110" t="s">
        <v>87</v>
      </c>
      <c r="S110">
        <v>25.61</v>
      </c>
      <c r="T110" t="s">
        <v>88</v>
      </c>
      <c r="U110">
        <v>69.02</v>
      </c>
      <c r="V110" t="s">
        <v>89</v>
      </c>
      <c r="W110">
        <v>68.180000000000007</v>
      </c>
      <c r="X110" t="s">
        <v>90</v>
      </c>
      <c r="Y110">
        <v>2.89</v>
      </c>
      <c r="Z110" t="s">
        <v>91</v>
      </c>
      <c r="AA110" s="91">
        <f t="shared" si="2"/>
        <v>80.680000000000007</v>
      </c>
      <c r="AB110" t="s">
        <v>92</v>
      </c>
      <c r="AC110">
        <v>24</v>
      </c>
      <c r="AD110" t="s">
        <v>93</v>
      </c>
      <c r="AE110">
        <v>61</v>
      </c>
      <c r="AF110" t="s">
        <v>95</v>
      </c>
      <c r="AG110">
        <v>37</v>
      </c>
      <c r="AH110" t="s">
        <v>100</v>
      </c>
      <c r="AI110">
        <v>3.07</v>
      </c>
      <c r="AJ110" t="s">
        <v>97</v>
      </c>
      <c r="AK110">
        <v>0.28670000000000001</v>
      </c>
      <c r="AL110" t="s">
        <v>98</v>
      </c>
      <c r="AM110">
        <v>5.3199999999999997E-2</v>
      </c>
      <c r="AN110" s="203" t="s">
        <v>99</v>
      </c>
      <c r="AO110" s="204">
        <v>1.3128628022013884</v>
      </c>
      <c r="AP110" t="s">
        <v>94</v>
      </c>
      <c r="AR110" t="s">
        <v>180</v>
      </c>
      <c r="AS110">
        <v>236</v>
      </c>
      <c r="AT110" t="s">
        <v>102</v>
      </c>
      <c r="AV110" t="s">
        <v>101</v>
      </c>
      <c r="AX110" t="s">
        <v>103</v>
      </c>
      <c r="AZ110" t="s">
        <v>104</v>
      </c>
      <c r="BB110" t="s">
        <v>105</v>
      </c>
    </row>
    <row r="111" spans="1:54" hidden="1" x14ac:dyDescent="0.3">
      <c r="A111" t="s">
        <v>414</v>
      </c>
      <c r="B111" t="s">
        <v>223</v>
      </c>
      <c r="C111" s="46">
        <v>45757.375</v>
      </c>
      <c r="D111" t="s">
        <v>32</v>
      </c>
      <c r="E111">
        <v>22.5</v>
      </c>
      <c r="F111" t="s">
        <v>33</v>
      </c>
      <c r="G111">
        <v>12.4</v>
      </c>
      <c r="H111" t="s">
        <v>82</v>
      </c>
      <c r="I111">
        <v>10.3119</v>
      </c>
      <c r="J111" t="s">
        <v>83</v>
      </c>
      <c r="K111">
        <v>1047.3</v>
      </c>
      <c r="L111" t="s">
        <v>84</v>
      </c>
      <c r="M111">
        <v>12.2</v>
      </c>
      <c r="N111" t="s">
        <v>85</v>
      </c>
      <c r="O111">
        <v>29.8</v>
      </c>
      <c r="P111" t="s">
        <v>86</v>
      </c>
      <c r="Q111">
        <v>29.42</v>
      </c>
      <c r="R111" t="s">
        <v>87</v>
      </c>
      <c r="S111">
        <v>20.36</v>
      </c>
      <c r="T111" t="s">
        <v>88</v>
      </c>
      <c r="U111">
        <v>57.25</v>
      </c>
      <c r="V111" t="s">
        <v>89</v>
      </c>
      <c r="W111">
        <v>49.04</v>
      </c>
      <c r="X111" t="s">
        <v>90</v>
      </c>
      <c r="Y111">
        <v>3.78</v>
      </c>
      <c r="Z111" t="s">
        <v>91</v>
      </c>
      <c r="AA111" s="91">
        <f t="shared" si="2"/>
        <v>20.46</v>
      </c>
      <c r="AB111" t="s">
        <v>92</v>
      </c>
      <c r="AC111">
        <v>3</v>
      </c>
      <c r="AD111" t="s">
        <v>93</v>
      </c>
      <c r="AE111">
        <v>18</v>
      </c>
      <c r="AF111" t="s">
        <v>95</v>
      </c>
      <c r="AG111">
        <v>76</v>
      </c>
      <c r="AH111" t="s">
        <v>100</v>
      </c>
      <c r="AI111">
        <v>2.96</v>
      </c>
      <c r="AJ111" t="s">
        <v>97</v>
      </c>
      <c r="AK111">
        <v>0.51700000000000002</v>
      </c>
      <c r="AL111" t="s">
        <v>98</v>
      </c>
      <c r="AM111">
        <v>8.9800000000000005E-2</v>
      </c>
      <c r="AN111" s="203" t="s">
        <v>99</v>
      </c>
      <c r="AO111" s="204">
        <v>2.7562266800038309</v>
      </c>
      <c r="AP111" t="s">
        <v>94</v>
      </c>
      <c r="AR111" t="s">
        <v>180</v>
      </c>
      <c r="AS111">
        <v>235</v>
      </c>
      <c r="AT111" t="s">
        <v>102</v>
      </c>
      <c r="AV111" t="s">
        <v>101</v>
      </c>
      <c r="AX111" t="s">
        <v>103</v>
      </c>
      <c r="AZ111" t="s">
        <v>104</v>
      </c>
      <c r="BB111" t="s">
        <v>105</v>
      </c>
    </row>
    <row r="112" spans="1:54" hidden="1" x14ac:dyDescent="0.3">
      <c r="A112" t="s">
        <v>410</v>
      </c>
      <c r="B112" t="s">
        <v>223</v>
      </c>
      <c r="C112" s="46">
        <v>45757.5</v>
      </c>
      <c r="D112" t="s">
        <v>32</v>
      </c>
      <c r="F112" t="s">
        <v>33</v>
      </c>
      <c r="H112" t="s">
        <v>82</v>
      </c>
      <c r="I112">
        <v>10.169600000000001</v>
      </c>
      <c r="J112" t="s">
        <v>83</v>
      </c>
      <c r="K112">
        <v>1044.9000000000001</v>
      </c>
      <c r="L112" t="s">
        <v>84</v>
      </c>
      <c r="M112">
        <v>11.7</v>
      </c>
      <c r="N112" t="s">
        <v>85</v>
      </c>
      <c r="O112">
        <v>42.24</v>
      </c>
      <c r="P112" t="s">
        <v>86</v>
      </c>
      <c r="Q112">
        <v>40.090000000000003</v>
      </c>
      <c r="R112" t="s">
        <v>87</v>
      </c>
      <c r="S112">
        <v>24.18</v>
      </c>
      <c r="T112" t="s">
        <v>88</v>
      </c>
      <c r="U112">
        <v>59.36</v>
      </c>
      <c r="V112" t="s">
        <v>89</v>
      </c>
      <c r="W112">
        <v>48.75</v>
      </c>
      <c r="X112" t="s">
        <v>90</v>
      </c>
      <c r="Y112">
        <v>4.07</v>
      </c>
      <c r="Z112" t="s">
        <v>91</v>
      </c>
      <c r="AA112" s="91">
        <f t="shared" si="2"/>
        <v>60.519999999999996</v>
      </c>
      <c r="AB112" t="s">
        <v>92</v>
      </c>
      <c r="AC112">
        <v>36</v>
      </c>
      <c r="AD112" t="s">
        <v>93</v>
      </c>
      <c r="AE112">
        <v>31</v>
      </c>
      <c r="AF112" t="s">
        <v>95</v>
      </c>
      <c r="AG112">
        <v>84</v>
      </c>
      <c r="AH112" t="s">
        <v>100</v>
      </c>
      <c r="AI112">
        <v>2.9</v>
      </c>
      <c r="AJ112" t="s">
        <v>97</v>
      </c>
      <c r="AK112">
        <v>0.63060000000000005</v>
      </c>
      <c r="AL112" t="s">
        <v>98</v>
      </c>
      <c r="AM112">
        <v>0.1071</v>
      </c>
      <c r="AN112" s="203" t="s">
        <v>99</v>
      </c>
      <c r="AO112" s="204">
        <v>3.1364704532400087</v>
      </c>
      <c r="AP112" t="s">
        <v>94</v>
      </c>
      <c r="AR112" t="s">
        <v>180</v>
      </c>
      <c r="AS112">
        <v>232</v>
      </c>
      <c r="AT112" t="s">
        <v>102</v>
      </c>
      <c r="AV112" t="s">
        <v>101</v>
      </c>
      <c r="AX112" t="s">
        <v>103</v>
      </c>
      <c r="AZ112" t="s">
        <v>104</v>
      </c>
      <c r="BB112" t="s">
        <v>105</v>
      </c>
    </row>
    <row r="113" spans="1:54" hidden="1" x14ac:dyDescent="0.3">
      <c r="A113" t="s">
        <v>412</v>
      </c>
      <c r="B113" t="s">
        <v>223</v>
      </c>
      <c r="C113" s="46">
        <v>45757.645833333336</v>
      </c>
      <c r="D113" t="s">
        <v>32</v>
      </c>
      <c r="F113" t="s">
        <v>33</v>
      </c>
      <c r="H113" t="s">
        <v>82</v>
      </c>
      <c r="I113">
        <v>10.5006</v>
      </c>
      <c r="J113" t="s">
        <v>83</v>
      </c>
      <c r="K113">
        <v>1041.7</v>
      </c>
      <c r="L113" t="s">
        <v>84</v>
      </c>
      <c r="M113">
        <v>10.8</v>
      </c>
      <c r="N113" t="s">
        <v>85</v>
      </c>
      <c r="O113">
        <v>41.17</v>
      </c>
      <c r="P113" t="s">
        <v>86</v>
      </c>
      <c r="Q113">
        <v>40.549999999999997</v>
      </c>
      <c r="R113" t="s">
        <v>87</v>
      </c>
      <c r="S113">
        <v>25.93</v>
      </c>
      <c r="T113" t="s">
        <v>88</v>
      </c>
      <c r="U113">
        <v>55.99</v>
      </c>
      <c r="V113" t="s">
        <v>89</v>
      </c>
      <c r="W113">
        <v>43.14</v>
      </c>
      <c r="X113" t="s">
        <v>90</v>
      </c>
      <c r="Y113">
        <v>4.2</v>
      </c>
      <c r="Z113" t="s">
        <v>91</v>
      </c>
      <c r="AA113" s="91">
        <f t="shared" si="2"/>
        <v>40.4</v>
      </c>
      <c r="AB113" t="s">
        <v>92</v>
      </c>
      <c r="AC113">
        <v>20</v>
      </c>
      <c r="AD113" t="s">
        <v>93</v>
      </c>
      <c r="AE113">
        <v>24</v>
      </c>
      <c r="AF113" t="s">
        <v>95</v>
      </c>
      <c r="AG113">
        <v>89</v>
      </c>
      <c r="AH113" t="s">
        <v>100</v>
      </c>
      <c r="AI113">
        <v>2.84</v>
      </c>
      <c r="AJ113" t="s">
        <v>97</v>
      </c>
      <c r="AK113">
        <v>0.60580000000000001</v>
      </c>
      <c r="AL113" t="s">
        <v>98</v>
      </c>
      <c r="AM113">
        <v>2.8799999999999999E-2</v>
      </c>
      <c r="AN113" s="203" t="s">
        <v>99</v>
      </c>
      <c r="AO113" s="204">
        <v>3.6458849051672058</v>
      </c>
      <c r="AP113" t="s">
        <v>94</v>
      </c>
      <c r="AR113" t="s">
        <v>180</v>
      </c>
      <c r="AS113">
        <v>230</v>
      </c>
      <c r="AT113" t="s">
        <v>102</v>
      </c>
      <c r="AV113" t="s">
        <v>101</v>
      </c>
      <c r="AX113" t="s">
        <v>103</v>
      </c>
      <c r="AZ113" t="s">
        <v>104</v>
      </c>
      <c r="BB113" t="s">
        <v>105</v>
      </c>
    </row>
    <row r="114" spans="1:54" hidden="1" x14ac:dyDescent="0.3">
      <c r="A114" t="s">
        <v>415</v>
      </c>
      <c r="B114" t="s">
        <v>223</v>
      </c>
      <c r="C114" s="46">
        <v>45758.375</v>
      </c>
      <c r="D114" t="s">
        <v>32</v>
      </c>
      <c r="E114">
        <v>32</v>
      </c>
      <c r="F114" t="s">
        <v>33</v>
      </c>
      <c r="G114">
        <v>19.8</v>
      </c>
      <c r="H114" t="s">
        <v>82</v>
      </c>
      <c r="I114">
        <v>10.2904</v>
      </c>
      <c r="J114" t="s">
        <v>83</v>
      </c>
      <c r="K114">
        <v>1025.9000000000001</v>
      </c>
      <c r="L114" t="s">
        <v>84</v>
      </c>
      <c r="M114">
        <v>7.1</v>
      </c>
      <c r="N114" t="s">
        <v>85</v>
      </c>
      <c r="O114">
        <v>41.71</v>
      </c>
      <c r="P114" t="s">
        <v>86</v>
      </c>
      <c r="Q114">
        <v>41.55</v>
      </c>
      <c r="R114" t="s">
        <v>87</v>
      </c>
      <c r="S114">
        <v>19.89</v>
      </c>
      <c r="T114" t="s">
        <v>88</v>
      </c>
      <c r="U114">
        <v>43.84</v>
      </c>
      <c r="V114" t="s">
        <v>89</v>
      </c>
      <c r="W114">
        <v>23.88</v>
      </c>
      <c r="X114" t="s">
        <v>90</v>
      </c>
      <c r="Y114">
        <v>5.45</v>
      </c>
      <c r="Z114" t="s">
        <v>91</v>
      </c>
      <c r="AA114" s="91">
        <f t="shared" si="2"/>
        <v>14.28</v>
      </c>
      <c r="AB114" t="s">
        <v>92</v>
      </c>
      <c r="AC114">
        <v>4</v>
      </c>
      <c r="AD114" t="s">
        <v>93</v>
      </c>
      <c r="AE114">
        <v>11</v>
      </c>
      <c r="AF114" t="s">
        <v>95</v>
      </c>
      <c r="AH114" t="s">
        <v>100</v>
      </c>
      <c r="AI114">
        <v>2.76</v>
      </c>
      <c r="AJ114" t="s">
        <v>97</v>
      </c>
      <c r="AK114">
        <v>0.9052</v>
      </c>
      <c r="AL114" t="s">
        <v>98</v>
      </c>
      <c r="AM114">
        <v>0.2319</v>
      </c>
      <c r="AN114" s="203" t="s">
        <v>99</v>
      </c>
      <c r="AO114" s="204">
        <v>6.2024826410796781</v>
      </c>
      <c r="AP114" t="s">
        <v>94</v>
      </c>
      <c r="AR114" t="s">
        <v>180</v>
      </c>
      <c r="AS114">
        <v>210</v>
      </c>
      <c r="AT114" t="s">
        <v>102</v>
      </c>
      <c r="AV114" t="s">
        <v>101</v>
      </c>
      <c r="AX114" t="s">
        <v>103</v>
      </c>
      <c r="AZ114" t="s">
        <v>104</v>
      </c>
      <c r="BB114" t="s">
        <v>105</v>
      </c>
    </row>
    <row r="115" spans="1:54" hidden="1" x14ac:dyDescent="0.3">
      <c r="A115" t="s">
        <v>416</v>
      </c>
      <c r="B115" t="s">
        <v>223</v>
      </c>
      <c r="C115" s="46">
        <v>45758.604166666664</v>
      </c>
      <c r="D115" t="s">
        <v>32</v>
      </c>
      <c r="F115" t="s">
        <v>33</v>
      </c>
      <c r="H115" t="s">
        <v>82</v>
      </c>
      <c r="I115">
        <v>10.4147</v>
      </c>
      <c r="J115" t="s">
        <v>83</v>
      </c>
      <c r="K115">
        <v>1023.2</v>
      </c>
      <c r="L115" t="s">
        <v>84</v>
      </c>
      <c r="M115">
        <v>6.4</v>
      </c>
      <c r="N115" t="s">
        <v>85</v>
      </c>
      <c r="O115">
        <v>83.49</v>
      </c>
      <c r="P115" t="s">
        <v>86</v>
      </c>
      <c r="Q115">
        <v>72.349999999999994</v>
      </c>
      <c r="R115" t="s">
        <v>87</v>
      </c>
      <c r="S115">
        <v>18.22</v>
      </c>
      <c r="T115" t="s">
        <v>88</v>
      </c>
      <c r="U115">
        <v>45.26</v>
      </c>
      <c r="V115" t="s">
        <v>89</v>
      </c>
      <c r="W115">
        <v>17.350000000000001</v>
      </c>
      <c r="X115" t="s">
        <v>90</v>
      </c>
      <c r="Y115">
        <v>5.84</v>
      </c>
      <c r="Z115" t="s">
        <v>91</v>
      </c>
      <c r="AA115" s="91">
        <f t="shared" si="2"/>
        <v>13.46</v>
      </c>
      <c r="AB115" t="s">
        <v>92</v>
      </c>
      <c r="AC115">
        <v>3</v>
      </c>
      <c r="AD115" t="s">
        <v>93</v>
      </c>
      <c r="AE115">
        <v>11</v>
      </c>
      <c r="AF115" t="s">
        <v>95</v>
      </c>
      <c r="AG115">
        <v>77</v>
      </c>
      <c r="AH115" t="s">
        <v>100</v>
      </c>
      <c r="AI115">
        <v>2.79</v>
      </c>
      <c r="AJ115" t="s">
        <v>97</v>
      </c>
      <c r="AK115">
        <v>0.94769999999999999</v>
      </c>
      <c r="AL115" t="s">
        <v>98</v>
      </c>
      <c r="AM115">
        <v>0.21870000000000001</v>
      </c>
      <c r="AN115" s="203" t="s">
        <v>99</v>
      </c>
      <c r="AO115" s="204">
        <v>6.6463832471971607</v>
      </c>
      <c r="AP115" t="s">
        <v>94</v>
      </c>
      <c r="AR115" t="s">
        <v>180</v>
      </c>
      <c r="AS115">
        <v>213</v>
      </c>
      <c r="AT115" t="s">
        <v>102</v>
      </c>
      <c r="AV115" t="s">
        <v>101</v>
      </c>
      <c r="AX115" t="s">
        <v>103</v>
      </c>
      <c r="AZ115" t="s">
        <v>104</v>
      </c>
      <c r="BB115" t="s">
        <v>105</v>
      </c>
    </row>
    <row r="116" spans="1:54" hidden="1" x14ac:dyDescent="0.3">
      <c r="A116" t="s">
        <v>418</v>
      </c>
      <c r="B116" t="s">
        <v>223</v>
      </c>
      <c r="C116" s="46">
        <v>45759.416666666664</v>
      </c>
      <c r="D116" t="s">
        <v>32</v>
      </c>
      <c r="E116">
        <v>23</v>
      </c>
      <c r="F116" t="s">
        <v>33</v>
      </c>
      <c r="G116">
        <v>15</v>
      </c>
      <c r="H116" t="s">
        <v>82</v>
      </c>
      <c r="I116">
        <v>10.367699999999999</v>
      </c>
      <c r="J116" t="s">
        <v>83</v>
      </c>
      <c r="K116">
        <v>1013.3</v>
      </c>
      <c r="L116" t="s">
        <v>84</v>
      </c>
      <c r="M116">
        <v>3.8</v>
      </c>
      <c r="N116" t="s">
        <v>85</v>
      </c>
      <c r="O116">
        <v>49.16</v>
      </c>
      <c r="P116" t="s">
        <v>86</v>
      </c>
      <c r="Q116">
        <v>48.77</v>
      </c>
      <c r="R116" t="s">
        <v>87</v>
      </c>
      <c r="S116">
        <v>21.88</v>
      </c>
      <c r="T116" t="s">
        <v>88</v>
      </c>
      <c r="U116">
        <v>29.35</v>
      </c>
      <c r="V116" t="s">
        <v>89</v>
      </c>
      <c r="W116">
        <v>10.87</v>
      </c>
      <c r="X116" t="s">
        <v>90</v>
      </c>
      <c r="Y116">
        <v>6.33</v>
      </c>
      <c r="Z116" t="s">
        <v>91</v>
      </c>
      <c r="AA116" s="91">
        <f t="shared" si="2"/>
        <v>12.46</v>
      </c>
      <c r="AB116" t="s">
        <v>92</v>
      </c>
      <c r="AC116">
        <v>3</v>
      </c>
      <c r="AD116" t="s">
        <v>93</v>
      </c>
      <c r="AE116">
        <v>10</v>
      </c>
      <c r="AF116" t="s">
        <v>95</v>
      </c>
      <c r="AG116">
        <v>76</v>
      </c>
      <c r="AH116" t="s">
        <v>100</v>
      </c>
      <c r="AI116">
        <v>2.65</v>
      </c>
      <c r="AJ116" t="s">
        <v>97</v>
      </c>
      <c r="AK116">
        <v>0.83530000000000004</v>
      </c>
      <c r="AL116" t="s">
        <v>98</v>
      </c>
      <c r="AM116">
        <v>0.20319999999999999</v>
      </c>
      <c r="AN116" s="203" t="s">
        <v>99</v>
      </c>
      <c r="AO116" s="204">
        <v>8.2919626315438411</v>
      </c>
      <c r="AP116" t="s">
        <v>94</v>
      </c>
      <c r="AR116" t="s">
        <v>180</v>
      </c>
      <c r="AS116">
        <v>199</v>
      </c>
      <c r="AT116" t="s">
        <v>102</v>
      </c>
      <c r="AV116" t="s">
        <v>101</v>
      </c>
      <c r="AX116" t="s">
        <v>103</v>
      </c>
      <c r="AZ116" t="s">
        <v>104</v>
      </c>
      <c r="BB116" t="s">
        <v>105</v>
      </c>
    </row>
    <row r="117" spans="1:54" hidden="1" x14ac:dyDescent="0.3">
      <c r="A117" t="s">
        <v>419</v>
      </c>
      <c r="B117" t="s">
        <v>223</v>
      </c>
      <c r="C117" s="46">
        <v>45760.708333333336</v>
      </c>
      <c r="D117" t="s">
        <v>32</v>
      </c>
      <c r="F117" t="s">
        <v>33</v>
      </c>
      <c r="H117" t="s">
        <v>82</v>
      </c>
      <c r="I117">
        <v>10.0815</v>
      </c>
      <c r="J117" t="s">
        <v>83</v>
      </c>
      <c r="K117">
        <v>1003.7</v>
      </c>
      <c r="L117" t="s">
        <v>84</v>
      </c>
      <c r="M117">
        <v>1.4</v>
      </c>
      <c r="N117" t="s">
        <v>85</v>
      </c>
      <c r="O117">
        <v>80.03</v>
      </c>
      <c r="P117" t="s">
        <v>86</v>
      </c>
      <c r="Q117">
        <v>68.97</v>
      </c>
      <c r="R117" t="s">
        <v>87</v>
      </c>
      <c r="S117">
        <v>10.36</v>
      </c>
      <c r="T117" t="s">
        <v>88</v>
      </c>
      <c r="U117">
        <v>16.399999999999999</v>
      </c>
      <c r="V117" t="s">
        <v>89</v>
      </c>
      <c r="W117">
        <v>4.8899999999999997</v>
      </c>
      <c r="X117" t="s">
        <v>90</v>
      </c>
      <c r="Y117">
        <v>6.83</v>
      </c>
      <c r="Z117" t="s">
        <v>91</v>
      </c>
      <c r="AA117" s="91">
        <f t="shared" si="2"/>
        <v>13.28</v>
      </c>
      <c r="AB117" t="s">
        <v>92</v>
      </c>
      <c r="AC117">
        <v>4</v>
      </c>
      <c r="AD117" t="s">
        <v>93</v>
      </c>
      <c r="AE117">
        <v>10</v>
      </c>
      <c r="AF117" t="s">
        <v>95</v>
      </c>
      <c r="AG117">
        <v>80</v>
      </c>
      <c r="AH117" t="s">
        <v>100</v>
      </c>
      <c r="AI117">
        <v>2.7</v>
      </c>
      <c r="AJ117" t="s">
        <v>97</v>
      </c>
      <c r="AK117">
        <v>1.7265999999999999</v>
      </c>
      <c r="AL117" t="s">
        <v>98</v>
      </c>
      <c r="AM117">
        <v>0.3286</v>
      </c>
      <c r="AN117" s="203" t="s">
        <v>99</v>
      </c>
      <c r="AO117" s="204">
        <v>9.9151075196431044</v>
      </c>
      <c r="AP117" t="s">
        <v>94</v>
      </c>
      <c r="AR117" t="s">
        <v>180</v>
      </c>
      <c r="AS117">
        <v>185</v>
      </c>
      <c r="AT117" t="s">
        <v>102</v>
      </c>
      <c r="AV117" t="s">
        <v>101</v>
      </c>
      <c r="AX117" t="s">
        <v>103</v>
      </c>
      <c r="AZ117" t="s">
        <v>104</v>
      </c>
      <c r="BB117" t="s">
        <v>105</v>
      </c>
    </row>
    <row r="118" spans="1:54" hidden="1" x14ac:dyDescent="0.3">
      <c r="A118" t="s">
        <v>421</v>
      </c>
      <c r="B118" t="s">
        <v>223</v>
      </c>
      <c r="C118" s="46">
        <v>45761.375</v>
      </c>
      <c r="D118" t="s">
        <v>32</v>
      </c>
      <c r="F118" t="s">
        <v>33</v>
      </c>
      <c r="H118" t="s">
        <v>82</v>
      </c>
      <c r="I118">
        <v>10.2781</v>
      </c>
      <c r="J118" t="s">
        <v>83</v>
      </c>
      <c r="K118">
        <v>999.7</v>
      </c>
      <c r="L118" t="s">
        <v>84</v>
      </c>
      <c r="M118">
        <v>0.4</v>
      </c>
      <c r="N118" t="s">
        <v>85</v>
      </c>
      <c r="O118">
        <v>50.77</v>
      </c>
      <c r="P118" t="s">
        <v>86</v>
      </c>
      <c r="Q118">
        <v>50.31</v>
      </c>
      <c r="R118" t="s">
        <v>87</v>
      </c>
      <c r="S118">
        <v>13.16</v>
      </c>
      <c r="T118" t="s">
        <v>88</v>
      </c>
      <c r="U118">
        <v>15.13</v>
      </c>
      <c r="V118" t="s">
        <v>89</v>
      </c>
      <c r="W118">
        <v>0.63</v>
      </c>
      <c r="X118" t="s">
        <v>90</v>
      </c>
      <c r="Y118">
        <v>6.33</v>
      </c>
      <c r="Z118" s="73" t="s">
        <v>91</v>
      </c>
      <c r="AA118" s="91">
        <f t="shared" si="2"/>
        <v>11</v>
      </c>
      <c r="AB118" s="73" t="s">
        <v>92</v>
      </c>
      <c r="AC118" s="73">
        <v>0</v>
      </c>
      <c r="AD118" s="73" t="s">
        <v>93</v>
      </c>
      <c r="AE118" s="73">
        <v>11</v>
      </c>
      <c r="AF118" t="s">
        <v>95</v>
      </c>
      <c r="AG118">
        <v>56</v>
      </c>
      <c r="AH118" t="s">
        <v>100</v>
      </c>
      <c r="AI118">
        <v>2.63</v>
      </c>
      <c r="AJ118" t="s">
        <v>97</v>
      </c>
      <c r="AK118">
        <v>0.90649999999999997</v>
      </c>
      <c r="AL118" t="s">
        <v>98</v>
      </c>
      <c r="AM118">
        <v>0.26869999999999999</v>
      </c>
      <c r="AN118" s="203" t="s">
        <v>99</v>
      </c>
      <c r="AO118" s="204">
        <v>10.599544136282434</v>
      </c>
      <c r="AP118" t="s">
        <v>94</v>
      </c>
      <c r="AR118" t="s">
        <v>180</v>
      </c>
      <c r="AS118">
        <v>184</v>
      </c>
      <c r="AT118" t="s">
        <v>102</v>
      </c>
      <c r="AV118" t="s">
        <v>101</v>
      </c>
      <c r="AX118" t="s">
        <v>103</v>
      </c>
      <c r="AZ118" t="s">
        <v>104</v>
      </c>
      <c r="BB118" t="s">
        <v>105</v>
      </c>
    </row>
    <row r="119" spans="1:54" hidden="1" x14ac:dyDescent="0.3">
      <c r="A119" t="s">
        <v>408</v>
      </c>
      <c r="B119" t="s">
        <v>223</v>
      </c>
      <c r="C119" s="46">
        <v>45761.625</v>
      </c>
      <c r="D119" t="s">
        <v>32</v>
      </c>
      <c r="E119">
        <v>11</v>
      </c>
      <c r="F119" t="s">
        <v>33</v>
      </c>
      <c r="G119">
        <v>6.8</v>
      </c>
      <c r="H119" t="s">
        <v>82</v>
      </c>
      <c r="I119">
        <v>10.441800000000001</v>
      </c>
      <c r="J119" t="s">
        <v>83</v>
      </c>
      <c r="K119">
        <v>997.7</v>
      </c>
      <c r="L119" t="s">
        <v>84</v>
      </c>
      <c r="M119">
        <v>0.1</v>
      </c>
      <c r="N119" t="s">
        <v>85</v>
      </c>
      <c r="O119">
        <v>79.8</v>
      </c>
      <c r="P119" t="s">
        <v>86</v>
      </c>
      <c r="Q119">
        <v>69.510000000000005</v>
      </c>
      <c r="R119" t="s">
        <v>87</v>
      </c>
      <c r="S119">
        <v>7.22</v>
      </c>
      <c r="T119" t="s">
        <v>88</v>
      </c>
      <c r="U119">
        <v>10.89</v>
      </c>
      <c r="V119" t="s">
        <v>89</v>
      </c>
      <c r="W119">
        <v>0.36</v>
      </c>
      <c r="X119" t="s">
        <v>90</v>
      </c>
      <c r="Y119">
        <v>6.55</v>
      </c>
      <c r="Z119" s="73" t="s">
        <v>91</v>
      </c>
      <c r="AA119" s="91">
        <f t="shared" si="2"/>
        <v>10</v>
      </c>
      <c r="AB119" s="73" t="s">
        <v>92</v>
      </c>
      <c r="AC119" s="73">
        <v>0</v>
      </c>
      <c r="AD119" s="73" t="s">
        <v>93</v>
      </c>
      <c r="AE119" s="73">
        <v>10</v>
      </c>
      <c r="AF119" t="s">
        <v>95</v>
      </c>
      <c r="AG119">
        <v>58</v>
      </c>
      <c r="AH119" t="s">
        <v>100</v>
      </c>
      <c r="AI119">
        <v>2.59</v>
      </c>
      <c r="AJ119" t="s">
        <v>97</v>
      </c>
      <c r="AK119">
        <v>1.1713</v>
      </c>
      <c r="AL119" t="s">
        <v>98</v>
      </c>
      <c r="AM119">
        <v>0.19450000000000001</v>
      </c>
      <c r="AN119" s="203" t="s">
        <v>99</v>
      </c>
      <c r="AO119" s="204">
        <v>10.943577650185402</v>
      </c>
      <c r="AP119" t="s">
        <v>94</v>
      </c>
      <c r="AR119" t="s">
        <v>180</v>
      </c>
      <c r="AS119">
        <v>188</v>
      </c>
      <c r="AT119" t="s">
        <v>102</v>
      </c>
      <c r="AV119" t="s">
        <v>101</v>
      </c>
      <c r="AX119" t="s">
        <v>103</v>
      </c>
      <c r="AZ119" t="s">
        <v>104</v>
      </c>
      <c r="BB119" t="s">
        <v>105</v>
      </c>
    </row>
    <row r="120" spans="1:54" hidden="1" x14ac:dyDescent="0.3">
      <c r="A120" t="s">
        <v>425</v>
      </c>
      <c r="B120" t="s">
        <v>223</v>
      </c>
      <c r="C120" s="46">
        <v>45762.375</v>
      </c>
      <c r="D120" t="s">
        <v>32</v>
      </c>
      <c r="F120" t="s">
        <v>33</v>
      </c>
      <c r="H120" t="s">
        <v>82</v>
      </c>
      <c r="I120">
        <v>9.8492999999999995</v>
      </c>
      <c r="J120" t="s">
        <v>83</v>
      </c>
      <c r="K120">
        <v>996.3</v>
      </c>
      <c r="L120" t="s">
        <v>84</v>
      </c>
      <c r="M120">
        <v>-0.6</v>
      </c>
      <c r="N120" t="s">
        <v>85</v>
      </c>
      <c r="O120">
        <v>57.58</v>
      </c>
      <c r="P120" t="s">
        <v>86</v>
      </c>
      <c r="Q120">
        <v>57.53</v>
      </c>
      <c r="R120" t="s">
        <v>87</v>
      </c>
      <c r="S120">
        <v>18.91</v>
      </c>
      <c r="T120" t="s">
        <v>88</v>
      </c>
      <c r="U120">
        <v>6.99</v>
      </c>
      <c r="V120" t="s">
        <v>89</v>
      </c>
      <c r="W120">
        <v>0.19</v>
      </c>
      <c r="X120" t="s">
        <v>90</v>
      </c>
      <c r="Y120">
        <v>6.71</v>
      </c>
      <c r="Z120" s="73" t="s">
        <v>91</v>
      </c>
      <c r="AA120" s="91">
        <f t="shared" si="2"/>
        <v>10</v>
      </c>
      <c r="AB120" s="73" t="s">
        <v>92</v>
      </c>
      <c r="AC120" s="73">
        <v>0</v>
      </c>
      <c r="AD120" s="73" t="s">
        <v>93</v>
      </c>
      <c r="AE120" s="73">
        <v>10</v>
      </c>
      <c r="AF120" t="s">
        <v>95</v>
      </c>
      <c r="AG120">
        <v>55</v>
      </c>
      <c r="AH120" t="s">
        <v>100</v>
      </c>
      <c r="AI120">
        <v>2.63</v>
      </c>
      <c r="AJ120" t="s">
        <v>97</v>
      </c>
      <c r="AK120">
        <v>0.85670000000000002</v>
      </c>
      <c r="AL120" t="s">
        <v>98</v>
      </c>
      <c r="AM120">
        <v>0.21010000000000001</v>
      </c>
      <c r="AN120" s="203" t="s">
        <v>99</v>
      </c>
      <c r="AO120" s="204">
        <v>11.185125403566847</v>
      </c>
      <c r="AP120" t="s">
        <v>94</v>
      </c>
      <c r="AR120" t="s">
        <v>180</v>
      </c>
      <c r="AS120">
        <v>183</v>
      </c>
      <c r="AT120" t="s">
        <v>102</v>
      </c>
      <c r="AV120" t="s">
        <v>101</v>
      </c>
      <c r="AX120" t="s">
        <v>103</v>
      </c>
      <c r="AZ120" t="s">
        <v>104</v>
      </c>
      <c r="BB120" t="s">
        <v>105</v>
      </c>
    </row>
    <row r="121" spans="1:54" hidden="1" x14ac:dyDescent="0.3">
      <c r="A121" t="s">
        <v>409</v>
      </c>
      <c r="B121" t="s">
        <v>223</v>
      </c>
      <c r="C121" s="46">
        <v>45762.625</v>
      </c>
      <c r="D121" t="s">
        <v>32</v>
      </c>
      <c r="E121">
        <v>4.5</v>
      </c>
      <c r="F121" t="s">
        <v>33</v>
      </c>
      <c r="G121">
        <v>5.8</v>
      </c>
      <c r="H121" t="s">
        <v>82</v>
      </c>
      <c r="I121">
        <v>9.7882999999999996</v>
      </c>
      <c r="J121" t="s">
        <v>83</v>
      </c>
      <c r="K121">
        <v>994.3</v>
      </c>
      <c r="L121" t="s">
        <v>84</v>
      </c>
      <c r="M121">
        <v>-0.8</v>
      </c>
      <c r="N121" t="s">
        <v>85</v>
      </c>
      <c r="O121">
        <v>60.91</v>
      </c>
      <c r="P121" t="s">
        <v>86</v>
      </c>
      <c r="Q121">
        <v>59.45</v>
      </c>
      <c r="R121" t="s">
        <v>87</v>
      </c>
      <c r="S121">
        <v>18.16</v>
      </c>
      <c r="T121" t="s">
        <v>88</v>
      </c>
      <c r="U121">
        <v>5.57</v>
      </c>
      <c r="V121" t="s">
        <v>89</v>
      </c>
      <c r="W121">
        <v>0.43</v>
      </c>
      <c r="X121" t="s">
        <v>90</v>
      </c>
      <c r="Y121">
        <v>6.42</v>
      </c>
      <c r="Z121" s="73" t="s">
        <v>91</v>
      </c>
      <c r="AA121" s="91">
        <f t="shared" si="2"/>
        <v>10</v>
      </c>
      <c r="AB121" s="73" t="s">
        <v>92</v>
      </c>
      <c r="AC121" s="73">
        <v>0</v>
      </c>
      <c r="AD121" s="73" t="s">
        <v>93</v>
      </c>
      <c r="AE121" s="73">
        <v>10</v>
      </c>
      <c r="AF121" t="s">
        <v>95</v>
      </c>
      <c r="AG121">
        <v>62</v>
      </c>
      <c r="AH121" t="s">
        <v>100</v>
      </c>
      <c r="AI121">
        <v>2.5499999999999998</v>
      </c>
      <c r="AJ121" t="s">
        <v>97</v>
      </c>
      <c r="AK121">
        <v>0.85499999999999998</v>
      </c>
      <c r="AL121" t="s">
        <v>98</v>
      </c>
      <c r="AM121">
        <v>0.25480000000000003</v>
      </c>
      <c r="AN121" s="203" t="s">
        <v>99</v>
      </c>
      <c r="AO121" s="204">
        <v>11.531232771014356</v>
      </c>
      <c r="AP121" t="s">
        <v>94</v>
      </c>
      <c r="AR121" t="s">
        <v>180</v>
      </c>
      <c r="AS121">
        <v>186</v>
      </c>
      <c r="AT121" t="s">
        <v>102</v>
      </c>
      <c r="AV121" t="s">
        <v>101</v>
      </c>
      <c r="AX121" t="s">
        <v>103</v>
      </c>
      <c r="AZ121" t="s">
        <v>104</v>
      </c>
      <c r="BB121" t="s">
        <v>105</v>
      </c>
    </row>
    <row r="122" spans="1:54" hidden="1" x14ac:dyDescent="0.3">
      <c r="A122" t="s">
        <v>429</v>
      </c>
      <c r="B122" t="s">
        <v>223</v>
      </c>
      <c r="C122" s="46">
        <v>45763.375</v>
      </c>
      <c r="D122" t="s">
        <v>32</v>
      </c>
      <c r="F122" t="s">
        <v>33</v>
      </c>
      <c r="H122" t="s">
        <v>82</v>
      </c>
      <c r="I122">
        <v>9.8400999999999996</v>
      </c>
      <c r="J122" t="s">
        <v>83</v>
      </c>
      <c r="K122">
        <v>993.8</v>
      </c>
      <c r="L122" t="s">
        <v>84</v>
      </c>
      <c r="M122">
        <v>-1.2</v>
      </c>
      <c r="N122" t="s">
        <v>85</v>
      </c>
      <c r="O122">
        <v>39.479999999999997</v>
      </c>
      <c r="P122" t="s">
        <v>86</v>
      </c>
      <c r="Q122">
        <v>38.79</v>
      </c>
      <c r="R122" t="s">
        <v>87</v>
      </c>
      <c r="S122">
        <v>20.62</v>
      </c>
      <c r="T122" t="s">
        <v>88</v>
      </c>
      <c r="U122">
        <v>2.23</v>
      </c>
      <c r="V122" t="s">
        <v>89</v>
      </c>
      <c r="W122">
        <v>0.08</v>
      </c>
      <c r="X122" t="s">
        <v>90</v>
      </c>
      <c r="Y122">
        <v>6.78</v>
      </c>
      <c r="Z122" s="73" t="s">
        <v>91</v>
      </c>
      <c r="AA122" s="91">
        <f t="shared" si="2"/>
        <v>10</v>
      </c>
      <c r="AB122" s="73" t="s">
        <v>92</v>
      </c>
      <c r="AC122" s="73">
        <v>0</v>
      </c>
      <c r="AD122" s="73" t="s">
        <v>93</v>
      </c>
      <c r="AE122" s="73">
        <v>10</v>
      </c>
      <c r="AF122" t="s">
        <v>95</v>
      </c>
      <c r="AG122">
        <v>47</v>
      </c>
      <c r="AH122" t="s">
        <v>100</v>
      </c>
      <c r="AI122">
        <v>2.58</v>
      </c>
      <c r="AJ122" t="s">
        <v>97</v>
      </c>
      <c r="AK122">
        <v>0.77290000000000003</v>
      </c>
      <c r="AL122" t="s">
        <v>98</v>
      </c>
      <c r="AM122">
        <v>0.22189999999999999</v>
      </c>
      <c r="AN122" s="203" t="s">
        <v>99</v>
      </c>
      <c r="AO122" s="204">
        <v>11.617951222664512</v>
      </c>
      <c r="AP122" t="s">
        <v>94</v>
      </c>
      <c r="AR122" t="s">
        <v>180</v>
      </c>
      <c r="AS122">
        <v>177</v>
      </c>
      <c r="AT122" t="s">
        <v>102</v>
      </c>
      <c r="AV122" t="s">
        <v>101</v>
      </c>
      <c r="AX122" t="s">
        <v>103</v>
      </c>
      <c r="AZ122" t="s">
        <v>104</v>
      </c>
      <c r="BB122" t="s">
        <v>105</v>
      </c>
    </row>
    <row r="123" spans="1:54" hidden="1" x14ac:dyDescent="0.3">
      <c r="A123" t="s">
        <v>239</v>
      </c>
      <c r="B123" t="s">
        <v>223</v>
      </c>
      <c r="C123" s="46">
        <v>45763.625</v>
      </c>
      <c r="D123" t="s">
        <v>32</v>
      </c>
      <c r="E123">
        <v>4.0999999999999996</v>
      </c>
      <c r="F123" t="s">
        <v>33</v>
      </c>
      <c r="G123">
        <v>4</v>
      </c>
      <c r="H123" t="s">
        <v>82</v>
      </c>
      <c r="I123">
        <v>9.7966999999999995</v>
      </c>
      <c r="J123" t="s">
        <v>83</v>
      </c>
      <c r="K123">
        <v>991.8</v>
      </c>
      <c r="L123" t="s">
        <v>84</v>
      </c>
      <c r="M123">
        <v>-1.4</v>
      </c>
      <c r="N123" t="s">
        <v>85</v>
      </c>
      <c r="O123">
        <v>48</v>
      </c>
      <c r="P123" t="s">
        <v>86</v>
      </c>
      <c r="Q123">
        <v>47.16</v>
      </c>
      <c r="R123" t="s">
        <v>87</v>
      </c>
      <c r="S123">
        <v>18.72</v>
      </c>
      <c r="T123" t="s">
        <v>88</v>
      </c>
      <c r="U123">
        <v>1.57</v>
      </c>
      <c r="V123" t="s">
        <v>89</v>
      </c>
      <c r="W123">
        <v>0.08</v>
      </c>
      <c r="X123" t="s">
        <v>90</v>
      </c>
      <c r="Y123">
        <v>6.57</v>
      </c>
      <c r="Z123" s="73" t="s">
        <v>91</v>
      </c>
      <c r="AA123" s="91">
        <f t="shared" si="2"/>
        <v>10</v>
      </c>
      <c r="AB123" s="73" t="s">
        <v>92</v>
      </c>
      <c r="AC123" s="73">
        <v>0</v>
      </c>
      <c r="AD123" s="73" t="s">
        <v>93</v>
      </c>
      <c r="AE123" s="73">
        <v>10</v>
      </c>
      <c r="AF123" t="s">
        <v>95</v>
      </c>
      <c r="AG123">
        <v>49</v>
      </c>
      <c r="AH123" t="s">
        <v>100</v>
      </c>
      <c r="AI123">
        <v>2.57</v>
      </c>
      <c r="AJ123" t="s">
        <v>97</v>
      </c>
      <c r="AK123">
        <v>0.7903</v>
      </c>
      <c r="AL123" t="s">
        <v>98</v>
      </c>
      <c r="AM123">
        <v>0.22170000000000001</v>
      </c>
      <c r="AN123" s="201" t="s">
        <v>99</v>
      </c>
      <c r="AO123" s="201">
        <v>11.98</v>
      </c>
      <c r="AP123" t="s">
        <v>94</v>
      </c>
      <c r="AQ123">
        <v>0.34</v>
      </c>
      <c r="AR123" t="s">
        <v>180</v>
      </c>
      <c r="AS123">
        <v>185</v>
      </c>
      <c r="AT123" t="s">
        <v>102</v>
      </c>
      <c r="AU123">
        <v>229</v>
      </c>
      <c r="AV123" t="s">
        <v>101</v>
      </c>
      <c r="AW123">
        <v>2.9</v>
      </c>
      <c r="AX123" t="s">
        <v>103</v>
      </c>
      <c r="AY123">
        <v>3.2</v>
      </c>
      <c r="AZ123" t="s">
        <v>104</v>
      </c>
      <c r="BA123">
        <v>5</v>
      </c>
      <c r="BB123" t="s">
        <v>105</v>
      </c>
    </row>
    <row r="124" spans="1:54" hidden="1" x14ac:dyDescent="0.3">
      <c r="A124" t="s">
        <v>403</v>
      </c>
      <c r="B124" t="s">
        <v>241</v>
      </c>
      <c r="C124" s="46">
        <v>45755.75</v>
      </c>
      <c r="D124" t="s">
        <v>32</v>
      </c>
      <c r="F124" t="s">
        <v>33</v>
      </c>
      <c r="H124" t="s">
        <v>82</v>
      </c>
      <c r="I124">
        <v>10.4656</v>
      </c>
      <c r="J124" t="s">
        <v>83</v>
      </c>
      <c r="K124">
        <v>1059.0999999999999</v>
      </c>
      <c r="L124" t="s">
        <v>84</v>
      </c>
      <c r="M124">
        <v>15.1</v>
      </c>
      <c r="N124" t="s">
        <v>85</v>
      </c>
      <c r="O124">
        <v>24.2</v>
      </c>
      <c r="P124" t="s">
        <v>86</v>
      </c>
      <c r="Q124">
        <v>20.12</v>
      </c>
      <c r="R124" t="s">
        <v>87</v>
      </c>
      <c r="S124">
        <v>21.35</v>
      </c>
      <c r="T124" t="s">
        <v>88</v>
      </c>
      <c r="U124">
        <v>78.59</v>
      </c>
      <c r="V124" t="s">
        <v>89</v>
      </c>
      <c r="W124">
        <v>69.77</v>
      </c>
      <c r="X124" t="s">
        <v>90</v>
      </c>
      <c r="Y124">
        <v>3.42</v>
      </c>
      <c r="Z124" t="s">
        <v>91</v>
      </c>
      <c r="AA124" s="91">
        <f t="shared" si="2"/>
        <v>104.97999999999999</v>
      </c>
      <c r="AB124" t="s">
        <v>92</v>
      </c>
      <c r="AC124">
        <v>39</v>
      </c>
      <c r="AD124" t="s">
        <v>93</v>
      </c>
      <c r="AE124">
        <v>73</v>
      </c>
      <c r="AF124" t="s">
        <v>95</v>
      </c>
      <c r="AG124">
        <v>26</v>
      </c>
      <c r="AH124" t="s">
        <v>100</v>
      </c>
      <c r="AI124">
        <v>3.15</v>
      </c>
      <c r="AJ124" t="s">
        <v>97</v>
      </c>
      <c r="AK124">
        <v>3.2599999999999997E-2</v>
      </c>
      <c r="AL124" t="s">
        <v>98</v>
      </c>
      <c r="AM124">
        <v>-0.14849999999999999</v>
      </c>
      <c r="AN124" s="201" t="s">
        <v>99</v>
      </c>
      <c r="AO124" s="201">
        <v>0.94</v>
      </c>
      <c r="AP124" t="s">
        <v>94</v>
      </c>
      <c r="AQ124">
        <v>0.19</v>
      </c>
      <c r="AR124" t="s">
        <v>180</v>
      </c>
      <c r="AS124">
        <v>172</v>
      </c>
      <c r="AT124" t="s">
        <v>102</v>
      </c>
      <c r="AU124">
        <v>359</v>
      </c>
      <c r="AV124" t="s">
        <v>101</v>
      </c>
      <c r="AW124">
        <v>0.48</v>
      </c>
      <c r="AX124" t="s">
        <v>103</v>
      </c>
      <c r="AY124">
        <v>2.9</v>
      </c>
      <c r="AZ124" t="s">
        <v>104</v>
      </c>
      <c r="BA124">
        <v>4</v>
      </c>
      <c r="BB124" t="s">
        <v>105</v>
      </c>
    </row>
    <row r="125" spans="1:54" hidden="1" x14ac:dyDescent="0.3">
      <c r="A125" t="s">
        <v>405</v>
      </c>
      <c r="B125" t="s">
        <v>241</v>
      </c>
      <c r="C125" s="46">
        <v>45756.375</v>
      </c>
      <c r="D125" t="s">
        <v>32</v>
      </c>
      <c r="F125" t="s">
        <v>33</v>
      </c>
      <c r="H125" t="s">
        <v>82</v>
      </c>
      <c r="I125">
        <v>10.3911</v>
      </c>
      <c r="J125" t="s">
        <v>83</v>
      </c>
      <c r="K125">
        <v>1058.4000000000001</v>
      </c>
      <c r="L125" t="s">
        <v>84</v>
      </c>
      <c r="M125">
        <v>14.8</v>
      </c>
      <c r="N125" t="s">
        <v>85</v>
      </c>
      <c r="O125">
        <v>24.23</v>
      </c>
      <c r="P125" t="s">
        <v>86</v>
      </c>
      <c r="Q125">
        <v>21.16</v>
      </c>
      <c r="R125" t="s">
        <v>87</v>
      </c>
      <c r="S125">
        <v>21.24</v>
      </c>
      <c r="T125" t="s">
        <v>88</v>
      </c>
      <c r="U125">
        <v>73.599999999999994</v>
      </c>
      <c r="V125" t="s">
        <v>89</v>
      </c>
      <c r="W125">
        <v>63.2</v>
      </c>
      <c r="X125" t="s">
        <v>90</v>
      </c>
      <c r="Y125">
        <v>2.87</v>
      </c>
      <c r="Z125" t="s">
        <v>91</v>
      </c>
      <c r="AA125" s="91">
        <f t="shared" si="2"/>
        <v>90.78</v>
      </c>
      <c r="AB125" t="s">
        <v>92</v>
      </c>
      <c r="AC125">
        <v>29</v>
      </c>
      <c r="AD125" t="s">
        <v>93</v>
      </c>
      <c r="AE125">
        <v>67</v>
      </c>
      <c r="AF125" t="s">
        <v>95</v>
      </c>
      <c r="AG125">
        <v>43</v>
      </c>
      <c r="AH125" t="s">
        <v>100</v>
      </c>
      <c r="AI125">
        <v>3.21</v>
      </c>
      <c r="AJ125" t="s">
        <v>97</v>
      </c>
      <c r="AK125">
        <v>0.246</v>
      </c>
      <c r="AL125" t="s">
        <v>98</v>
      </c>
      <c r="AM125">
        <v>1.72E-2</v>
      </c>
      <c r="AN125" s="203" t="s">
        <v>99</v>
      </c>
      <c r="AO125" s="204">
        <v>1.0485600501328878</v>
      </c>
      <c r="AP125" t="s">
        <v>94</v>
      </c>
      <c r="AR125" t="s">
        <v>180</v>
      </c>
      <c r="AS125">
        <v>217</v>
      </c>
      <c r="AT125" t="s">
        <v>102</v>
      </c>
      <c r="AV125" t="s">
        <v>101</v>
      </c>
      <c r="AX125" t="s">
        <v>103</v>
      </c>
      <c r="AZ125" t="s">
        <v>104</v>
      </c>
      <c r="BB125" t="s">
        <v>105</v>
      </c>
    </row>
    <row r="126" spans="1:54" hidden="1" x14ac:dyDescent="0.3">
      <c r="A126" t="s">
        <v>407</v>
      </c>
      <c r="B126" t="s">
        <v>241</v>
      </c>
      <c r="C126" s="46">
        <v>45756.625</v>
      </c>
      <c r="D126" t="s">
        <v>32</v>
      </c>
      <c r="F126" t="s">
        <v>33</v>
      </c>
      <c r="H126" t="s">
        <v>82</v>
      </c>
      <c r="I126">
        <v>10.379300000000001</v>
      </c>
      <c r="J126" t="s">
        <v>83</v>
      </c>
      <c r="K126">
        <v>1056.4000000000001</v>
      </c>
      <c r="L126" t="s">
        <v>84</v>
      </c>
      <c r="M126">
        <v>14.4</v>
      </c>
      <c r="N126" t="s">
        <v>85</v>
      </c>
      <c r="O126">
        <v>18.36</v>
      </c>
      <c r="P126" t="s">
        <v>86</v>
      </c>
      <c r="Q126">
        <v>15.67</v>
      </c>
      <c r="R126" t="s">
        <v>87</v>
      </c>
      <c r="S126">
        <v>20.92</v>
      </c>
      <c r="T126" t="s">
        <v>88</v>
      </c>
      <c r="U126">
        <v>73.38</v>
      </c>
      <c r="V126" t="s">
        <v>89</v>
      </c>
      <c r="W126">
        <v>63.03</v>
      </c>
      <c r="X126" t="s">
        <v>90</v>
      </c>
      <c r="Y126">
        <v>3.09</v>
      </c>
      <c r="Z126" t="s">
        <v>91</v>
      </c>
      <c r="AA126" s="91">
        <f t="shared" si="2"/>
        <v>80.5</v>
      </c>
      <c r="AB126" t="s">
        <v>92</v>
      </c>
      <c r="AC126">
        <v>25</v>
      </c>
      <c r="AD126" t="s">
        <v>93</v>
      </c>
      <c r="AE126">
        <v>60</v>
      </c>
      <c r="AF126" t="s">
        <v>95</v>
      </c>
      <c r="AG126">
        <v>54</v>
      </c>
      <c r="AH126" t="s">
        <v>100</v>
      </c>
      <c r="AI126">
        <v>3.05</v>
      </c>
      <c r="AJ126" t="s">
        <v>97</v>
      </c>
      <c r="AK126">
        <v>0.27039999999999997</v>
      </c>
      <c r="AL126" t="s">
        <v>98</v>
      </c>
      <c r="AM126">
        <v>4.0399999999999998E-2</v>
      </c>
      <c r="AN126" s="203" t="s">
        <v>99</v>
      </c>
      <c r="AO126" s="204">
        <v>1.3594355570004597</v>
      </c>
      <c r="AP126" t="s">
        <v>94</v>
      </c>
      <c r="AR126" t="s">
        <v>180</v>
      </c>
      <c r="AS126">
        <v>236</v>
      </c>
      <c r="AT126" t="s">
        <v>102</v>
      </c>
      <c r="AV126" t="s">
        <v>101</v>
      </c>
      <c r="AX126" t="s">
        <v>103</v>
      </c>
      <c r="AZ126" t="s">
        <v>104</v>
      </c>
      <c r="BB126" t="s">
        <v>105</v>
      </c>
    </row>
    <row r="127" spans="1:54" hidden="1" x14ac:dyDescent="0.3">
      <c r="A127" t="s">
        <v>427</v>
      </c>
      <c r="B127" t="s">
        <v>241</v>
      </c>
      <c r="C127" s="46">
        <v>45757.375</v>
      </c>
      <c r="D127" t="s">
        <v>32</v>
      </c>
      <c r="E127">
        <v>22</v>
      </c>
      <c r="F127" t="s">
        <v>33</v>
      </c>
      <c r="G127">
        <v>11.5</v>
      </c>
      <c r="H127" t="s">
        <v>82</v>
      </c>
      <c r="I127">
        <v>10.3513</v>
      </c>
      <c r="J127" t="s">
        <v>83</v>
      </c>
      <c r="K127">
        <v>1046.0999999999999</v>
      </c>
      <c r="L127" t="s">
        <v>84</v>
      </c>
      <c r="M127">
        <v>11.9</v>
      </c>
      <c r="N127" t="s">
        <v>85</v>
      </c>
      <c r="O127">
        <v>35.71</v>
      </c>
      <c r="P127" t="s">
        <v>86</v>
      </c>
      <c r="Q127">
        <v>33.56</v>
      </c>
      <c r="R127" t="s">
        <v>87</v>
      </c>
      <c r="S127">
        <v>21.72</v>
      </c>
      <c r="T127" t="s">
        <v>88</v>
      </c>
      <c r="U127">
        <v>64.98</v>
      </c>
      <c r="V127" t="s">
        <v>89</v>
      </c>
      <c r="W127">
        <v>46</v>
      </c>
      <c r="X127" t="s">
        <v>90</v>
      </c>
      <c r="Y127">
        <v>3.92</v>
      </c>
      <c r="Z127" t="s">
        <v>91</v>
      </c>
      <c r="AA127" s="91">
        <f t="shared" si="2"/>
        <v>18.46</v>
      </c>
      <c r="AB127" t="s">
        <v>92</v>
      </c>
      <c r="AC127">
        <v>3</v>
      </c>
      <c r="AD127" t="s">
        <v>93</v>
      </c>
      <c r="AE127">
        <v>16</v>
      </c>
      <c r="AF127" t="s">
        <v>95</v>
      </c>
      <c r="AG127">
        <v>78</v>
      </c>
      <c r="AH127" t="s">
        <v>100</v>
      </c>
      <c r="AI127">
        <v>2.96</v>
      </c>
      <c r="AJ127" t="s">
        <v>97</v>
      </c>
      <c r="AK127">
        <v>0.48770000000000002</v>
      </c>
      <c r="AL127" t="s">
        <v>98</v>
      </c>
      <c r="AM127">
        <v>9.0999999999999998E-2</v>
      </c>
      <c r="AN127" s="203" t="s">
        <v>99</v>
      </c>
      <c r="AO127" s="204">
        <v>2.9771587992622996</v>
      </c>
      <c r="AP127" t="s">
        <v>94</v>
      </c>
      <c r="AR127" t="s">
        <v>180</v>
      </c>
      <c r="AS127">
        <v>235</v>
      </c>
      <c r="AT127" t="s">
        <v>102</v>
      </c>
      <c r="AV127" t="s">
        <v>101</v>
      </c>
      <c r="AX127" t="s">
        <v>103</v>
      </c>
      <c r="AZ127" t="s">
        <v>104</v>
      </c>
      <c r="BB127" t="s">
        <v>105</v>
      </c>
    </row>
    <row r="128" spans="1:54" hidden="1" x14ac:dyDescent="0.3">
      <c r="A128" t="s">
        <v>411</v>
      </c>
      <c r="B128" t="s">
        <v>241</v>
      </c>
      <c r="C128" s="46">
        <v>45757.5</v>
      </c>
      <c r="D128" t="s">
        <v>32</v>
      </c>
      <c r="F128" t="s">
        <v>33</v>
      </c>
      <c r="H128" t="s">
        <v>82</v>
      </c>
      <c r="I128">
        <v>10.325900000000001</v>
      </c>
      <c r="J128" t="s">
        <v>83</v>
      </c>
      <c r="K128">
        <v>1043.5999999999999</v>
      </c>
      <c r="L128" t="s">
        <v>84</v>
      </c>
      <c r="M128">
        <v>11.4</v>
      </c>
      <c r="N128" t="s">
        <v>85</v>
      </c>
      <c r="O128">
        <v>40.78</v>
      </c>
      <c r="P128" t="s">
        <v>86</v>
      </c>
      <c r="Q128">
        <v>38.25</v>
      </c>
      <c r="R128" t="s">
        <v>87</v>
      </c>
      <c r="S128">
        <v>23.73</v>
      </c>
      <c r="T128" t="s">
        <v>88</v>
      </c>
      <c r="U128">
        <v>63.42</v>
      </c>
      <c r="V128" t="s">
        <v>89</v>
      </c>
      <c r="W128">
        <v>42.99</v>
      </c>
      <c r="X128" t="s">
        <v>90</v>
      </c>
      <c r="Y128">
        <v>4.16</v>
      </c>
      <c r="Z128" t="s">
        <v>91</v>
      </c>
      <c r="AA128" s="91">
        <f t="shared" si="2"/>
        <v>59.62</v>
      </c>
      <c r="AB128" t="s">
        <v>92</v>
      </c>
      <c r="AC128">
        <v>41</v>
      </c>
      <c r="AD128" t="s">
        <v>93</v>
      </c>
      <c r="AE128">
        <v>26</v>
      </c>
      <c r="AF128" t="s">
        <v>95</v>
      </c>
      <c r="AG128">
        <v>82</v>
      </c>
      <c r="AH128" t="s">
        <v>100</v>
      </c>
      <c r="AI128">
        <v>2.93</v>
      </c>
      <c r="AJ128" t="s">
        <v>97</v>
      </c>
      <c r="AK128">
        <v>0.58609999999999995</v>
      </c>
      <c r="AL128" t="s">
        <v>98</v>
      </c>
      <c r="AM128">
        <v>9.64E-2</v>
      </c>
      <c r="AN128" s="203" t="s">
        <v>99</v>
      </c>
      <c r="AO128" s="204">
        <v>3.3740891802101007</v>
      </c>
      <c r="AP128" t="s">
        <v>94</v>
      </c>
      <c r="AR128" t="s">
        <v>180</v>
      </c>
      <c r="AS128">
        <v>233</v>
      </c>
      <c r="AT128" t="s">
        <v>102</v>
      </c>
      <c r="AV128" t="s">
        <v>101</v>
      </c>
      <c r="AX128" t="s">
        <v>103</v>
      </c>
      <c r="AZ128" t="s">
        <v>104</v>
      </c>
      <c r="BB128" t="s">
        <v>105</v>
      </c>
    </row>
    <row r="129" spans="1:54" hidden="1" x14ac:dyDescent="0.3">
      <c r="A129" t="s">
        <v>413</v>
      </c>
      <c r="B129" t="s">
        <v>241</v>
      </c>
      <c r="C129" s="46">
        <v>45757.645833333336</v>
      </c>
      <c r="D129" t="s">
        <v>32</v>
      </c>
      <c r="F129" t="s">
        <v>33</v>
      </c>
      <c r="H129" t="s">
        <v>82</v>
      </c>
      <c r="I129">
        <v>10.4193</v>
      </c>
      <c r="J129" t="s">
        <v>83</v>
      </c>
      <c r="K129">
        <v>1040.5999999999999</v>
      </c>
      <c r="L129" t="s">
        <v>84</v>
      </c>
      <c r="M129">
        <v>10.6</v>
      </c>
      <c r="N129" t="s">
        <v>85</v>
      </c>
      <c r="O129">
        <v>32.18</v>
      </c>
      <c r="P129" t="s">
        <v>86</v>
      </c>
      <c r="Q129">
        <v>31.49</v>
      </c>
      <c r="R129" t="s">
        <v>87</v>
      </c>
      <c r="S129">
        <v>28.88</v>
      </c>
      <c r="T129" t="s">
        <v>88</v>
      </c>
      <c r="U129">
        <v>60.25</v>
      </c>
      <c r="V129" t="s">
        <v>89</v>
      </c>
      <c r="W129">
        <v>38.840000000000003</v>
      </c>
      <c r="X129" t="s">
        <v>90</v>
      </c>
      <c r="Y129">
        <v>4.26</v>
      </c>
      <c r="Z129" t="s">
        <v>91</v>
      </c>
      <c r="AA129" s="91">
        <f t="shared" si="2"/>
        <v>34.58</v>
      </c>
      <c r="AB129" t="s">
        <v>92</v>
      </c>
      <c r="AC129">
        <v>19</v>
      </c>
      <c r="AD129" t="s">
        <v>93</v>
      </c>
      <c r="AE129">
        <v>19</v>
      </c>
      <c r="AF129" t="s">
        <v>95</v>
      </c>
      <c r="AG129">
        <v>98</v>
      </c>
      <c r="AH129" t="s">
        <v>100</v>
      </c>
      <c r="AI129">
        <v>2.87</v>
      </c>
      <c r="AJ129" t="s">
        <v>97</v>
      </c>
      <c r="AK129">
        <v>0.64710000000000001</v>
      </c>
      <c r="AL129" t="s">
        <v>98</v>
      </c>
      <c r="AM129">
        <v>0.1012</v>
      </c>
      <c r="AN129" s="203" t="s">
        <v>99</v>
      </c>
      <c r="AO129" s="204">
        <v>3.8526435973772721</v>
      </c>
      <c r="AP129" t="s">
        <v>94</v>
      </c>
      <c r="AR129" t="s">
        <v>180</v>
      </c>
      <c r="AS129">
        <v>230</v>
      </c>
      <c r="AT129" t="s">
        <v>102</v>
      </c>
      <c r="AV129" t="s">
        <v>101</v>
      </c>
      <c r="AX129" t="s">
        <v>103</v>
      </c>
      <c r="AZ129" t="s">
        <v>104</v>
      </c>
      <c r="BB129" t="s">
        <v>105</v>
      </c>
    </row>
    <row r="130" spans="1:54" hidden="1" x14ac:dyDescent="0.3">
      <c r="A130" t="s">
        <v>428</v>
      </c>
      <c r="B130" t="s">
        <v>241</v>
      </c>
      <c r="C130" s="46">
        <v>45758.375</v>
      </c>
      <c r="D130" t="s">
        <v>32</v>
      </c>
      <c r="E130">
        <v>34</v>
      </c>
      <c r="F130" t="s">
        <v>33</v>
      </c>
      <c r="G130">
        <v>19.899999999999999</v>
      </c>
      <c r="H130" t="s">
        <v>82</v>
      </c>
      <c r="I130">
        <v>10.1294</v>
      </c>
      <c r="J130" t="s">
        <v>83</v>
      </c>
      <c r="K130">
        <v>1024.8</v>
      </c>
      <c r="L130" t="s">
        <v>84</v>
      </c>
      <c r="M130">
        <v>6.8</v>
      </c>
      <c r="N130" t="s">
        <v>85</v>
      </c>
      <c r="O130">
        <v>40.090000000000003</v>
      </c>
      <c r="P130" t="s">
        <v>86</v>
      </c>
      <c r="Q130">
        <v>40.090000000000003</v>
      </c>
      <c r="R130" t="s">
        <v>87</v>
      </c>
      <c r="S130">
        <v>24.9</v>
      </c>
      <c r="T130" t="s">
        <v>88</v>
      </c>
      <c r="U130">
        <v>44.24</v>
      </c>
      <c r="V130" t="s">
        <v>89</v>
      </c>
      <c r="W130">
        <v>23.28</v>
      </c>
      <c r="X130" t="s">
        <v>90</v>
      </c>
      <c r="Y130">
        <v>5.59</v>
      </c>
      <c r="Z130" t="s">
        <v>91</v>
      </c>
      <c r="AA130" s="91">
        <f t="shared" si="2"/>
        <v>12.46</v>
      </c>
      <c r="AB130" t="s">
        <v>92</v>
      </c>
      <c r="AC130">
        <v>3</v>
      </c>
      <c r="AD130" t="s">
        <v>93</v>
      </c>
      <c r="AE130">
        <v>10</v>
      </c>
      <c r="AF130" t="s">
        <v>95</v>
      </c>
      <c r="AH130" t="s">
        <v>100</v>
      </c>
      <c r="AI130">
        <v>2.71</v>
      </c>
      <c r="AJ130" t="s">
        <v>97</v>
      </c>
      <c r="AK130">
        <v>0.876</v>
      </c>
      <c r="AL130" t="s">
        <v>98</v>
      </c>
      <c r="AM130">
        <v>0.19439999999999999</v>
      </c>
      <c r="AN130" s="203" t="s">
        <v>99</v>
      </c>
      <c r="AO130" s="204">
        <v>6.4140844610875511</v>
      </c>
      <c r="AP130" t="s">
        <v>94</v>
      </c>
      <c r="AR130" t="s">
        <v>180</v>
      </c>
      <c r="AS130">
        <v>212</v>
      </c>
      <c r="AT130" t="s">
        <v>102</v>
      </c>
      <c r="AV130" t="s">
        <v>101</v>
      </c>
      <c r="AX130" t="s">
        <v>103</v>
      </c>
      <c r="AZ130" t="s">
        <v>104</v>
      </c>
      <c r="BB130" t="s">
        <v>105</v>
      </c>
    </row>
    <row r="131" spans="1:54" hidden="1" x14ac:dyDescent="0.3">
      <c r="A131" t="s">
        <v>417</v>
      </c>
      <c r="B131" t="s">
        <v>241</v>
      </c>
      <c r="C131" s="46">
        <v>45758.604166666664</v>
      </c>
      <c r="D131" t="s">
        <v>32</v>
      </c>
      <c r="F131" t="s">
        <v>33</v>
      </c>
      <c r="H131" t="s">
        <v>82</v>
      </c>
      <c r="I131">
        <v>10.624000000000001</v>
      </c>
      <c r="J131" t="s">
        <v>83</v>
      </c>
      <c r="K131">
        <v>1022.7</v>
      </c>
      <c r="L131" t="s">
        <v>84</v>
      </c>
      <c r="M131">
        <v>6.3</v>
      </c>
      <c r="N131" t="s">
        <v>85</v>
      </c>
      <c r="O131">
        <v>85.48</v>
      </c>
      <c r="P131" t="s">
        <v>86</v>
      </c>
      <c r="Q131">
        <v>74.42</v>
      </c>
      <c r="R131" t="s">
        <v>87</v>
      </c>
      <c r="S131">
        <v>16.98</v>
      </c>
      <c r="T131" t="s">
        <v>88</v>
      </c>
      <c r="U131">
        <v>43.45</v>
      </c>
      <c r="V131" t="s">
        <v>89</v>
      </c>
      <c r="W131">
        <v>16.55</v>
      </c>
      <c r="X131" t="s">
        <v>90</v>
      </c>
      <c r="Y131">
        <v>5.85</v>
      </c>
      <c r="Z131" t="s">
        <v>91</v>
      </c>
      <c r="AA131" s="91">
        <f t="shared" si="2"/>
        <v>18.2</v>
      </c>
      <c r="AB131" t="s">
        <v>92</v>
      </c>
      <c r="AC131">
        <v>10</v>
      </c>
      <c r="AD131" t="s">
        <v>93</v>
      </c>
      <c r="AE131">
        <v>10</v>
      </c>
      <c r="AF131" t="s">
        <v>95</v>
      </c>
      <c r="AG131">
        <v>81</v>
      </c>
      <c r="AH131" t="s">
        <v>100</v>
      </c>
      <c r="AI131">
        <v>2.74</v>
      </c>
      <c r="AJ131" t="s">
        <v>97</v>
      </c>
      <c r="AK131">
        <v>0.85629999999999995</v>
      </c>
      <c r="AL131" t="s">
        <v>98</v>
      </c>
      <c r="AM131">
        <v>0.16819999999999999</v>
      </c>
      <c r="AN131" s="203" t="s">
        <v>99</v>
      </c>
      <c r="AO131" s="204">
        <v>6.759819554640206</v>
      </c>
      <c r="AP131" t="s">
        <v>94</v>
      </c>
      <c r="AR131" t="s">
        <v>180</v>
      </c>
      <c r="AS131">
        <v>201</v>
      </c>
      <c r="AT131" t="s">
        <v>102</v>
      </c>
      <c r="AV131" t="s">
        <v>101</v>
      </c>
      <c r="AX131" t="s">
        <v>103</v>
      </c>
      <c r="AZ131" t="s">
        <v>104</v>
      </c>
      <c r="BB131" t="s">
        <v>105</v>
      </c>
    </row>
    <row r="132" spans="1:54" hidden="1" x14ac:dyDescent="0.3">
      <c r="A132" t="s">
        <v>431</v>
      </c>
      <c r="B132" t="s">
        <v>241</v>
      </c>
      <c r="C132" s="46">
        <v>45759.416666666664</v>
      </c>
      <c r="D132" t="s">
        <v>32</v>
      </c>
      <c r="E132">
        <v>25</v>
      </c>
      <c r="F132" t="s">
        <v>33</v>
      </c>
      <c r="G132">
        <v>16.5</v>
      </c>
      <c r="H132" t="s">
        <v>82</v>
      </c>
      <c r="I132">
        <v>10.3879</v>
      </c>
      <c r="J132" t="s">
        <v>83</v>
      </c>
      <c r="K132">
        <v>1012.7</v>
      </c>
      <c r="L132" t="s">
        <v>84</v>
      </c>
      <c r="M132">
        <v>3.7</v>
      </c>
      <c r="N132" t="s">
        <v>85</v>
      </c>
      <c r="O132">
        <v>56.84</v>
      </c>
      <c r="P132" t="s">
        <v>86</v>
      </c>
      <c r="Q132">
        <v>55.99</v>
      </c>
      <c r="R132" t="s">
        <v>87</v>
      </c>
      <c r="S132">
        <v>16.760000000000002</v>
      </c>
      <c r="T132" t="s">
        <v>88</v>
      </c>
      <c r="U132">
        <v>32.380000000000003</v>
      </c>
      <c r="V132" t="s">
        <v>89</v>
      </c>
      <c r="W132">
        <v>7.46</v>
      </c>
      <c r="X132" t="s">
        <v>90</v>
      </c>
      <c r="Y132">
        <v>6.34</v>
      </c>
      <c r="Z132" t="s">
        <v>91</v>
      </c>
      <c r="AA132" s="91">
        <f t="shared" si="2"/>
        <v>13.28</v>
      </c>
      <c r="AB132" t="s">
        <v>92</v>
      </c>
      <c r="AC132">
        <v>4</v>
      </c>
      <c r="AD132" t="s">
        <v>93</v>
      </c>
      <c r="AE132">
        <v>10</v>
      </c>
      <c r="AF132" t="s">
        <v>95</v>
      </c>
      <c r="AG132">
        <v>65</v>
      </c>
      <c r="AH132" t="s">
        <v>100</v>
      </c>
      <c r="AI132">
        <v>2.66</v>
      </c>
      <c r="AJ132" t="s">
        <v>97</v>
      </c>
      <c r="AK132">
        <v>0.71340000000000003</v>
      </c>
      <c r="AL132" t="s">
        <v>98</v>
      </c>
      <c r="AM132">
        <v>0.16339999999999999</v>
      </c>
      <c r="AN132" s="203" t="s">
        <v>99</v>
      </c>
      <c r="AO132" s="204">
        <v>8.4236151833627346</v>
      </c>
      <c r="AP132" t="s">
        <v>94</v>
      </c>
      <c r="AR132" t="s">
        <v>180</v>
      </c>
      <c r="AS132">
        <v>198</v>
      </c>
      <c r="AT132" t="s">
        <v>102</v>
      </c>
      <c r="AV132" t="s">
        <v>101</v>
      </c>
      <c r="AX132" t="s">
        <v>103</v>
      </c>
      <c r="AZ132" t="s">
        <v>104</v>
      </c>
      <c r="BB132" t="s">
        <v>105</v>
      </c>
    </row>
    <row r="133" spans="1:54" hidden="1" x14ac:dyDescent="0.3">
      <c r="A133" t="s">
        <v>420</v>
      </c>
      <c r="B133" t="s">
        <v>241</v>
      </c>
      <c r="C133" s="46">
        <v>45760.708333333336</v>
      </c>
      <c r="D133" t="s">
        <v>32</v>
      </c>
      <c r="F133" t="s">
        <v>33</v>
      </c>
      <c r="H133" t="s">
        <v>82</v>
      </c>
      <c r="I133">
        <v>10.4094</v>
      </c>
      <c r="J133" t="s">
        <v>83</v>
      </c>
      <c r="K133">
        <v>1002.4</v>
      </c>
      <c r="L133" t="s">
        <v>84</v>
      </c>
      <c r="M133">
        <v>1.1000000000000001</v>
      </c>
      <c r="N133" t="s">
        <v>85</v>
      </c>
      <c r="O133">
        <v>81.41</v>
      </c>
      <c r="P133" t="s">
        <v>86</v>
      </c>
      <c r="Q133">
        <v>72.27</v>
      </c>
      <c r="R133" t="s">
        <v>87</v>
      </c>
      <c r="S133">
        <v>9.15</v>
      </c>
      <c r="T133" t="s">
        <v>88</v>
      </c>
      <c r="U133">
        <v>16.96</v>
      </c>
      <c r="V133" t="s">
        <v>89</v>
      </c>
      <c r="W133">
        <v>1.55</v>
      </c>
      <c r="X133" t="s">
        <v>90</v>
      </c>
      <c r="Y133">
        <v>6.8</v>
      </c>
      <c r="Z133" t="s">
        <v>91</v>
      </c>
      <c r="AA133" s="91">
        <f t="shared" si="2"/>
        <v>17.2</v>
      </c>
      <c r="AB133" t="s">
        <v>92</v>
      </c>
      <c r="AC133">
        <v>10</v>
      </c>
      <c r="AD133" t="s">
        <v>93</v>
      </c>
      <c r="AE133">
        <v>9</v>
      </c>
      <c r="AF133" t="s">
        <v>95</v>
      </c>
      <c r="AG133">
        <v>55</v>
      </c>
      <c r="AH133" t="s">
        <v>100</v>
      </c>
      <c r="AI133">
        <v>2.64</v>
      </c>
      <c r="AJ133" t="s">
        <v>97</v>
      </c>
      <c r="AK133">
        <v>1.1637999999999999</v>
      </c>
      <c r="AL133" t="s">
        <v>98</v>
      </c>
      <c r="AM133">
        <v>0.26840000000000003</v>
      </c>
      <c r="AN133" s="203" t="s">
        <v>99</v>
      </c>
      <c r="AO133" s="204">
        <v>10.168024620150033</v>
      </c>
      <c r="AP133" t="s">
        <v>94</v>
      </c>
      <c r="AR133" t="s">
        <v>180</v>
      </c>
      <c r="AS133">
        <v>189</v>
      </c>
      <c r="AT133" t="s">
        <v>102</v>
      </c>
      <c r="AV133" t="s">
        <v>101</v>
      </c>
      <c r="AX133" t="s">
        <v>103</v>
      </c>
      <c r="AZ133" t="s">
        <v>104</v>
      </c>
      <c r="BB133" t="s">
        <v>105</v>
      </c>
    </row>
    <row r="134" spans="1:54" hidden="1" x14ac:dyDescent="0.3">
      <c r="A134" t="s">
        <v>422</v>
      </c>
      <c r="B134" t="s">
        <v>241</v>
      </c>
      <c r="C134" s="46">
        <v>45761.375</v>
      </c>
      <c r="D134" t="s">
        <v>32</v>
      </c>
      <c r="F134" t="s">
        <v>33</v>
      </c>
      <c r="H134" t="s">
        <v>82</v>
      </c>
      <c r="I134">
        <v>10.370100000000001</v>
      </c>
      <c r="J134" t="s">
        <v>83</v>
      </c>
      <c r="K134">
        <v>998.8</v>
      </c>
      <c r="L134" t="s">
        <v>84</v>
      </c>
      <c r="M134">
        <v>0.2</v>
      </c>
      <c r="N134" t="s">
        <v>85</v>
      </c>
      <c r="O134">
        <v>59.96</v>
      </c>
      <c r="P134" t="s">
        <v>86</v>
      </c>
      <c r="Q134">
        <v>57.99</v>
      </c>
      <c r="R134" t="s">
        <v>87</v>
      </c>
      <c r="S134">
        <v>18.34</v>
      </c>
      <c r="T134" t="s">
        <v>88</v>
      </c>
      <c r="U134">
        <v>13.81</v>
      </c>
      <c r="V134" t="s">
        <v>89</v>
      </c>
      <c r="W134">
        <v>0.59</v>
      </c>
      <c r="X134" t="s">
        <v>90</v>
      </c>
      <c r="Y134">
        <v>6.7</v>
      </c>
      <c r="Z134" s="73" t="s">
        <v>91</v>
      </c>
      <c r="AA134" s="91">
        <f t="shared" si="2"/>
        <v>10</v>
      </c>
      <c r="AB134" s="73" t="s">
        <v>92</v>
      </c>
      <c r="AC134" s="73">
        <v>0</v>
      </c>
      <c r="AD134" s="73" t="s">
        <v>93</v>
      </c>
      <c r="AE134" s="73">
        <v>10</v>
      </c>
      <c r="AF134" t="s">
        <v>95</v>
      </c>
      <c r="AG134">
        <v>59</v>
      </c>
      <c r="AH134" t="s">
        <v>100</v>
      </c>
      <c r="AI134">
        <v>2.57</v>
      </c>
      <c r="AJ134" t="s">
        <v>97</v>
      </c>
      <c r="AK134">
        <v>0.87150000000000005</v>
      </c>
      <c r="AL134" t="s">
        <v>98</v>
      </c>
      <c r="AM134">
        <v>0.2399</v>
      </c>
      <c r="AN134" s="203" t="s">
        <v>99</v>
      </c>
      <c r="AO134" s="204">
        <v>10.785213027703781</v>
      </c>
      <c r="AP134" t="s">
        <v>94</v>
      </c>
      <c r="AR134" t="s">
        <v>180</v>
      </c>
      <c r="AS134">
        <v>187</v>
      </c>
      <c r="AT134" t="s">
        <v>102</v>
      </c>
      <c r="AV134" t="s">
        <v>101</v>
      </c>
      <c r="AX134" t="s">
        <v>103</v>
      </c>
      <c r="AZ134" t="s">
        <v>104</v>
      </c>
      <c r="BB134" t="s">
        <v>105</v>
      </c>
    </row>
    <row r="135" spans="1:54" hidden="1" x14ac:dyDescent="0.3">
      <c r="A135" t="s">
        <v>423</v>
      </c>
      <c r="B135" t="s">
        <v>241</v>
      </c>
      <c r="C135" s="46">
        <v>45761.625</v>
      </c>
      <c r="D135" t="s">
        <v>32</v>
      </c>
      <c r="E135">
        <v>9</v>
      </c>
      <c r="F135" t="s">
        <v>33</v>
      </c>
      <c r="G135">
        <v>6.8</v>
      </c>
      <c r="H135" t="s">
        <v>82</v>
      </c>
      <c r="I135">
        <v>10.540900000000001</v>
      </c>
      <c r="J135" t="s">
        <v>83</v>
      </c>
      <c r="K135">
        <v>997.3</v>
      </c>
      <c r="L135" t="s">
        <v>84</v>
      </c>
      <c r="M135">
        <v>0</v>
      </c>
      <c r="N135" t="s">
        <v>85</v>
      </c>
      <c r="O135">
        <v>103.46</v>
      </c>
      <c r="P135" t="s">
        <v>86</v>
      </c>
      <c r="Q135">
        <v>90.94</v>
      </c>
      <c r="R135" t="s">
        <v>87</v>
      </c>
      <c r="S135">
        <v>6.01</v>
      </c>
      <c r="T135" t="s">
        <v>88</v>
      </c>
      <c r="U135">
        <v>12.46</v>
      </c>
      <c r="V135" t="s">
        <v>89</v>
      </c>
      <c r="W135">
        <v>0.44</v>
      </c>
      <c r="X135" t="s">
        <v>90</v>
      </c>
      <c r="Y135">
        <v>6.49</v>
      </c>
      <c r="Z135" s="73" t="s">
        <v>91</v>
      </c>
      <c r="AA135" s="91">
        <f t="shared" si="2"/>
        <v>11</v>
      </c>
      <c r="AB135" s="73" t="s">
        <v>92</v>
      </c>
      <c r="AC135" s="73">
        <v>0</v>
      </c>
      <c r="AD135" s="73" t="s">
        <v>93</v>
      </c>
      <c r="AE135" s="73">
        <v>11</v>
      </c>
      <c r="AF135" t="s">
        <v>95</v>
      </c>
      <c r="AG135">
        <v>65</v>
      </c>
      <c r="AH135" t="s">
        <v>100</v>
      </c>
      <c r="AI135">
        <v>2.58</v>
      </c>
      <c r="AJ135" t="s">
        <v>97</v>
      </c>
      <c r="AK135">
        <v>1.0496000000000001</v>
      </c>
      <c r="AL135" t="s">
        <v>98</v>
      </c>
      <c r="AM135">
        <v>0.22819999999999999</v>
      </c>
      <c r="AN135" s="203" t="s">
        <v>99</v>
      </c>
      <c r="AO135" s="204">
        <v>11.043534464432579</v>
      </c>
      <c r="AP135" t="s">
        <v>94</v>
      </c>
      <c r="AR135" t="s">
        <v>180</v>
      </c>
      <c r="AS135">
        <v>181</v>
      </c>
      <c r="AT135" t="s">
        <v>102</v>
      </c>
      <c r="AV135" t="s">
        <v>101</v>
      </c>
      <c r="AX135" t="s">
        <v>103</v>
      </c>
      <c r="AZ135" t="s">
        <v>104</v>
      </c>
      <c r="BB135" t="s">
        <v>105</v>
      </c>
    </row>
    <row r="136" spans="1:54" hidden="1" x14ac:dyDescent="0.3">
      <c r="A136" t="s">
        <v>426</v>
      </c>
      <c r="B136" t="s">
        <v>241</v>
      </c>
      <c r="C136" s="46">
        <v>45762.375</v>
      </c>
      <c r="D136" t="s">
        <v>32</v>
      </c>
      <c r="F136" t="s">
        <v>33</v>
      </c>
      <c r="H136" t="s">
        <v>82</v>
      </c>
      <c r="I136">
        <v>9.8524999999999991</v>
      </c>
      <c r="J136" t="s">
        <v>83</v>
      </c>
      <c r="K136">
        <v>996</v>
      </c>
      <c r="L136" t="s">
        <v>84</v>
      </c>
      <c r="M136">
        <v>-0.6</v>
      </c>
      <c r="N136" t="s">
        <v>85</v>
      </c>
      <c r="O136">
        <v>42.4</v>
      </c>
      <c r="P136" t="s">
        <v>86</v>
      </c>
      <c r="Q136">
        <v>42.09</v>
      </c>
      <c r="R136" t="s">
        <v>87</v>
      </c>
      <c r="S136">
        <v>21.01</v>
      </c>
      <c r="T136" t="s">
        <v>88</v>
      </c>
      <c r="U136">
        <v>6.13</v>
      </c>
      <c r="V136" t="s">
        <v>89</v>
      </c>
      <c r="W136">
        <v>0.16</v>
      </c>
      <c r="X136" t="s">
        <v>90</v>
      </c>
      <c r="Y136">
        <v>7</v>
      </c>
      <c r="Z136" s="73" t="s">
        <v>91</v>
      </c>
      <c r="AA136" s="91">
        <f t="shared" si="2"/>
        <v>11</v>
      </c>
      <c r="AB136" s="73" t="s">
        <v>92</v>
      </c>
      <c r="AC136" s="73">
        <v>0</v>
      </c>
      <c r="AD136" s="73" t="s">
        <v>93</v>
      </c>
      <c r="AE136" s="73">
        <v>11</v>
      </c>
      <c r="AF136" t="s">
        <v>95</v>
      </c>
      <c r="AG136">
        <v>62</v>
      </c>
      <c r="AH136" t="s">
        <v>100</v>
      </c>
      <c r="AI136">
        <v>2.59</v>
      </c>
      <c r="AJ136" t="s">
        <v>97</v>
      </c>
      <c r="AK136">
        <v>0.84309999999999996</v>
      </c>
      <c r="AL136" t="s">
        <v>98</v>
      </c>
      <c r="AM136">
        <v>0.2198</v>
      </c>
      <c r="AN136" s="203" t="s">
        <v>99</v>
      </c>
      <c r="AO136" s="204">
        <v>11.267967619248598</v>
      </c>
      <c r="AP136" t="s">
        <v>94</v>
      </c>
      <c r="AR136" t="s">
        <v>180</v>
      </c>
      <c r="AS136">
        <v>180</v>
      </c>
      <c r="AT136" t="s">
        <v>102</v>
      </c>
      <c r="AV136" t="s">
        <v>101</v>
      </c>
      <c r="AX136" t="s">
        <v>103</v>
      </c>
      <c r="AZ136" t="s">
        <v>104</v>
      </c>
      <c r="BB136" t="s">
        <v>105</v>
      </c>
    </row>
    <row r="137" spans="1:54" hidden="1" x14ac:dyDescent="0.3">
      <c r="A137" t="s">
        <v>424</v>
      </c>
      <c r="B137" t="s">
        <v>241</v>
      </c>
      <c r="C137" s="46">
        <v>45762.625</v>
      </c>
      <c r="D137" t="s">
        <v>32</v>
      </c>
      <c r="E137">
        <v>6.8</v>
      </c>
      <c r="F137" t="s">
        <v>33</v>
      </c>
      <c r="G137">
        <v>6.1</v>
      </c>
      <c r="H137" t="s">
        <v>82</v>
      </c>
      <c r="I137">
        <v>9.7876999999999992</v>
      </c>
      <c r="J137" t="s">
        <v>83</v>
      </c>
      <c r="K137">
        <v>993.3</v>
      </c>
      <c r="L137" t="s">
        <v>84</v>
      </c>
      <c r="M137">
        <v>-1.1000000000000001</v>
      </c>
      <c r="N137" t="s">
        <v>85</v>
      </c>
      <c r="O137">
        <v>58.37</v>
      </c>
      <c r="P137" t="s">
        <v>86</v>
      </c>
      <c r="Q137">
        <v>54.92</v>
      </c>
      <c r="R137" t="s">
        <v>87</v>
      </c>
      <c r="S137">
        <v>15.66</v>
      </c>
      <c r="T137" t="s">
        <v>88</v>
      </c>
      <c r="U137">
        <v>4.72</v>
      </c>
      <c r="V137" t="s">
        <v>89</v>
      </c>
      <c r="W137">
        <v>0.11</v>
      </c>
      <c r="X137" t="s">
        <v>90</v>
      </c>
      <c r="Y137">
        <v>6.62</v>
      </c>
      <c r="Z137" s="73" t="s">
        <v>91</v>
      </c>
      <c r="AA137" s="91">
        <v>11</v>
      </c>
      <c r="AB137" s="73" t="s">
        <v>92</v>
      </c>
      <c r="AC137" s="73">
        <v>0</v>
      </c>
      <c r="AD137" s="73" t="s">
        <v>93</v>
      </c>
      <c r="AE137" s="73">
        <v>11</v>
      </c>
      <c r="AF137" t="s">
        <v>95</v>
      </c>
      <c r="AG137">
        <v>56</v>
      </c>
      <c r="AH137" t="s">
        <v>100</v>
      </c>
      <c r="AI137">
        <v>2.57</v>
      </c>
      <c r="AJ137" t="s">
        <v>97</v>
      </c>
      <c r="AK137">
        <v>0.91390000000000005</v>
      </c>
      <c r="AL137" t="s">
        <v>98</v>
      </c>
      <c r="AM137">
        <v>0.26340000000000002</v>
      </c>
      <c r="AN137" s="203" t="s">
        <v>99</v>
      </c>
      <c r="AO137" s="204">
        <v>11.735750651326423</v>
      </c>
      <c r="AP137" t="s">
        <v>94</v>
      </c>
      <c r="AR137" t="s">
        <v>180</v>
      </c>
      <c r="AS137">
        <v>177</v>
      </c>
      <c r="AT137" t="s">
        <v>102</v>
      </c>
      <c r="AV137" t="s">
        <v>101</v>
      </c>
      <c r="AX137" t="s">
        <v>103</v>
      </c>
      <c r="AZ137" t="s">
        <v>104</v>
      </c>
      <c r="BB137" t="s">
        <v>105</v>
      </c>
    </row>
    <row r="138" spans="1:54" hidden="1" x14ac:dyDescent="0.3">
      <c r="A138" t="s">
        <v>430</v>
      </c>
      <c r="B138" t="s">
        <v>241</v>
      </c>
      <c r="C138" s="46">
        <v>45763.375</v>
      </c>
      <c r="D138" t="s">
        <v>32</v>
      </c>
      <c r="F138" t="s">
        <v>33</v>
      </c>
      <c r="H138" t="s">
        <v>82</v>
      </c>
      <c r="I138">
        <v>9.8034999999999997</v>
      </c>
      <c r="J138" t="s">
        <v>83</v>
      </c>
      <c r="K138">
        <v>993.3</v>
      </c>
      <c r="L138" t="s">
        <v>84</v>
      </c>
      <c r="M138">
        <v>-1.3</v>
      </c>
      <c r="N138" t="s">
        <v>85</v>
      </c>
      <c r="O138">
        <v>37.56</v>
      </c>
      <c r="P138" t="s">
        <v>86</v>
      </c>
      <c r="Q138">
        <v>37.25</v>
      </c>
      <c r="R138" t="s">
        <v>87</v>
      </c>
      <c r="S138">
        <v>15.75</v>
      </c>
      <c r="T138" t="s">
        <v>88</v>
      </c>
      <c r="U138">
        <v>1.62</v>
      </c>
      <c r="V138" t="s">
        <v>89</v>
      </c>
      <c r="W138">
        <v>0.08</v>
      </c>
      <c r="X138" t="s">
        <v>90</v>
      </c>
      <c r="Y138">
        <v>7.3</v>
      </c>
      <c r="Z138" s="73" t="s">
        <v>91</v>
      </c>
      <c r="AA138" s="91">
        <v>11</v>
      </c>
      <c r="AB138" s="73" t="s">
        <v>92</v>
      </c>
      <c r="AC138" s="73">
        <v>0</v>
      </c>
      <c r="AD138" s="73" t="s">
        <v>93</v>
      </c>
      <c r="AE138" s="73">
        <v>11</v>
      </c>
      <c r="AF138" t="s">
        <v>95</v>
      </c>
      <c r="AG138">
        <v>56</v>
      </c>
      <c r="AH138" t="s">
        <v>100</v>
      </c>
      <c r="AI138">
        <v>2.52</v>
      </c>
      <c r="AJ138" t="s">
        <v>97</v>
      </c>
      <c r="AK138">
        <v>0.79379999999999995</v>
      </c>
      <c r="AL138" t="s">
        <v>98</v>
      </c>
      <c r="AM138">
        <v>0.2122</v>
      </c>
      <c r="AN138" s="203" t="s">
        <v>99</v>
      </c>
      <c r="AO138" s="204">
        <v>11.735750651326423</v>
      </c>
      <c r="AP138" t="s">
        <v>94</v>
      </c>
      <c r="AR138" t="s">
        <v>180</v>
      </c>
      <c r="AS138">
        <v>178</v>
      </c>
      <c r="AT138" t="s">
        <v>102</v>
      </c>
      <c r="AV138" t="s">
        <v>101</v>
      </c>
      <c r="AX138" t="s">
        <v>103</v>
      </c>
      <c r="AZ138" t="s">
        <v>104</v>
      </c>
      <c r="BB138" t="s">
        <v>105</v>
      </c>
    </row>
    <row r="139" spans="1:54" hidden="1" x14ac:dyDescent="0.3">
      <c r="A139" t="s">
        <v>256</v>
      </c>
      <c r="B139" t="s">
        <v>241</v>
      </c>
      <c r="C139" s="46">
        <v>45763.625</v>
      </c>
      <c r="D139" t="s">
        <v>32</v>
      </c>
      <c r="E139">
        <v>4.2</v>
      </c>
      <c r="F139" t="s">
        <v>33</v>
      </c>
      <c r="G139">
        <v>4.2</v>
      </c>
      <c r="H139" t="s">
        <v>82</v>
      </c>
      <c r="I139">
        <v>9.7881999999999998</v>
      </c>
      <c r="J139" t="s">
        <v>83</v>
      </c>
      <c r="K139">
        <v>991.1</v>
      </c>
      <c r="L139" t="s">
        <v>84</v>
      </c>
      <c r="M139">
        <v>-1.6</v>
      </c>
      <c r="N139" t="s">
        <v>85</v>
      </c>
      <c r="O139">
        <v>37.4</v>
      </c>
      <c r="P139" t="s">
        <v>86</v>
      </c>
      <c r="Q139">
        <v>36.71</v>
      </c>
      <c r="R139" t="s">
        <v>87</v>
      </c>
      <c r="S139">
        <v>20.12</v>
      </c>
      <c r="T139" t="s">
        <v>88</v>
      </c>
      <c r="U139">
        <v>1</v>
      </c>
      <c r="V139" t="s">
        <v>89</v>
      </c>
      <c r="W139">
        <v>7.0000000000000007E-2</v>
      </c>
      <c r="X139" t="s">
        <v>90</v>
      </c>
      <c r="Y139">
        <v>7.98</v>
      </c>
      <c r="Z139" s="73" t="s">
        <v>91</v>
      </c>
      <c r="AA139" s="91">
        <v>11</v>
      </c>
      <c r="AB139" s="73" t="s">
        <v>92</v>
      </c>
      <c r="AC139" s="73">
        <v>0</v>
      </c>
      <c r="AD139" s="73" t="s">
        <v>93</v>
      </c>
      <c r="AE139" s="73">
        <v>11</v>
      </c>
      <c r="AF139" t="s">
        <v>95</v>
      </c>
      <c r="AG139">
        <v>69</v>
      </c>
      <c r="AH139" t="s">
        <v>100</v>
      </c>
      <c r="AI139">
        <v>2.67</v>
      </c>
      <c r="AJ139" t="s">
        <v>97</v>
      </c>
      <c r="AK139">
        <v>0.78520000000000001</v>
      </c>
      <c r="AL139" t="s">
        <v>98</v>
      </c>
      <c r="AM139">
        <v>0.22539999999999999</v>
      </c>
      <c r="AN139" s="201" t="s">
        <v>99</v>
      </c>
      <c r="AO139" s="201">
        <v>11.93</v>
      </c>
      <c r="AP139" t="s">
        <v>94</v>
      </c>
      <c r="AQ139">
        <v>0.33</v>
      </c>
      <c r="AR139" t="s">
        <v>180</v>
      </c>
      <c r="AS139">
        <v>188</v>
      </c>
      <c r="AT139" t="s">
        <v>102</v>
      </c>
      <c r="AU139">
        <v>225</v>
      </c>
      <c r="AV139" t="s">
        <v>101</v>
      </c>
      <c r="AW139">
        <v>2.9</v>
      </c>
      <c r="AX139" t="s">
        <v>103</v>
      </c>
      <c r="AY139">
        <v>3.2</v>
      </c>
      <c r="AZ139" t="s">
        <v>104</v>
      </c>
      <c r="BA139">
        <v>5</v>
      </c>
      <c r="BB139" t="s">
        <v>105</v>
      </c>
    </row>
    <row r="140" spans="1:54" hidden="1" x14ac:dyDescent="0.3">
      <c r="A140" t="s">
        <v>257</v>
      </c>
      <c r="B140" t="s">
        <v>258</v>
      </c>
      <c r="C140" s="46">
        <v>45768.833333333336</v>
      </c>
      <c r="D140" t="s">
        <v>32</v>
      </c>
      <c r="F140" t="s">
        <v>33</v>
      </c>
      <c r="H140" t="s">
        <v>82</v>
      </c>
      <c r="I140">
        <v>10.152100000000001</v>
      </c>
      <c r="J140" t="s">
        <v>83</v>
      </c>
      <c r="K140">
        <v>1059.7</v>
      </c>
      <c r="L140" t="s">
        <v>84</v>
      </c>
      <c r="M140">
        <v>15.1</v>
      </c>
      <c r="N140" t="s">
        <v>85</v>
      </c>
      <c r="O140">
        <v>16.05</v>
      </c>
      <c r="P140" t="s">
        <v>86</v>
      </c>
      <c r="Q140">
        <v>13.75</v>
      </c>
      <c r="R140" t="s">
        <v>87</v>
      </c>
      <c r="S140">
        <v>21.05</v>
      </c>
      <c r="T140" s="73" t="s">
        <v>88</v>
      </c>
      <c r="U140" s="73">
        <f>140.16-W140</f>
        <v>74.52</v>
      </c>
      <c r="V140" s="73" t="s">
        <v>89</v>
      </c>
      <c r="W140" s="73">
        <v>65.64</v>
      </c>
      <c r="X140" t="s">
        <v>90</v>
      </c>
      <c r="Y140">
        <v>2.2999999999999998</v>
      </c>
      <c r="Z140" t="s">
        <v>91</v>
      </c>
      <c r="AA140" s="91">
        <f t="shared" ref="AA140:AA195" si="3">0.82*AC140+AE140</f>
        <v>98.42</v>
      </c>
      <c r="AB140" t="s">
        <v>92</v>
      </c>
      <c r="AC140">
        <v>31</v>
      </c>
      <c r="AD140" t="s">
        <v>93</v>
      </c>
      <c r="AE140">
        <v>73</v>
      </c>
      <c r="AF140" t="s">
        <v>95</v>
      </c>
      <c r="AG140">
        <v>25</v>
      </c>
      <c r="AH140" t="s">
        <v>100</v>
      </c>
      <c r="AI140">
        <v>3.05</v>
      </c>
      <c r="AJ140" t="s">
        <v>97</v>
      </c>
      <c r="AK140">
        <v>0.23499999999999999</v>
      </c>
      <c r="AL140" t="s">
        <v>98</v>
      </c>
      <c r="AM140">
        <v>5.74E-2</v>
      </c>
      <c r="AN140" s="203" t="s">
        <v>99</v>
      </c>
      <c r="AO140" s="204">
        <v>0.83154912054657071</v>
      </c>
      <c r="AP140" t="s">
        <v>94</v>
      </c>
      <c r="AR140" t="s">
        <v>180</v>
      </c>
      <c r="AS140">
        <v>177</v>
      </c>
      <c r="AT140" t="s">
        <v>102</v>
      </c>
      <c r="AV140" t="s">
        <v>101</v>
      </c>
      <c r="AX140" t="s">
        <v>103</v>
      </c>
      <c r="AZ140" t="s">
        <v>104</v>
      </c>
      <c r="BB140" t="s">
        <v>105</v>
      </c>
    </row>
    <row r="141" spans="1:54" hidden="1" x14ac:dyDescent="0.3">
      <c r="A141" t="s">
        <v>269</v>
      </c>
      <c r="B141" t="s">
        <v>258</v>
      </c>
      <c r="C141" s="46">
        <v>45769.375</v>
      </c>
      <c r="D141" t="s">
        <v>32</v>
      </c>
      <c r="F141" t="s">
        <v>33</v>
      </c>
      <c r="H141" t="s">
        <v>82</v>
      </c>
      <c r="I141">
        <v>10.3431</v>
      </c>
      <c r="J141" t="s">
        <v>83</v>
      </c>
      <c r="K141">
        <v>1059.3</v>
      </c>
      <c r="L141" t="s">
        <v>84</v>
      </c>
      <c r="M141">
        <v>15</v>
      </c>
      <c r="N141" t="s">
        <v>85</v>
      </c>
      <c r="O141">
        <v>12.83</v>
      </c>
      <c r="P141" t="s">
        <v>86</v>
      </c>
      <c r="Q141">
        <v>10.29</v>
      </c>
      <c r="R141" t="s">
        <v>87</v>
      </c>
      <c r="S141">
        <v>17.37</v>
      </c>
      <c r="T141" t="s">
        <v>88</v>
      </c>
      <c r="U141">
        <v>71.86</v>
      </c>
      <c r="V141" t="s">
        <v>89</v>
      </c>
      <c r="W141">
        <v>65.88</v>
      </c>
      <c r="X141" t="s">
        <v>90</v>
      </c>
      <c r="Y141">
        <v>2.31</v>
      </c>
      <c r="Z141" t="s">
        <v>91</v>
      </c>
      <c r="AA141" s="91">
        <f t="shared" si="3"/>
        <v>102.7</v>
      </c>
      <c r="AB141" t="s">
        <v>92</v>
      </c>
      <c r="AC141">
        <v>35</v>
      </c>
      <c r="AD141" t="s">
        <v>93</v>
      </c>
      <c r="AE141">
        <v>74</v>
      </c>
      <c r="AF141" t="s">
        <v>95</v>
      </c>
      <c r="AG141">
        <v>38</v>
      </c>
      <c r="AH141" t="s">
        <v>100</v>
      </c>
      <c r="AI141">
        <v>3.06</v>
      </c>
      <c r="AJ141" t="s">
        <v>97</v>
      </c>
      <c r="AK141">
        <v>0.20150000000000001</v>
      </c>
      <c r="AL141" t="s">
        <v>98</v>
      </c>
      <c r="AM141">
        <v>2.5899999999999999E-2</v>
      </c>
      <c r="AN141" s="203" t="s">
        <v>99</v>
      </c>
      <c r="AO141" s="204">
        <v>0.8935054681934218</v>
      </c>
      <c r="AP141" t="s">
        <v>94</v>
      </c>
      <c r="AR141" t="s">
        <v>180</v>
      </c>
      <c r="AS141">
        <v>176</v>
      </c>
      <c r="AT141" t="s">
        <v>102</v>
      </c>
      <c r="AV141" t="s">
        <v>101</v>
      </c>
      <c r="AX141" t="s">
        <v>103</v>
      </c>
      <c r="AZ141" t="s">
        <v>104</v>
      </c>
      <c r="BB141" t="s">
        <v>105</v>
      </c>
    </row>
    <row r="142" spans="1:54" hidden="1" x14ac:dyDescent="0.3">
      <c r="A142" t="s">
        <v>275</v>
      </c>
      <c r="B142" t="s">
        <v>258</v>
      </c>
      <c r="C142" s="46">
        <v>45769.625</v>
      </c>
      <c r="D142" t="s">
        <v>32</v>
      </c>
      <c r="F142" t="s">
        <v>33</v>
      </c>
      <c r="H142" t="s">
        <v>82</v>
      </c>
      <c r="I142">
        <v>10.18</v>
      </c>
      <c r="J142" t="s">
        <v>83</v>
      </c>
      <c r="K142">
        <v>1057.9000000000001</v>
      </c>
      <c r="L142" t="s">
        <v>84</v>
      </c>
      <c r="M142">
        <v>14.9</v>
      </c>
      <c r="N142" t="s">
        <v>85</v>
      </c>
      <c r="O142">
        <v>15.59</v>
      </c>
      <c r="P142" t="s">
        <v>86</v>
      </c>
      <c r="Q142">
        <v>13.06</v>
      </c>
      <c r="R142" t="s">
        <v>87</v>
      </c>
      <c r="S142">
        <v>22.66</v>
      </c>
      <c r="T142" t="s">
        <v>88</v>
      </c>
      <c r="U142">
        <v>70.17</v>
      </c>
      <c r="V142" t="s">
        <v>89</v>
      </c>
      <c r="W142">
        <v>66.53</v>
      </c>
      <c r="X142" t="s">
        <v>90</v>
      </c>
      <c r="Y142">
        <v>2.4</v>
      </c>
      <c r="Z142" t="s">
        <v>91</v>
      </c>
      <c r="AA142" s="91">
        <f t="shared" si="3"/>
        <v>101.06</v>
      </c>
      <c r="AB142" t="s">
        <v>92</v>
      </c>
      <c r="AC142">
        <v>33</v>
      </c>
      <c r="AD142" t="s">
        <v>93</v>
      </c>
      <c r="AE142">
        <v>74</v>
      </c>
      <c r="AF142" t="s">
        <v>95</v>
      </c>
      <c r="AG142">
        <v>31</v>
      </c>
      <c r="AH142" t="s">
        <v>100</v>
      </c>
      <c r="AI142">
        <v>3</v>
      </c>
      <c r="AJ142" t="s">
        <v>97</v>
      </c>
      <c r="AK142">
        <v>0.26319999999999999</v>
      </c>
      <c r="AL142" t="s">
        <v>98</v>
      </c>
      <c r="AM142">
        <v>5.7200000000000001E-2</v>
      </c>
      <c r="AN142" s="203" t="s">
        <v>99</v>
      </c>
      <c r="AO142" s="204">
        <v>1.1106802732259808</v>
      </c>
      <c r="AP142" t="s">
        <v>94</v>
      </c>
      <c r="AR142" t="s">
        <v>180</v>
      </c>
      <c r="AS142">
        <v>198</v>
      </c>
      <c r="AT142" t="s">
        <v>102</v>
      </c>
      <c r="AV142" t="s">
        <v>101</v>
      </c>
      <c r="AX142" t="s">
        <v>103</v>
      </c>
      <c r="AZ142" t="s">
        <v>104</v>
      </c>
      <c r="BB142" t="s">
        <v>105</v>
      </c>
    </row>
    <row r="143" spans="1:54" hidden="1" x14ac:dyDescent="0.3">
      <c r="A143" t="s">
        <v>276</v>
      </c>
      <c r="B143" t="s">
        <v>258</v>
      </c>
      <c r="C143" s="46">
        <v>45770.395833333336</v>
      </c>
      <c r="D143" t="s">
        <v>32</v>
      </c>
      <c r="E143">
        <v>1.2</v>
      </c>
      <c r="F143" t="s">
        <v>33</v>
      </c>
      <c r="G143">
        <v>0.3</v>
      </c>
      <c r="H143" t="s">
        <v>82</v>
      </c>
      <c r="I143">
        <v>9.8339999999999996</v>
      </c>
      <c r="J143" t="s">
        <v>83</v>
      </c>
      <c r="K143">
        <v>1058</v>
      </c>
      <c r="L143" t="s">
        <v>84</v>
      </c>
      <c r="M143">
        <v>14.7</v>
      </c>
      <c r="N143" t="s">
        <v>85</v>
      </c>
      <c r="O143">
        <v>22.5</v>
      </c>
      <c r="P143" t="s">
        <v>86</v>
      </c>
      <c r="Q143">
        <v>17.97</v>
      </c>
      <c r="R143" t="s">
        <v>87</v>
      </c>
      <c r="S143">
        <v>18.77</v>
      </c>
      <c r="T143" t="s">
        <v>88</v>
      </c>
      <c r="U143">
        <v>67.599999999999994</v>
      </c>
      <c r="V143" t="s">
        <v>89</v>
      </c>
      <c r="W143">
        <v>64.52</v>
      </c>
      <c r="X143" t="s">
        <v>90</v>
      </c>
      <c r="Y143">
        <v>2.56</v>
      </c>
      <c r="Z143" t="s">
        <v>91</v>
      </c>
      <c r="AA143" s="91">
        <f t="shared" si="3"/>
        <v>95.42</v>
      </c>
      <c r="AB143" t="s">
        <v>92</v>
      </c>
      <c r="AC143">
        <v>31</v>
      </c>
      <c r="AD143" t="s">
        <v>93</v>
      </c>
      <c r="AE143">
        <v>70</v>
      </c>
      <c r="AF143" t="s">
        <v>95</v>
      </c>
      <c r="AG143">
        <v>26</v>
      </c>
      <c r="AH143" t="s">
        <v>100</v>
      </c>
      <c r="AI143">
        <v>3.08</v>
      </c>
      <c r="AJ143" t="s">
        <v>97</v>
      </c>
      <c r="AK143">
        <v>0.34100000000000003</v>
      </c>
      <c r="AL143" t="s">
        <v>98</v>
      </c>
      <c r="AM143">
        <v>4.3099999999999999E-2</v>
      </c>
      <c r="AN143" s="203" t="s">
        <v>99</v>
      </c>
      <c r="AO143" s="204">
        <v>1.095150861016484</v>
      </c>
      <c r="AP143" t="s">
        <v>94</v>
      </c>
      <c r="AR143" t="s">
        <v>180</v>
      </c>
      <c r="AS143">
        <v>224</v>
      </c>
      <c r="AT143" t="s">
        <v>102</v>
      </c>
      <c r="AV143" t="s">
        <v>101</v>
      </c>
      <c r="AX143" t="s">
        <v>103</v>
      </c>
      <c r="AZ143" t="s">
        <v>104</v>
      </c>
      <c r="BB143" t="s">
        <v>105</v>
      </c>
    </row>
    <row r="144" spans="1:54" hidden="1" x14ac:dyDescent="0.3">
      <c r="A144" t="s">
        <v>277</v>
      </c>
      <c r="B144" t="s">
        <v>258</v>
      </c>
      <c r="C144" s="46">
        <v>45770.479166666664</v>
      </c>
      <c r="D144" t="s">
        <v>32</v>
      </c>
      <c r="F144" t="s">
        <v>33</v>
      </c>
      <c r="H144" t="s">
        <v>82</v>
      </c>
      <c r="I144">
        <v>9.8341999999999992</v>
      </c>
      <c r="J144" t="s">
        <v>83</v>
      </c>
      <c r="K144">
        <v>1057.5</v>
      </c>
      <c r="L144" t="s">
        <v>84</v>
      </c>
      <c r="M144">
        <v>14.7</v>
      </c>
      <c r="N144" t="s">
        <v>85</v>
      </c>
      <c r="O144">
        <v>21.35</v>
      </c>
      <c r="P144" t="s">
        <v>86</v>
      </c>
      <c r="Q144">
        <v>16.59</v>
      </c>
      <c r="R144" t="s">
        <v>87</v>
      </c>
      <c r="S144">
        <v>23.74</v>
      </c>
      <c r="T144" s="73" t="s">
        <v>88</v>
      </c>
      <c r="U144" s="73">
        <f>137.81-W144</f>
        <v>74.66</v>
      </c>
      <c r="V144" s="73" t="s">
        <v>89</v>
      </c>
      <c r="W144" s="73">
        <v>63.15</v>
      </c>
      <c r="X144" t="s">
        <v>90</v>
      </c>
      <c r="Y144">
        <v>2.67</v>
      </c>
      <c r="Z144" t="s">
        <v>91</v>
      </c>
      <c r="AA144" s="91">
        <f t="shared" si="3"/>
        <v>158.06</v>
      </c>
      <c r="AB144" t="s">
        <v>92</v>
      </c>
      <c r="AC144">
        <v>83</v>
      </c>
      <c r="AD144" t="s">
        <v>93</v>
      </c>
      <c r="AE144">
        <v>90</v>
      </c>
      <c r="AF144" t="s">
        <v>95</v>
      </c>
      <c r="AG144">
        <v>37</v>
      </c>
      <c r="AH144" t="s">
        <v>100</v>
      </c>
      <c r="AI144">
        <v>3</v>
      </c>
      <c r="AJ144" t="s">
        <v>97</v>
      </c>
      <c r="AK144">
        <v>0.34179999999999999</v>
      </c>
      <c r="AL144" t="s">
        <v>98</v>
      </c>
      <c r="AM144">
        <v>5.4300000000000001E-2</v>
      </c>
      <c r="AN144" s="203" t="s">
        <v>99</v>
      </c>
      <c r="AO144" s="204">
        <v>1.1728240058328185</v>
      </c>
      <c r="AP144" t="s">
        <v>94</v>
      </c>
      <c r="AR144" t="s">
        <v>180</v>
      </c>
      <c r="AS144">
        <v>257</v>
      </c>
      <c r="AT144" t="s">
        <v>102</v>
      </c>
      <c r="AV144" t="s">
        <v>101</v>
      </c>
      <c r="AX144" t="s">
        <v>103</v>
      </c>
      <c r="AZ144" t="s">
        <v>104</v>
      </c>
      <c r="BB144" t="s">
        <v>105</v>
      </c>
    </row>
    <row r="145" spans="1:54" hidden="1" x14ac:dyDescent="0.3">
      <c r="A145" t="s">
        <v>278</v>
      </c>
      <c r="B145" t="s">
        <v>258</v>
      </c>
      <c r="C145" s="46">
        <v>45770.666666666664</v>
      </c>
      <c r="D145" t="s">
        <v>32</v>
      </c>
      <c r="F145" t="s">
        <v>33</v>
      </c>
      <c r="H145" t="s">
        <v>82</v>
      </c>
      <c r="I145">
        <v>9.8101000000000003</v>
      </c>
      <c r="J145" t="s">
        <v>83</v>
      </c>
      <c r="K145">
        <v>1056.4000000000001</v>
      </c>
      <c r="L145" t="s">
        <v>84</v>
      </c>
      <c r="M145">
        <v>14.5</v>
      </c>
      <c r="N145" t="s">
        <v>85</v>
      </c>
      <c r="O145">
        <v>23.58</v>
      </c>
      <c r="P145" t="s">
        <v>86</v>
      </c>
      <c r="Q145">
        <v>17.739999999999998</v>
      </c>
      <c r="R145" t="s">
        <v>87</v>
      </c>
      <c r="S145">
        <v>24.1</v>
      </c>
      <c r="T145" t="s">
        <v>88</v>
      </c>
      <c r="U145">
        <v>68.25</v>
      </c>
      <c r="V145" t="s">
        <v>89</v>
      </c>
      <c r="W145">
        <v>63.04</v>
      </c>
      <c r="X145" t="s">
        <v>90</v>
      </c>
      <c r="Y145">
        <v>2.77</v>
      </c>
      <c r="Z145" t="s">
        <v>91</v>
      </c>
      <c r="AA145" s="91">
        <f t="shared" si="3"/>
        <v>146.68</v>
      </c>
      <c r="AB145" t="s">
        <v>92</v>
      </c>
      <c r="AC145">
        <v>74</v>
      </c>
      <c r="AD145" t="s">
        <v>93</v>
      </c>
      <c r="AE145">
        <v>86</v>
      </c>
      <c r="AF145" t="s">
        <v>95</v>
      </c>
      <c r="AG145">
        <v>44</v>
      </c>
      <c r="AH145" t="s">
        <v>100</v>
      </c>
      <c r="AI145">
        <v>2.97</v>
      </c>
      <c r="AJ145" t="s">
        <v>97</v>
      </c>
      <c r="AK145">
        <v>0.25990000000000002</v>
      </c>
      <c r="AL145" t="s">
        <v>98</v>
      </c>
      <c r="AM145">
        <v>3.5299999999999998E-2</v>
      </c>
      <c r="AN145" s="203" t="s">
        <v>99</v>
      </c>
      <c r="AO145" s="204">
        <v>1.3439347810347411</v>
      </c>
      <c r="AP145" t="s">
        <v>94</v>
      </c>
      <c r="AR145" t="s">
        <v>180</v>
      </c>
      <c r="AS145">
        <v>259</v>
      </c>
      <c r="AT145" t="s">
        <v>102</v>
      </c>
      <c r="AV145" t="s">
        <v>101</v>
      </c>
      <c r="AX145" t="s">
        <v>103</v>
      </c>
      <c r="AZ145" t="s">
        <v>104</v>
      </c>
      <c r="BB145" t="s">
        <v>105</v>
      </c>
    </row>
    <row r="146" spans="1:54" hidden="1" x14ac:dyDescent="0.3">
      <c r="A146" t="s">
        <v>279</v>
      </c>
      <c r="B146" t="s">
        <v>258</v>
      </c>
      <c r="C146" s="46">
        <v>45771.395833333336</v>
      </c>
      <c r="D146" t="s">
        <v>32</v>
      </c>
      <c r="E146">
        <v>3.4</v>
      </c>
      <c r="F146" t="s">
        <v>33</v>
      </c>
      <c r="G146">
        <v>1.5</v>
      </c>
      <c r="H146" t="s">
        <v>82</v>
      </c>
      <c r="I146">
        <v>9.8078000000000003</v>
      </c>
      <c r="J146" t="s">
        <v>83</v>
      </c>
      <c r="K146">
        <v>1053.5</v>
      </c>
      <c r="L146" t="s">
        <v>84</v>
      </c>
      <c r="M146">
        <v>13.7</v>
      </c>
      <c r="N146" t="s">
        <v>85</v>
      </c>
      <c r="O146">
        <v>27.19</v>
      </c>
      <c r="P146" t="s">
        <v>86</v>
      </c>
      <c r="Q146">
        <v>21.51</v>
      </c>
      <c r="R146" t="s">
        <v>87</v>
      </c>
      <c r="S146">
        <v>27.12</v>
      </c>
      <c r="T146" t="s">
        <v>88</v>
      </c>
      <c r="U146">
        <v>69.61</v>
      </c>
      <c r="V146" t="s">
        <v>89</v>
      </c>
      <c r="W146">
        <v>65.52</v>
      </c>
      <c r="X146" t="s">
        <v>90</v>
      </c>
      <c r="Y146">
        <v>2.67</v>
      </c>
      <c r="Z146" t="s">
        <v>91</v>
      </c>
      <c r="AA146" s="91">
        <f t="shared" si="3"/>
        <v>152.78</v>
      </c>
      <c r="AB146" t="s">
        <v>92</v>
      </c>
      <c r="AC146">
        <v>79</v>
      </c>
      <c r="AD146" t="s">
        <v>93</v>
      </c>
      <c r="AE146">
        <v>88</v>
      </c>
      <c r="AF146" t="s">
        <v>95</v>
      </c>
      <c r="AG146">
        <v>38</v>
      </c>
      <c r="AH146" t="s">
        <v>100</v>
      </c>
      <c r="AI146">
        <v>3</v>
      </c>
      <c r="AJ146" t="s">
        <v>97</v>
      </c>
      <c r="AK146">
        <v>0.43619999999999998</v>
      </c>
      <c r="AL146" t="s">
        <v>98</v>
      </c>
      <c r="AM146">
        <v>8.1699999999999995E-2</v>
      </c>
      <c r="AN146" s="203" t="s">
        <v>99</v>
      </c>
      <c r="AO146" s="204">
        <v>1.7965662867558851</v>
      </c>
      <c r="AP146" t="s">
        <v>94</v>
      </c>
      <c r="AR146" t="s">
        <v>180</v>
      </c>
      <c r="AS146">
        <v>264</v>
      </c>
      <c r="AT146" t="s">
        <v>102</v>
      </c>
      <c r="AV146" t="s">
        <v>101</v>
      </c>
      <c r="AX146" t="s">
        <v>103</v>
      </c>
      <c r="AZ146" t="s">
        <v>104</v>
      </c>
      <c r="BB146" t="s">
        <v>105</v>
      </c>
    </row>
    <row r="147" spans="1:54" hidden="1" x14ac:dyDescent="0.3">
      <c r="A147" t="s">
        <v>280</v>
      </c>
      <c r="B147" t="s">
        <v>258</v>
      </c>
      <c r="C147" s="46">
        <v>45771.625</v>
      </c>
      <c r="D147" t="s">
        <v>32</v>
      </c>
      <c r="F147" t="s">
        <v>33</v>
      </c>
      <c r="H147" t="s">
        <v>82</v>
      </c>
      <c r="I147">
        <v>9.8085000000000004</v>
      </c>
      <c r="J147" t="s">
        <v>83</v>
      </c>
      <c r="K147">
        <v>1051.9000000000001</v>
      </c>
      <c r="L147" t="s">
        <v>84</v>
      </c>
      <c r="M147">
        <v>13.5</v>
      </c>
      <c r="N147" t="s">
        <v>85</v>
      </c>
      <c r="O147">
        <v>25.12</v>
      </c>
      <c r="P147" t="s">
        <v>86</v>
      </c>
      <c r="Q147">
        <v>21.51</v>
      </c>
      <c r="R147" t="s">
        <v>87</v>
      </c>
      <c r="S147">
        <v>29.36</v>
      </c>
      <c r="T147" t="s">
        <v>88</v>
      </c>
      <c r="U147">
        <v>69.010000000000005</v>
      </c>
      <c r="V147" t="s">
        <v>89</v>
      </c>
      <c r="W147">
        <v>59.39</v>
      </c>
      <c r="X147" t="s">
        <v>90</v>
      </c>
      <c r="Y147">
        <v>3.11</v>
      </c>
      <c r="Z147" t="s">
        <v>91</v>
      </c>
      <c r="AA147" s="91">
        <f t="shared" si="3"/>
        <v>118.74</v>
      </c>
      <c r="AB147" t="s">
        <v>92</v>
      </c>
      <c r="AC147">
        <v>57</v>
      </c>
      <c r="AD147" t="s">
        <v>93</v>
      </c>
      <c r="AE147">
        <v>72</v>
      </c>
      <c r="AF147" t="s">
        <v>95</v>
      </c>
      <c r="AG147">
        <v>52</v>
      </c>
      <c r="AH147" t="s">
        <v>100</v>
      </c>
      <c r="AI147">
        <v>2.93</v>
      </c>
      <c r="AJ147" t="s">
        <v>97</v>
      </c>
      <c r="AK147">
        <v>0.43619999999999998</v>
      </c>
      <c r="AL147" t="s">
        <v>98</v>
      </c>
      <c r="AM147">
        <v>8.0799999999999997E-2</v>
      </c>
      <c r="AN147" s="203" t="s">
        <v>99</v>
      </c>
      <c r="AO147" s="204">
        <v>2.0472431356431313</v>
      </c>
      <c r="AP147" t="s">
        <v>94</v>
      </c>
      <c r="AR147" t="s">
        <v>180</v>
      </c>
      <c r="AS147">
        <v>268</v>
      </c>
      <c r="AT147" t="s">
        <v>102</v>
      </c>
      <c r="AV147" t="s">
        <v>101</v>
      </c>
      <c r="AX147" t="s">
        <v>103</v>
      </c>
      <c r="AZ147" t="s">
        <v>104</v>
      </c>
      <c r="BB147" t="s">
        <v>105</v>
      </c>
    </row>
    <row r="148" spans="1:54" hidden="1" x14ac:dyDescent="0.3">
      <c r="A148" t="s">
        <v>281</v>
      </c>
      <c r="B148" t="s">
        <v>258</v>
      </c>
      <c r="C148" s="46">
        <v>45772.375</v>
      </c>
      <c r="D148" t="s">
        <v>32</v>
      </c>
      <c r="E148">
        <v>7.3</v>
      </c>
      <c r="F148" t="s">
        <v>33</v>
      </c>
      <c r="G148">
        <v>3.9</v>
      </c>
      <c r="H148" t="s">
        <v>82</v>
      </c>
      <c r="I148">
        <v>9.7734000000000005</v>
      </c>
      <c r="J148" t="s">
        <v>83</v>
      </c>
      <c r="K148">
        <v>1047.2</v>
      </c>
      <c r="L148" t="s">
        <v>84</v>
      </c>
      <c r="M148">
        <v>12.1</v>
      </c>
      <c r="N148" t="s">
        <v>85</v>
      </c>
      <c r="O148">
        <v>22.12</v>
      </c>
      <c r="P148" t="s">
        <v>86</v>
      </c>
      <c r="Q148">
        <v>21.74</v>
      </c>
      <c r="R148" t="s">
        <v>87</v>
      </c>
      <c r="S148">
        <v>28.47</v>
      </c>
      <c r="T148" t="s">
        <v>88</v>
      </c>
      <c r="U148">
        <v>62.04</v>
      </c>
      <c r="V148" t="s">
        <v>89</v>
      </c>
      <c r="W148">
        <v>48.75</v>
      </c>
      <c r="X148" t="s">
        <v>90</v>
      </c>
      <c r="Y148">
        <v>3.49</v>
      </c>
      <c r="Z148" t="s">
        <v>91</v>
      </c>
      <c r="AA148" s="91">
        <f t="shared" si="3"/>
        <v>68.86</v>
      </c>
      <c r="AB148" t="s">
        <v>92</v>
      </c>
      <c r="AC148">
        <v>23</v>
      </c>
      <c r="AD148" t="s">
        <v>93</v>
      </c>
      <c r="AE148">
        <v>50</v>
      </c>
      <c r="AF148" t="s">
        <v>95</v>
      </c>
      <c r="AG148">
        <v>61</v>
      </c>
      <c r="AH148" t="s">
        <v>100</v>
      </c>
      <c r="AI148">
        <v>2.92</v>
      </c>
      <c r="AJ148" t="s">
        <v>97</v>
      </c>
      <c r="AK148">
        <v>0.55730000000000002</v>
      </c>
      <c r="AL148" t="s">
        <v>98</v>
      </c>
      <c r="AM148">
        <v>0.1167</v>
      </c>
      <c r="AN148" s="203" t="s">
        <v>99</v>
      </c>
      <c r="AO148" s="204">
        <v>2.787542603632251</v>
      </c>
      <c r="AP148" t="s">
        <v>94</v>
      </c>
      <c r="AR148" t="s">
        <v>180</v>
      </c>
      <c r="AS148">
        <v>266</v>
      </c>
      <c r="AT148" t="s">
        <v>102</v>
      </c>
      <c r="AV148" t="s">
        <v>101</v>
      </c>
      <c r="AX148" t="s">
        <v>103</v>
      </c>
      <c r="AZ148" t="s">
        <v>104</v>
      </c>
      <c r="BB148" t="s">
        <v>105</v>
      </c>
    </row>
    <row r="149" spans="1:54" hidden="1" x14ac:dyDescent="0.3">
      <c r="A149" t="s">
        <v>259</v>
      </c>
      <c r="B149" t="s">
        <v>258</v>
      </c>
      <c r="C149" s="46">
        <v>45773.40625</v>
      </c>
      <c r="D149" t="s">
        <v>32</v>
      </c>
      <c r="E149">
        <v>12.6</v>
      </c>
      <c r="F149" t="s">
        <v>33</v>
      </c>
      <c r="G149">
        <v>7.9</v>
      </c>
      <c r="H149" t="s">
        <v>82</v>
      </c>
      <c r="I149">
        <v>9.8539999999999992</v>
      </c>
      <c r="J149" t="s">
        <v>83</v>
      </c>
      <c r="K149">
        <v>1037</v>
      </c>
      <c r="L149" t="s">
        <v>84</v>
      </c>
      <c r="M149">
        <v>9.5</v>
      </c>
      <c r="N149" t="s">
        <v>85</v>
      </c>
      <c r="O149">
        <v>52.07</v>
      </c>
      <c r="P149" t="s">
        <v>86</v>
      </c>
      <c r="Q149">
        <v>50.92</v>
      </c>
      <c r="R149" t="s">
        <v>87</v>
      </c>
      <c r="S149">
        <v>22.71</v>
      </c>
      <c r="T149" s="73" t="s">
        <v>88</v>
      </c>
      <c r="U149" s="73">
        <f>91.5-W149</f>
        <v>58.37</v>
      </c>
      <c r="V149" s="73" t="s">
        <v>89</v>
      </c>
      <c r="W149" s="73">
        <v>33.130000000000003</v>
      </c>
      <c r="X149" t="s">
        <v>90</v>
      </c>
      <c r="Y149">
        <v>3.05</v>
      </c>
      <c r="Z149" s="73" t="s">
        <v>91</v>
      </c>
      <c r="AA149" s="91">
        <f t="shared" si="3"/>
        <v>32</v>
      </c>
      <c r="AB149" s="73" t="s">
        <v>92</v>
      </c>
      <c r="AC149" s="73">
        <v>0</v>
      </c>
      <c r="AD149" s="73" t="s">
        <v>93</v>
      </c>
      <c r="AE149" s="73">
        <v>32</v>
      </c>
      <c r="AF149" t="s">
        <v>95</v>
      </c>
      <c r="AG149">
        <v>39</v>
      </c>
      <c r="AH149" t="s">
        <v>100</v>
      </c>
      <c r="AI149">
        <v>2.93</v>
      </c>
      <c r="AJ149" t="s">
        <v>97</v>
      </c>
      <c r="AK149">
        <v>0.67700000000000005</v>
      </c>
      <c r="AL149" t="s">
        <v>98</v>
      </c>
      <c r="AM149">
        <v>0.13300000000000001</v>
      </c>
      <c r="AN149" s="203" t="s">
        <v>99</v>
      </c>
      <c r="AO149" s="204">
        <v>4.4146569465752652</v>
      </c>
      <c r="AP149" t="s">
        <v>94</v>
      </c>
      <c r="AR149" t="s">
        <v>180</v>
      </c>
      <c r="AS149">
        <v>284</v>
      </c>
      <c r="AT149" t="s">
        <v>102</v>
      </c>
      <c r="AV149" t="s">
        <v>101</v>
      </c>
      <c r="AX149" t="s">
        <v>103</v>
      </c>
      <c r="AZ149" t="s">
        <v>104</v>
      </c>
      <c r="BB149" t="s">
        <v>105</v>
      </c>
    </row>
    <row r="150" spans="1:54" hidden="1" x14ac:dyDescent="0.3">
      <c r="A150" t="s">
        <v>260</v>
      </c>
      <c r="B150" t="s">
        <v>258</v>
      </c>
      <c r="C150" s="46">
        <v>45773.6875</v>
      </c>
      <c r="D150" t="s">
        <v>32</v>
      </c>
      <c r="F150" t="s">
        <v>33</v>
      </c>
      <c r="H150" t="s">
        <v>82</v>
      </c>
      <c r="I150">
        <v>9.8141999999999996</v>
      </c>
      <c r="J150" t="s">
        <v>83</v>
      </c>
      <c r="K150">
        <v>1033.4000000000001</v>
      </c>
      <c r="L150" t="s">
        <v>84</v>
      </c>
      <c r="M150">
        <v>8.9</v>
      </c>
      <c r="N150" t="s">
        <v>85</v>
      </c>
      <c r="O150">
        <v>34.56</v>
      </c>
      <c r="P150" t="s">
        <v>86</v>
      </c>
      <c r="Q150">
        <v>34.1</v>
      </c>
      <c r="R150" t="s">
        <v>87</v>
      </c>
      <c r="S150">
        <v>22.67</v>
      </c>
      <c r="T150" t="s">
        <v>88</v>
      </c>
      <c r="U150">
        <v>51.43</v>
      </c>
      <c r="V150" t="s">
        <v>89</v>
      </c>
      <c r="W150">
        <v>32.340000000000003</v>
      </c>
      <c r="X150" t="s">
        <v>90</v>
      </c>
      <c r="Y150">
        <v>4.9800000000000004</v>
      </c>
      <c r="Z150" t="s">
        <v>91</v>
      </c>
      <c r="AA150" s="91">
        <f t="shared" si="3"/>
        <v>27</v>
      </c>
      <c r="AB150" t="s">
        <v>92</v>
      </c>
      <c r="AC150">
        <v>0</v>
      </c>
      <c r="AD150" t="s">
        <v>93</v>
      </c>
      <c r="AE150">
        <v>27</v>
      </c>
      <c r="AF150" t="s">
        <v>95</v>
      </c>
      <c r="AG150">
        <v>51</v>
      </c>
      <c r="AH150" t="s">
        <v>100</v>
      </c>
      <c r="AI150">
        <v>2.77</v>
      </c>
      <c r="AJ150" t="s">
        <v>97</v>
      </c>
      <c r="AK150">
        <v>0.69869999999999999</v>
      </c>
      <c r="AL150" t="s">
        <v>98</v>
      </c>
      <c r="AM150">
        <v>0.1643</v>
      </c>
      <c r="AN150" s="203" t="s">
        <v>99</v>
      </c>
      <c r="AO150" s="204">
        <v>4.9957472344348997</v>
      </c>
      <c r="AP150" t="s">
        <v>94</v>
      </c>
      <c r="AR150" t="s">
        <v>180</v>
      </c>
      <c r="AS150">
        <v>261</v>
      </c>
      <c r="AT150" t="s">
        <v>102</v>
      </c>
      <c r="AV150" t="s">
        <v>101</v>
      </c>
      <c r="AX150" t="s">
        <v>103</v>
      </c>
      <c r="AZ150" t="s">
        <v>104</v>
      </c>
      <c r="BB150" t="s">
        <v>105</v>
      </c>
    </row>
    <row r="151" spans="1:54" hidden="1" x14ac:dyDescent="0.3">
      <c r="A151" t="s">
        <v>261</v>
      </c>
      <c r="B151" t="s">
        <v>258</v>
      </c>
      <c r="C151" s="46">
        <v>45774.5625</v>
      </c>
      <c r="D151" t="s">
        <v>32</v>
      </c>
      <c r="E151">
        <v>15</v>
      </c>
      <c r="F151" t="s">
        <v>33</v>
      </c>
      <c r="G151">
        <v>9.6999999999999993</v>
      </c>
      <c r="H151" t="s">
        <v>82</v>
      </c>
      <c r="I151">
        <v>9.8238000000000003</v>
      </c>
      <c r="J151" t="s">
        <v>83</v>
      </c>
      <c r="K151">
        <v>1025.2</v>
      </c>
      <c r="L151" t="s">
        <v>84</v>
      </c>
      <c r="M151">
        <v>6.8</v>
      </c>
      <c r="N151" t="s">
        <v>85</v>
      </c>
      <c r="O151">
        <v>83.1</v>
      </c>
      <c r="P151" t="s">
        <v>86</v>
      </c>
      <c r="Q151">
        <v>69.819999999999993</v>
      </c>
      <c r="R151" t="s">
        <v>87</v>
      </c>
      <c r="S151">
        <v>15.25</v>
      </c>
      <c r="T151" t="s">
        <v>88</v>
      </c>
      <c r="U151">
        <v>49.44</v>
      </c>
      <c r="V151" t="s">
        <v>89</v>
      </c>
      <c r="W151">
        <v>19.54</v>
      </c>
      <c r="X151" t="s">
        <v>90</v>
      </c>
      <c r="Y151">
        <v>5.54</v>
      </c>
      <c r="Z151" t="s">
        <v>91</v>
      </c>
      <c r="AA151" s="91">
        <f t="shared" si="3"/>
        <v>26</v>
      </c>
      <c r="AB151" t="s">
        <v>92</v>
      </c>
      <c r="AC151">
        <v>0</v>
      </c>
      <c r="AD151" t="s">
        <v>93</v>
      </c>
      <c r="AE151">
        <v>26</v>
      </c>
      <c r="AF151" t="s">
        <v>95</v>
      </c>
      <c r="AG151">
        <v>48</v>
      </c>
      <c r="AH151" t="s">
        <v>100</v>
      </c>
      <c r="AI151">
        <v>2.72</v>
      </c>
      <c r="AJ151" t="s">
        <v>97</v>
      </c>
      <c r="AK151">
        <v>0.95660000000000001</v>
      </c>
      <c r="AL151" t="s">
        <v>98</v>
      </c>
      <c r="AM151">
        <v>0.20230000000000001</v>
      </c>
      <c r="AN151" s="203" t="s">
        <v>99</v>
      </c>
      <c r="AO151" s="204">
        <v>6.3328719851250597</v>
      </c>
      <c r="AP151" t="s">
        <v>94</v>
      </c>
      <c r="AR151" t="s">
        <v>180</v>
      </c>
      <c r="AS151">
        <v>245</v>
      </c>
      <c r="AT151" t="s">
        <v>102</v>
      </c>
      <c r="AV151" t="s">
        <v>101</v>
      </c>
      <c r="AX151" t="s">
        <v>103</v>
      </c>
      <c r="AZ151" t="s">
        <v>104</v>
      </c>
      <c r="BB151" t="s">
        <v>105</v>
      </c>
    </row>
    <row r="152" spans="1:54" hidden="1" x14ac:dyDescent="0.3">
      <c r="A152" t="s">
        <v>262</v>
      </c>
      <c r="B152" t="s">
        <v>258</v>
      </c>
      <c r="C152" s="46">
        <v>45775.375</v>
      </c>
      <c r="D152" t="s">
        <v>32</v>
      </c>
      <c r="E152">
        <v>11</v>
      </c>
      <c r="F152" t="s">
        <v>33</v>
      </c>
      <c r="G152">
        <v>6</v>
      </c>
      <c r="H152" t="s">
        <v>82</v>
      </c>
      <c r="I152">
        <v>9.8106000000000009</v>
      </c>
      <c r="J152" t="s">
        <v>83</v>
      </c>
      <c r="K152">
        <v>1019.3</v>
      </c>
      <c r="L152" t="s">
        <v>84</v>
      </c>
      <c r="M152">
        <v>5.3</v>
      </c>
      <c r="N152" t="s">
        <v>85</v>
      </c>
      <c r="O152">
        <v>44.39</v>
      </c>
      <c r="P152" t="s">
        <v>86</v>
      </c>
      <c r="Q152">
        <v>43.09</v>
      </c>
      <c r="R152" t="s">
        <v>87</v>
      </c>
      <c r="S152">
        <v>20.93</v>
      </c>
      <c r="T152" t="s">
        <v>88</v>
      </c>
      <c r="U152">
        <v>39.54</v>
      </c>
      <c r="V152" t="s">
        <v>89</v>
      </c>
      <c r="W152">
        <v>17.88</v>
      </c>
      <c r="X152" t="s">
        <v>90</v>
      </c>
      <c r="Y152">
        <v>5.84</v>
      </c>
      <c r="Z152" t="s">
        <v>91</v>
      </c>
      <c r="AA152" s="91">
        <f t="shared" si="3"/>
        <v>29</v>
      </c>
      <c r="AB152" t="s">
        <v>92</v>
      </c>
      <c r="AC152">
        <v>0</v>
      </c>
      <c r="AD152" t="s">
        <v>93</v>
      </c>
      <c r="AE152">
        <v>29</v>
      </c>
      <c r="AF152" t="s">
        <v>95</v>
      </c>
      <c r="AG152">
        <v>38</v>
      </c>
      <c r="AH152" t="s">
        <v>100</v>
      </c>
      <c r="AI152">
        <v>2.75</v>
      </c>
      <c r="AJ152" t="s">
        <v>97</v>
      </c>
      <c r="AK152">
        <v>0.79090000000000005</v>
      </c>
      <c r="AL152" t="s">
        <v>98</v>
      </c>
      <c r="AM152">
        <v>0.2001</v>
      </c>
      <c r="AN152" s="203" t="s">
        <v>99</v>
      </c>
      <c r="AO152" s="204">
        <v>7.3067603947772515</v>
      </c>
      <c r="AP152" t="s">
        <v>94</v>
      </c>
      <c r="AR152" t="s">
        <v>180</v>
      </c>
      <c r="AS152">
        <v>229</v>
      </c>
      <c r="AT152" t="s">
        <v>102</v>
      </c>
      <c r="AV152" t="s">
        <v>101</v>
      </c>
      <c r="AX152" t="s">
        <v>103</v>
      </c>
      <c r="AZ152" t="s">
        <v>104</v>
      </c>
      <c r="BB152" t="s">
        <v>105</v>
      </c>
    </row>
    <row r="153" spans="1:54" hidden="1" x14ac:dyDescent="0.3">
      <c r="A153" t="s">
        <v>263</v>
      </c>
      <c r="B153" t="s">
        <v>258</v>
      </c>
      <c r="C153" s="46">
        <v>45775.625</v>
      </c>
      <c r="D153" t="s">
        <v>32</v>
      </c>
      <c r="F153" t="s">
        <v>33</v>
      </c>
      <c r="H153" t="s">
        <v>82</v>
      </c>
      <c r="I153">
        <v>9.8168000000000006</v>
      </c>
      <c r="J153" t="s">
        <v>83</v>
      </c>
      <c r="K153">
        <v>1017.3</v>
      </c>
      <c r="L153" t="s">
        <v>84</v>
      </c>
      <c r="M153">
        <v>4.9000000000000004</v>
      </c>
      <c r="N153" t="s">
        <v>85</v>
      </c>
      <c r="O153">
        <v>40.4</v>
      </c>
      <c r="P153" t="s">
        <v>86</v>
      </c>
      <c r="Q153">
        <v>40.020000000000003</v>
      </c>
      <c r="R153" t="s">
        <v>87</v>
      </c>
      <c r="S153">
        <v>17.489999999999998</v>
      </c>
      <c r="T153" t="s">
        <v>88</v>
      </c>
      <c r="U153">
        <v>35.83</v>
      </c>
      <c r="V153" t="s">
        <v>89</v>
      </c>
      <c r="W153">
        <v>15.11</v>
      </c>
      <c r="X153" t="s">
        <v>90</v>
      </c>
      <c r="Y153">
        <v>5.73</v>
      </c>
      <c r="Z153" t="s">
        <v>91</v>
      </c>
      <c r="AA153" s="91">
        <f t="shared" si="3"/>
        <v>28.56</v>
      </c>
      <c r="AB153" t="s">
        <v>92</v>
      </c>
      <c r="AC153">
        <v>8</v>
      </c>
      <c r="AD153" t="s">
        <v>93</v>
      </c>
      <c r="AE153">
        <v>22</v>
      </c>
      <c r="AF153" t="s">
        <v>95</v>
      </c>
      <c r="AG153">
        <v>40</v>
      </c>
      <c r="AH153" t="s">
        <v>100</v>
      </c>
      <c r="AI153">
        <v>2.66</v>
      </c>
      <c r="AJ153" t="s">
        <v>97</v>
      </c>
      <c r="AK153">
        <v>0.78180000000000005</v>
      </c>
      <c r="AL153" t="s">
        <v>98</v>
      </c>
      <c r="AM153">
        <v>0.19370000000000001</v>
      </c>
      <c r="AN153" s="203" t="s">
        <v>99</v>
      </c>
      <c r="AO153" s="204">
        <v>7.6391660335595652</v>
      </c>
      <c r="AP153" t="s">
        <v>94</v>
      </c>
      <c r="AR153" t="s">
        <v>180</v>
      </c>
      <c r="AS153">
        <v>239</v>
      </c>
      <c r="AT153" t="s">
        <v>102</v>
      </c>
      <c r="AV153" t="s">
        <v>101</v>
      </c>
      <c r="AX153" t="s">
        <v>103</v>
      </c>
      <c r="AZ153" t="s">
        <v>104</v>
      </c>
      <c r="BB153" t="s">
        <v>105</v>
      </c>
    </row>
    <row r="154" spans="1:54" hidden="1" x14ac:dyDescent="0.3">
      <c r="A154" t="s">
        <v>264</v>
      </c>
      <c r="B154" t="s">
        <v>258</v>
      </c>
      <c r="C154" s="46">
        <v>45776.4375</v>
      </c>
      <c r="D154" t="s">
        <v>32</v>
      </c>
      <c r="E154">
        <v>10</v>
      </c>
      <c r="F154" t="s">
        <v>33</v>
      </c>
      <c r="G154">
        <v>5.7</v>
      </c>
      <c r="H154" t="s">
        <v>82</v>
      </c>
      <c r="I154">
        <v>9.8170999999999999</v>
      </c>
      <c r="J154" t="s">
        <v>83</v>
      </c>
      <c r="K154">
        <v>1012.9</v>
      </c>
      <c r="L154" t="s">
        <v>84</v>
      </c>
      <c r="M154">
        <v>3.7</v>
      </c>
      <c r="N154" t="s">
        <v>85</v>
      </c>
      <c r="O154">
        <v>38.86</v>
      </c>
      <c r="P154" t="s">
        <v>86</v>
      </c>
      <c r="Q154">
        <v>38.479999999999997</v>
      </c>
      <c r="R154" t="s">
        <v>87</v>
      </c>
      <c r="S154">
        <v>14.82</v>
      </c>
      <c r="T154" t="s">
        <v>88</v>
      </c>
      <c r="U154">
        <v>32.04</v>
      </c>
      <c r="V154" t="s">
        <v>89</v>
      </c>
      <c r="W154">
        <v>11.12</v>
      </c>
      <c r="X154" t="s">
        <v>90</v>
      </c>
      <c r="Y154">
        <v>5.79</v>
      </c>
      <c r="Z154" t="s">
        <v>91</v>
      </c>
      <c r="AA154" s="91">
        <f t="shared" si="3"/>
        <v>25.46</v>
      </c>
      <c r="AB154" t="s">
        <v>92</v>
      </c>
      <c r="AC154">
        <v>3</v>
      </c>
      <c r="AD154" t="s">
        <v>93</v>
      </c>
      <c r="AE154">
        <v>23</v>
      </c>
      <c r="AF154" t="s">
        <v>95</v>
      </c>
      <c r="AG154">
        <v>48</v>
      </c>
      <c r="AH154" t="s">
        <v>100</v>
      </c>
      <c r="AI154">
        <v>2.73</v>
      </c>
      <c r="AJ154" t="s">
        <v>97</v>
      </c>
      <c r="AK154">
        <v>0.76590000000000003</v>
      </c>
      <c r="AL154" t="s">
        <v>98</v>
      </c>
      <c r="AM154">
        <v>0.21940000000000001</v>
      </c>
      <c r="AN154" s="203" t="s">
        <v>99</v>
      </c>
      <c r="AO154" s="204">
        <v>8.3745532051894465</v>
      </c>
      <c r="AP154" t="s">
        <v>94</v>
      </c>
      <c r="AR154" t="s">
        <v>180</v>
      </c>
      <c r="AS154">
        <v>230</v>
      </c>
      <c r="AT154" t="s">
        <v>102</v>
      </c>
      <c r="AV154" t="s">
        <v>101</v>
      </c>
      <c r="AX154" t="s">
        <v>103</v>
      </c>
      <c r="AZ154" t="s">
        <v>104</v>
      </c>
      <c r="BB154" t="s">
        <v>105</v>
      </c>
    </row>
    <row r="155" spans="1:54" hidden="1" x14ac:dyDescent="0.3">
      <c r="A155" t="s">
        <v>265</v>
      </c>
      <c r="B155" t="s">
        <v>258</v>
      </c>
      <c r="C155" s="46">
        <v>45776.625</v>
      </c>
      <c r="D155" t="s">
        <v>32</v>
      </c>
      <c r="F155" t="s">
        <v>33</v>
      </c>
      <c r="H155" t="s">
        <v>82</v>
      </c>
      <c r="I155">
        <v>9.8361000000000001</v>
      </c>
      <c r="J155" t="s">
        <v>83</v>
      </c>
      <c r="K155">
        <v>1010.7</v>
      </c>
      <c r="L155" t="s">
        <v>84</v>
      </c>
      <c r="M155">
        <v>3.3</v>
      </c>
      <c r="N155" t="s">
        <v>85</v>
      </c>
      <c r="O155">
        <v>32.799999999999997</v>
      </c>
      <c r="P155" t="s">
        <v>86</v>
      </c>
      <c r="Q155">
        <v>32.409999999999997</v>
      </c>
      <c r="R155" t="s">
        <v>87</v>
      </c>
      <c r="S155">
        <v>19.440000000000001</v>
      </c>
      <c r="T155" t="s">
        <v>88</v>
      </c>
      <c r="U155">
        <v>29.68</v>
      </c>
      <c r="V155" t="s">
        <v>89</v>
      </c>
      <c r="W155">
        <v>11.07</v>
      </c>
      <c r="X155" t="s">
        <v>90</v>
      </c>
      <c r="Y155">
        <v>6.34</v>
      </c>
      <c r="Z155" t="s">
        <v>91</v>
      </c>
      <c r="AA155" s="91">
        <f t="shared" si="3"/>
        <v>24.64</v>
      </c>
      <c r="AB155" t="s">
        <v>92</v>
      </c>
      <c r="AC155">
        <v>2</v>
      </c>
      <c r="AD155" t="s">
        <v>93</v>
      </c>
      <c r="AE155">
        <v>23</v>
      </c>
      <c r="AF155" t="s">
        <v>95</v>
      </c>
      <c r="AG155">
        <v>21</v>
      </c>
      <c r="AH155" t="s">
        <v>100</v>
      </c>
      <c r="AI155">
        <v>2.77</v>
      </c>
      <c r="AJ155" t="s">
        <v>97</v>
      </c>
      <c r="AK155">
        <v>0.77159999999999995</v>
      </c>
      <c r="AL155" t="s">
        <v>98</v>
      </c>
      <c r="AM155">
        <v>0.2167</v>
      </c>
      <c r="AN155" s="203" t="s">
        <v>99</v>
      </c>
      <c r="AO155" s="204">
        <v>8.7443732643852421</v>
      </c>
      <c r="AP155" t="s">
        <v>94</v>
      </c>
      <c r="AR155" t="s">
        <v>180</v>
      </c>
      <c r="AS155">
        <v>241</v>
      </c>
      <c r="AT155" t="s">
        <v>102</v>
      </c>
      <c r="AV155" t="s">
        <v>101</v>
      </c>
      <c r="AX155" t="s">
        <v>103</v>
      </c>
      <c r="AZ155" t="s">
        <v>104</v>
      </c>
      <c r="BB155" t="s">
        <v>105</v>
      </c>
    </row>
    <row r="156" spans="1:54" hidden="1" x14ac:dyDescent="0.3">
      <c r="A156" t="s">
        <v>266</v>
      </c>
      <c r="B156" t="s">
        <v>258</v>
      </c>
      <c r="C156" s="46">
        <v>45777.375</v>
      </c>
      <c r="D156" t="s">
        <v>32</v>
      </c>
      <c r="E156">
        <v>8.5</v>
      </c>
      <c r="F156" t="s">
        <v>33</v>
      </c>
      <c r="G156">
        <v>4.5</v>
      </c>
      <c r="H156" t="s">
        <v>82</v>
      </c>
      <c r="I156">
        <v>9.8203999999999994</v>
      </c>
      <c r="J156" t="s">
        <v>83</v>
      </c>
      <c r="K156">
        <v>1008.6</v>
      </c>
      <c r="L156" t="s">
        <v>84</v>
      </c>
      <c r="M156">
        <v>2.7</v>
      </c>
      <c r="N156" t="s">
        <v>85</v>
      </c>
      <c r="O156">
        <v>34.79</v>
      </c>
      <c r="P156" t="s">
        <v>86</v>
      </c>
      <c r="Q156">
        <v>34.1</v>
      </c>
      <c r="R156" t="s">
        <v>87</v>
      </c>
      <c r="S156">
        <v>11.04</v>
      </c>
      <c r="T156" t="s">
        <v>88</v>
      </c>
      <c r="U156">
        <v>26.92</v>
      </c>
      <c r="V156" t="s">
        <v>89</v>
      </c>
      <c r="W156">
        <v>7.79</v>
      </c>
      <c r="X156" t="s">
        <v>90</v>
      </c>
      <c r="Y156">
        <v>6.36</v>
      </c>
      <c r="Z156" t="s">
        <v>91</v>
      </c>
      <c r="AA156" s="91">
        <f t="shared" si="3"/>
        <v>23.82</v>
      </c>
      <c r="AB156" t="s">
        <v>92</v>
      </c>
      <c r="AC156">
        <v>1</v>
      </c>
      <c r="AD156" t="s">
        <v>93</v>
      </c>
      <c r="AE156">
        <v>23</v>
      </c>
      <c r="AF156" t="s">
        <v>95</v>
      </c>
      <c r="AG156">
        <v>27</v>
      </c>
      <c r="AH156" t="s">
        <v>100</v>
      </c>
      <c r="AI156">
        <v>2.76</v>
      </c>
      <c r="AJ156" t="s">
        <v>97</v>
      </c>
      <c r="AK156">
        <v>0.81179999999999997</v>
      </c>
      <c r="AL156" t="s">
        <v>98</v>
      </c>
      <c r="AM156">
        <v>0.2271</v>
      </c>
      <c r="AN156" s="203" t="s">
        <v>99</v>
      </c>
      <c r="AO156" s="204">
        <v>9.0987152823190467</v>
      </c>
      <c r="AP156" t="s">
        <v>94</v>
      </c>
      <c r="AR156" t="s">
        <v>180</v>
      </c>
      <c r="AS156">
        <v>245</v>
      </c>
      <c r="AT156" t="s">
        <v>102</v>
      </c>
      <c r="AV156" t="s">
        <v>101</v>
      </c>
      <c r="AX156" t="s">
        <v>103</v>
      </c>
      <c r="AZ156" t="s">
        <v>104</v>
      </c>
      <c r="BB156" t="s">
        <v>105</v>
      </c>
    </row>
    <row r="157" spans="1:54" hidden="1" x14ac:dyDescent="0.3">
      <c r="A157" t="s">
        <v>267</v>
      </c>
      <c r="B157" t="s">
        <v>258</v>
      </c>
      <c r="C157" s="46">
        <v>45777.625</v>
      </c>
      <c r="D157" t="s">
        <v>32</v>
      </c>
      <c r="F157" t="s">
        <v>33</v>
      </c>
      <c r="H157" t="s">
        <v>82</v>
      </c>
      <c r="I157">
        <v>9.8386999999999993</v>
      </c>
      <c r="J157" t="s">
        <v>83</v>
      </c>
      <c r="K157">
        <v>1007</v>
      </c>
      <c r="L157" t="s">
        <v>84</v>
      </c>
      <c r="M157">
        <v>2.2999999999999998</v>
      </c>
      <c r="N157" t="s">
        <v>85</v>
      </c>
      <c r="O157">
        <v>40.71</v>
      </c>
      <c r="P157" t="s">
        <v>86</v>
      </c>
      <c r="Q157">
        <v>39.479999999999997</v>
      </c>
      <c r="R157" t="s">
        <v>87</v>
      </c>
      <c r="S157">
        <v>16.23</v>
      </c>
      <c r="T157" t="s">
        <v>88</v>
      </c>
      <c r="U157">
        <v>24.66</v>
      </c>
      <c r="V157" t="s">
        <v>89</v>
      </c>
      <c r="W157">
        <v>7.49</v>
      </c>
      <c r="X157" t="s">
        <v>90</v>
      </c>
      <c r="Y157">
        <v>6.14</v>
      </c>
      <c r="Z157" t="s">
        <v>91</v>
      </c>
      <c r="AA157" s="91">
        <f t="shared" si="3"/>
        <v>23.82</v>
      </c>
      <c r="AB157" t="s">
        <v>92</v>
      </c>
      <c r="AC157">
        <v>1</v>
      </c>
      <c r="AD157" t="s">
        <v>93</v>
      </c>
      <c r="AE157">
        <v>23</v>
      </c>
      <c r="AF157" t="s">
        <v>95</v>
      </c>
      <c r="AG157">
        <v>24</v>
      </c>
      <c r="AH157" t="s">
        <v>100</v>
      </c>
      <c r="AI157">
        <v>2.72</v>
      </c>
      <c r="AJ157" t="s">
        <v>97</v>
      </c>
      <c r="AK157">
        <v>0.7823</v>
      </c>
      <c r="AL157" t="s">
        <v>98</v>
      </c>
      <c r="AM157">
        <v>0.22459999999999999</v>
      </c>
      <c r="AN157" s="203" t="s">
        <v>99</v>
      </c>
      <c r="AO157" s="204">
        <v>9.3695676032935555</v>
      </c>
      <c r="AP157" t="s">
        <v>94</v>
      </c>
      <c r="AR157" t="s">
        <v>180</v>
      </c>
      <c r="AS157">
        <v>267</v>
      </c>
      <c r="AT157" t="s">
        <v>102</v>
      </c>
      <c r="AV157" t="s">
        <v>101</v>
      </c>
      <c r="AX157" t="s">
        <v>103</v>
      </c>
      <c r="AZ157" t="s">
        <v>104</v>
      </c>
      <c r="BB157" t="s">
        <v>105</v>
      </c>
    </row>
    <row r="158" spans="1:54" hidden="1" x14ac:dyDescent="0.3">
      <c r="A158" t="s">
        <v>268</v>
      </c>
      <c r="B158" t="s">
        <v>258</v>
      </c>
      <c r="C158" s="46">
        <v>45778.729166666664</v>
      </c>
      <c r="D158" t="s">
        <v>32</v>
      </c>
      <c r="E158">
        <v>9.5</v>
      </c>
      <c r="F158" t="s">
        <v>33</v>
      </c>
      <c r="G158">
        <v>5</v>
      </c>
      <c r="H158" t="s">
        <v>82</v>
      </c>
      <c r="I158">
        <v>9.7914999999999992</v>
      </c>
      <c r="J158" t="s">
        <v>83</v>
      </c>
      <c r="K158">
        <v>1003.7</v>
      </c>
      <c r="L158" t="s">
        <v>84</v>
      </c>
      <c r="M158">
        <v>1.4</v>
      </c>
      <c r="N158" t="s">
        <v>85</v>
      </c>
      <c r="P158" t="s">
        <v>86</v>
      </c>
      <c r="R158" t="s">
        <v>87</v>
      </c>
      <c r="S158">
        <v>10.08</v>
      </c>
      <c r="T158" t="s">
        <v>88</v>
      </c>
      <c r="U158">
        <v>20.65</v>
      </c>
      <c r="V158" t="s">
        <v>89</v>
      </c>
      <c r="W158">
        <v>3.93</v>
      </c>
      <c r="X158" t="s">
        <v>90</v>
      </c>
      <c r="Y158">
        <v>6.59</v>
      </c>
      <c r="Z158" t="s">
        <v>91</v>
      </c>
      <c r="AA158" s="91">
        <f t="shared" si="3"/>
        <v>24.82</v>
      </c>
      <c r="AB158" t="s">
        <v>92</v>
      </c>
      <c r="AC158">
        <v>1</v>
      </c>
      <c r="AD158" t="s">
        <v>93</v>
      </c>
      <c r="AE158">
        <v>24</v>
      </c>
      <c r="AF158" t="s">
        <v>95</v>
      </c>
      <c r="AG158">
        <v>30</v>
      </c>
      <c r="AH158" t="s">
        <v>100</v>
      </c>
      <c r="AI158">
        <v>2.7</v>
      </c>
      <c r="AJ158" t="s">
        <v>97</v>
      </c>
      <c r="AK158">
        <v>1.0744</v>
      </c>
      <c r="AL158" t="s">
        <v>98</v>
      </c>
      <c r="AM158">
        <v>0.2581</v>
      </c>
      <c r="AN158" s="203" t="s">
        <v>99</v>
      </c>
      <c r="AO158" s="204">
        <v>9.9306108952737198</v>
      </c>
      <c r="AP158" t="s">
        <v>94</v>
      </c>
      <c r="AR158" t="s">
        <v>180</v>
      </c>
      <c r="AS158">
        <v>216</v>
      </c>
      <c r="AT158" t="s">
        <v>102</v>
      </c>
      <c r="AV158" t="s">
        <v>101</v>
      </c>
      <c r="AX158" t="s">
        <v>103</v>
      </c>
      <c r="AZ158" t="s">
        <v>104</v>
      </c>
      <c r="BB158" t="s">
        <v>105</v>
      </c>
    </row>
    <row r="159" spans="1:54" hidden="1" x14ac:dyDescent="0.3">
      <c r="A159" t="s">
        <v>270</v>
      </c>
      <c r="B159" t="s">
        <v>258</v>
      </c>
      <c r="C159" s="46">
        <v>45779.4375</v>
      </c>
      <c r="D159" t="s">
        <v>32</v>
      </c>
      <c r="E159">
        <v>5.5</v>
      </c>
      <c r="F159" t="s">
        <v>33</v>
      </c>
      <c r="G159">
        <v>2.5</v>
      </c>
      <c r="H159" t="s">
        <v>82</v>
      </c>
      <c r="I159">
        <v>9.8150999999999993</v>
      </c>
      <c r="J159" t="s">
        <v>83</v>
      </c>
      <c r="K159">
        <v>1002.5</v>
      </c>
      <c r="L159" t="s">
        <v>84</v>
      </c>
      <c r="M159">
        <v>0.9</v>
      </c>
      <c r="N159" t="s">
        <v>85</v>
      </c>
      <c r="O159">
        <v>45.85</v>
      </c>
      <c r="P159" t="s">
        <v>86</v>
      </c>
      <c r="Q159">
        <v>41.01</v>
      </c>
      <c r="R159" t="s">
        <v>87</v>
      </c>
      <c r="S159">
        <v>10.220000000000001</v>
      </c>
      <c r="T159" t="s">
        <v>88</v>
      </c>
      <c r="U159">
        <v>19.760000000000002</v>
      </c>
      <c r="V159" t="s">
        <v>89</v>
      </c>
      <c r="W159">
        <v>1.79</v>
      </c>
      <c r="X159" t="s">
        <v>90</v>
      </c>
      <c r="Y159">
        <v>6.43</v>
      </c>
      <c r="Z159" t="s">
        <v>91</v>
      </c>
      <c r="AA159" s="91">
        <f t="shared" si="3"/>
        <v>26.46</v>
      </c>
      <c r="AB159" t="s">
        <v>92</v>
      </c>
      <c r="AC159">
        <v>3</v>
      </c>
      <c r="AD159" t="s">
        <v>93</v>
      </c>
      <c r="AE159">
        <v>24</v>
      </c>
      <c r="AF159" t="s">
        <v>95</v>
      </c>
      <c r="AG159">
        <v>39</v>
      </c>
      <c r="AH159" t="s">
        <v>100</v>
      </c>
      <c r="AI159">
        <v>2.66</v>
      </c>
      <c r="AJ159" t="s">
        <v>97</v>
      </c>
      <c r="AK159">
        <v>1.1758999999999999</v>
      </c>
      <c r="AL159" t="s">
        <v>98</v>
      </c>
      <c r="AM159">
        <v>0.23780000000000001</v>
      </c>
      <c r="AN159" s="203" t="s">
        <v>99</v>
      </c>
      <c r="AO159" s="204">
        <v>10.135435574189023</v>
      </c>
      <c r="AP159" t="s">
        <v>94</v>
      </c>
      <c r="AR159" t="s">
        <v>180</v>
      </c>
      <c r="AS159">
        <v>200</v>
      </c>
      <c r="AT159" t="s">
        <v>102</v>
      </c>
      <c r="AV159" t="s">
        <v>101</v>
      </c>
      <c r="AX159" t="s">
        <v>103</v>
      </c>
      <c r="AZ159" t="s">
        <v>104</v>
      </c>
      <c r="BB159" t="s">
        <v>105</v>
      </c>
    </row>
    <row r="160" spans="1:54" hidden="1" x14ac:dyDescent="0.3">
      <c r="A160" t="s">
        <v>271</v>
      </c>
      <c r="B160" t="s">
        <v>258</v>
      </c>
      <c r="C160" s="46">
        <v>45780.5</v>
      </c>
      <c r="D160" t="s">
        <v>32</v>
      </c>
      <c r="E160">
        <v>5.4</v>
      </c>
      <c r="F160" t="s">
        <v>33</v>
      </c>
      <c r="G160">
        <v>2.9</v>
      </c>
      <c r="H160" t="s">
        <v>82</v>
      </c>
      <c r="I160">
        <v>9.8118999999999996</v>
      </c>
      <c r="J160" t="s">
        <v>83</v>
      </c>
      <c r="K160">
        <v>998.5</v>
      </c>
      <c r="L160" t="s">
        <v>84</v>
      </c>
      <c r="M160">
        <v>0</v>
      </c>
      <c r="N160" t="s">
        <v>85</v>
      </c>
      <c r="P160" t="s">
        <v>86</v>
      </c>
      <c r="R160" t="s">
        <v>87</v>
      </c>
      <c r="S160">
        <v>13.96</v>
      </c>
      <c r="T160" t="s">
        <v>88</v>
      </c>
      <c r="U160">
        <v>13.26</v>
      </c>
      <c r="V160" t="s">
        <v>89</v>
      </c>
      <c r="W160">
        <v>2.48</v>
      </c>
      <c r="X160" t="s">
        <v>90</v>
      </c>
      <c r="Y160">
        <v>6.66</v>
      </c>
      <c r="Z160" s="73" t="s">
        <v>91</v>
      </c>
      <c r="AA160" s="91">
        <f t="shared" si="3"/>
        <v>34.82</v>
      </c>
      <c r="AB160" s="73" t="s">
        <v>92</v>
      </c>
      <c r="AC160" s="73">
        <v>1</v>
      </c>
      <c r="AD160" s="73" t="s">
        <v>93</v>
      </c>
      <c r="AE160" s="73">
        <v>34</v>
      </c>
      <c r="AF160" t="s">
        <v>95</v>
      </c>
      <c r="AG160">
        <v>27</v>
      </c>
      <c r="AH160" t="s">
        <v>100</v>
      </c>
      <c r="AI160">
        <v>2.65</v>
      </c>
      <c r="AJ160" t="s">
        <v>97</v>
      </c>
      <c r="AK160">
        <v>0.75880000000000003</v>
      </c>
      <c r="AL160" t="s">
        <v>98</v>
      </c>
      <c r="AM160">
        <v>0.2833</v>
      </c>
      <c r="AN160" s="203" t="s">
        <v>99</v>
      </c>
      <c r="AO160" s="204">
        <v>10.821321799776552</v>
      </c>
      <c r="AP160" t="s">
        <v>94</v>
      </c>
      <c r="AR160" t="s">
        <v>180</v>
      </c>
      <c r="AS160">
        <v>212</v>
      </c>
      <c r="AT160" t="s">
        <v>102</v>
      </c>
      <c r="AV160" t="s">
        <v>101</v>
      </c>
      <c r="AX160" t="s">
        <v>103</v>
      </c>
      <c r="AZ160" t="s">
        <v>104</v>
      </c>
      <c r="BB160" t="s">
        <v>105</v>
      </c>
    </row>
    <row r="161" spans="1:55" hidden="1" x14ac:dyDescent="0.3">
      <c r="A161" t="s">
        <v>272</v>
      </c>
      <c r="B161" t="s">
        <v>258</v>
      </c>
      <c r="C161" s="46">
        <v>45781.5</v>
      </c>
      <c r="D161" t="s">
        <v>32</v>
      </c>
      <c r="E161">
        <v>3.3</v>
      </c>
      <c r="F161" t="s">
        <v>33</v>
      </c>
      <c r="G161">
        <v>2.5</v>
      </c>
      <c r="H161" t="s">
        <v>82</v>
      </c>
      <c r="I161">
        <v>9.7746999999999993</v>
      </c>
      <c r="J161" t="s">
        <v>83</v>
      </c>
      <c r="K161">
        <v>996</v>
      </c>
      <c r="L161" t="s">
        <v>84</v>
      </c>
      <c r="M161">
        <v>-0.4</v>
      </c>
      <c r="N161" t="s">
        <v>85</v>
      </c>
      <c r="P161" t="s">
        <v>86</v>
      </c>
      <c r="R161" t="s">
        <v>87</v>
      </c>
      <c r="S161">
        <v>10.06</v>
      </c>
      <c r="T161" t="s">
        <v>88</v>
      </c>
      <c r="U161">
        <v>8.94</v>
      </c>
      <c r="V161" t="s">
        <v>89</v>
      </c>
      <c r="W161">
        <v>0.33</v>
      </c>
      <c r="X161" t="s">
        <v>90</v>
      </c>
      <c r="Y161">
        <v>6.72</v>
      </c>
      <c r="Z161" t="s">
        <v>91</v>
      </c>
      <c r="AA161" s="91">
        <f t="shared" si="3"/>
        <v>34</v>
      </c>
      <c r="AB161" t="s">
        <v>92</v>
      </c>
      <c r="AC161">
        <v>0</v>
      </c>
      <c r="AD161" t="s">
        <v>93</v>
      </c>
      <c r="AE161">
        <v>34</v>
      </c>
      <c r="AF161" t="s">
        <v>95</v>
      </c>
      <c r="AG161">
        <v>24</v>
      </c>
      <c r="AH161" t="s">
        <v>100</v>
      </c>
      <c r="AI161">
        <v>2.63</v>
      </c>
      <c r="AJ161" t="s">
        <v>97</v>
      </c>
      <c r="AK161">
        <v>0.68030000000000002</v>
      </c>
      <c r="AL161" t="s">
        <v>98</v>
      </c>
      <c r="AM161">
        <v>0.28449999999999998</v>
      </c>
      <c r="AN161" s="203" t="s">
        <v>99</v>
      </c>
      <c r="AO161" s="204">
        <v>11.25246684328288</v>
      </c>
      <c r="AP161" t="s">
        <v>94</v>
      </c>
      <c r="AR161" t="s">
        <v>180</v>
      </c>
      <c r="AS161">
        <v>211</v>
      </c>
      <c r="AT161" t="s">
        <v>102</v>
      </c>
      <c r="AV161" t="s">
        <v>101</v>
      </c>
      <c r="AX161" t="s">
        <v>103</v>
      </c>
      <c r="AZ161" t="s">
        <v>104</v>
      </c>
      <c r="BB161" t="s">
        <v>105</v>
      </c>
    </row>
    <row r="162" spans="1:55" hidden="1" x14ac:dyDescent="0.3">
      <c r="A162" t="s">
        <v>273</v>
      </c>
      <c r="B162" t="s">
        <v>258</v>
      </c>
      <c r="C162" s="46">
        <v>45782.40625</v>
      </c>
      <c r="D162" t="s">
        <v>32</v>
      </c>
      <c r="E162">
        <v>4.4000000000000004</v>
      </c>
      <c r="F162" t="s">
        <v>33</v>
      </c>
      <c r="G162">
        <v>2.2000000000000002</v>
      </c>
      <c r="H162" t="s">
        <v>82</v>
      </c>
      <c r="I162">
        <v>9.7881999999999998</v>
      </c>
      <c r="J162" t="s">
        <v>83</v>
      </c>
      <c r="K162">
        <v>996</v>
      </c>
      <c r="L162" t="s">
        <v>84</v>
      </c>
      <c r="M162">
        <v>-0.6</v>
      </c>
      <c r="N162" t="s">
        <v>85</v>
      </c>
      <c r="O162">
        <v>34.33</v>
      </c>
      <c r="P162" t="s">
        <v>86</v>
      </c>
      <c r="Q162">
        <v>33.64</v>
      </c>
      <c r="R162" t="s">
        <v>87</v>
      </c>
      <c r="S162">
        <v>20.13</v>
      </c>
      <c r="T162" t="s">
        <v>88</v>
      </c>
      <c r="U162">
        <v>6.49</v>
      </c>
      <c r="V162" t="s">
        <v>89</v>
      </c>
      <c r="W162">
        <v>0.19</v>
      </c>
      <c r="X162" t="s">
        <v>90</v>
      </c>
      <c r="Y162">
        <v>6.63</v>
      </c>
      <c r="Z162" t="s">
        <v>91</v>
      </c>
      <c r="AA162" s="91">
        <f t="shared" si="3"/>
        <v>24</v>
      </c>
      <c r="AB162" t="s">
        <v>92</v>
      </c>
      <c r="AC162">
        <v>0</v>
      </c>
      <c r="AD162" t="s">
        <v>93</v>
      </c>
      <c r="AE162">
        <v>24</v>
      </c>
      <c r="AF162" t="s">
        <v>95</v>
      </c>
      <c r="AG162">
        <v>20</v>
      </c>
      <c r="AH162" t="s">
        <v>100</v>
      </c>
      <c r="AI162">
        <v>2.59</v>
      </c>
      <c r="AJ162" t="s">
        <v>97</v>
      </c>
      <c r="AK162">
        <v>0.68610000000000004</v>
      </c>
      <c r="AL162" t="s">
        <v>98</v>
      </c>
      <c r="AM162">
        <v>0.1794</v>
      </c>
      <c r="AN162" s="203" t="s">
        <v>99</v>
      </c>
      <c r="AO162" s="204">
        <v>11.25246684328288</v>
      </c>
      <c r="AP162" t="s">
        <v>94</v>
      </c>
      <c r="AR162" t="s">
        <v>180</v>
      </c>
      <c r="AS162">
        <v>216</v>
      </c>
      <c r="AT162" t="s">
        <v>102</v>
      </c>
      <c r="AV162" t="s">
        <v>101</v>
      </c>
      <c r="AX162" t="s">
        <v>103</v>
      </c>
      <c r="AZ162" t="s">
        <v>104</v>
      </c>
      <c r="BB162" t="s">
        <v>105</v>
      </c>
    </row>
    <row r="163" spans="1:55" hidden="1" x14ac:dyDescent="0.3">
      <c r="A163" t="s">
        <v>274</v>
      </c>
      <c r="B163" t="s">
        <v>258</v>
      </c>
      <c r="C163" s="46">
        <v>45782.625</v>
      </c>
      <c r="D163" t="s">
        <v>32</v>
      </c>
      <c r="F163" t="s">
        <v>33</v>
      </c>
      <c r="H163" t="s">
        <v>82</v>
      </c>
      <c r="I163">
        <v>9.8003</v>
      </c>
      <c r="J163" t="s">
        <v>83</v>
      </c>
      <c r="K163">
        <v>993.8</v>
      </c>
      <c r="L163" t="s">
        <v>84</v>
      </c>
      <c r="M163">
        <v>-1</v>
      </c>
      <c r="N163" t="s">
        <v>85</v>
      </c>
      <c r="O163">
        <v>32.33</v>
      </c>
      <c r="P163" t="s">
        <v>86</v>
      </c>
      <c r="Q163">
        <v>31.56</v>
      </c>
      <c r="R163" t="s">
        <v>87</v>
      </c>
      <c r="S163">
        <v>17.93</v>
      </c>
      <c r="T163" t="s">
        <v>88</v>
      </c>
      <c r="U163">
        <v>6.22</v>
      </c>
      <c r="V163" t="s">
        <v>89</v>
      </c>
      <c r="W163">
        <v>0</v>
      </c>
      <c r="X163" t="s">
        <v>90</v>
      </c>
      <c r="Y163">
        <v>6.99</v>
      </c>
      <c r="Z163" t="s">
        <v>91</v>
      </c>
      <c r="AA163" s="91">
        <f t="shared" si="3"/>
        <v>14</v>
      </c>
      <c r="AB163" t="s">
        <v>92</v>
      </c>
      <c r="AC163">
        <v>0</v>
      </c>
      <c r="AD163" t="s">
        <v>93</v>
      </c>
      <c r="AE163">
        <v>14</v>
      </c>
      <c r="AF163" t="s">
        <v>95</v>
      </c>
      <c r="AG163">
        <v>24</v>
      </c>
      <c r="AH163" t="s">
        <v>100</v>
      </c>
      <c r="AI163">
        <v>2.61</v>
      </c>
      <c r="AJ163" t="s">
        <v>97</v>
      </c>
      <c r="AK163">
        <v>0.69159999999999999</v>
      </c>
      <c r="AL163" t="s">
        <v>98</v>
      </c>
      <c r="AM163">
        <v>0.18160000000000001</v>
      </c>
      <c r="AN163" s="203" t="s">
        <v>99</v>
      </c>
      <c r="AO163" s="204">
        <v>11.633454598295128</v>
      </c>
      <c r="AP163" t="s">
        <v>94</v>
      </c>
      <c r="AR163" t="s">
        <v>180</v>
      </c>
      <c r="AS163">
        <v>214</v>
      </c>
      <c r="AT163" t="s">
        <v>102</v>
      </c>
      <c r="AV163" t="s">
        <v>101</v>
      </c>
      <c r="AX163" t="s">
        <v>103</v>
      </c>
      <c r="AZ163" t="s">
        <v>104</v>
      </c>
      <c r="BB163" t="s">
        <v>105</v>
      </c>
    </row>
    <row r="164" spans="1:55" hidden="1" x14ac:dyDescent="0.3">
      <c r="A164" t="s">
        <v>432</v>
      </c>
      <c r="B164" t="s">
        <v>258</v>
      </c>
      <c r="C164" s="46">
        <v>45783.416666666664</v>
      </c>
      <c r="D164" t="s">
        <v>32</v>
      </c>
      <c r="E164">
        <v>2.5</v>
      </c>
      <c r="F164" t="s">
        <v>33</v>
      </c>
      <c r="G164">
        <v>1.4</v>
      </c>
      <c r="H164" t="s">
        <v>82</v>
      </c>
      <c r="I164">
        <v>9.8263999999999996</v>
      </c>
      <c r="J164" t="s">
        <v>83</v>
      </c>
      <c r="K164">
        <v>994.4</v>
      </c>
      <c r="L164" t="s">
        <v>84</v>
      </c>
      <c r="M164">
        <v>-1</v>
      </c>
      <c r="N164" t="s">
        <v>85</v>
      </c>
      <c r="O164">
        <v>37.630000000000003</v>
      </c>
      <c r="P164" t="s">
        <v>86</v>
      </c>
      <c r="Q164">
        <v>36.020000000000003</v>
      </c>
      <c r="R164" t="s">
        <v>87</v>
      </c>
      <c r="S164">
        <v>16.12</v>
      </c>
      <c r="T164" t="s">
        <v>88</v>
      </c>
      <c r="U164">
        <v>4.22</v>
      </c>
      <c r="V164" t="s">
        <v>89</v>
      </c>
      <c r="W164">
        <v>0</v>
      </c>
      <c r="X164" t="s">
        <v>90</v>
      </c>
      <c r="Y164">
        <v>6.63</v>
      </c>
      <c r="Z164" t="s">
        <v>91</v>
      </c>
      <c r="AA164" s="91"/>
      <c r="AB164" t="s">
        <v>92</v>
      </c>
      <c r="AD164" t="s">
        <v>93</v>
      </c>
      <c r="AF164" t="s">
        <v>95</v>
      </c>
      <c r="AG164">
        <v>27</v>
      </c>
      <c r="AH164" t="s">
        <v>100</v>
      </c>
      <c r="AI164">
        <v>2.7</v>
      </c>
      <c r="AJ164" t="s">
        <v>97</v>
      </c>
      <c r="AK164">
        <v>0.62490000000000001</v>
      </c>
      <c r="AL164" t="s">
        <v>98</v>
      </c>
      <c r="AM164">
        <v>0.1706</v>
      </c>
      <c r="AN164" s="203" t="s">
        <v>99</v>
      </c>
      <c r="AO164" s="204">
        <v>11.529401667378762</v>
      </c>
      <c r="AP164" t="s">
        <v>94</v>
      </c>
      <c r="AR164" t="s">
        <v>180</v>
      </c>
      <c r="AS164">
        <v>219</v>
      </c>
      <c r="AT164" t="s">
        <v>102</v>
      </c>
      <c r="AV164" t="s">
        <v>101</v>
      </c>
      <c r="AX164" t="s">
        <v>103</v>
      </c>
      <c r="AZ164" t="s">
        <v>104</v>
      </c>
      <c r="BB164" t="s">
        <v>105</v>
      </c>
    </row>
    <row r="165" spans="1:55" hidden="1" x14ac:dyDescent="0.3">
      <c r="A165" t="s">
        <v>435</v>
      </c>
      <c r="B165" t="s">
        <v>258</v>
      </c>
      <c r="C165" s="46">
        <v>45783.645833333336</v>
      </c>
      <c r="D165" t="s">
        <v>32</v>
      </c>
      <c r="F165" t="s">
        <v>33</v>
      </c>
      <c r="H165" t="s">
        <v>82</v>
      </c>
      <c r="I165">
        <v>9.8333999999999993</v>
      </c>
      <c r="J165" t="s">
        <v>83</v>
      </c>
      <c r="K165">
        <v>993.1</v>
      </c>
      <c r="L165" t="s">
        <v>84</v>
      </c>
      <c r="M165">
        <v>-1.2</v>
      </c>
      <c r="N165" t="s">
        <v>85</v>
      </c>
      <c r="O165">
        <v>32.950000000000003</v>
      </c>
      <c r="P165" t="s">
        <v>86</v>
      </c>
      <c r="Q165">
        <v>31.41</v>
      </c>
      <c r="R165" t="s">
        <v>87</v>
      </c>
      <c r="S165">
        <v>10.49</v>
      </c>
      <c r="T165" t="s">
        <v>88</v>
      </c>
      <c r="U165">
        <v>3.77</v>
      </c>
      <c r="V165" t="s">
        <v>89</v>
      </c>
      <c r="W165">
        <v>0</v>
      </c>
      <c r="X165" t="s">
        <v>90</v>
      </c>
      <c r="Y165">
        <v>6.72</v>
      </c>
      <c r="Z165" t="s">
        <v>91</v>
      </c>
      <c r="AA165" s="91"/>
      <c r="AB165" t="s">
        <v>92</v>
      </c>
      <c r="AD165" t="s">
        <v>93</v>
      </c>
      <c r="AF165" t="s">
        <v>95</v>
      </c>
      <c r="AG165">
        <v>21</v>
      </c>
      <c r="AH165" t="s">
        <v>100</v>
      </c>
      <c r="AI165">
        <v>2.69</v>
      </c>
      <c r="AJ165" t="s">
        <v>97</v>
      </c>
      <c r="AK165">
        <v>0.61570000000000003</v>
      </c>
      <c r="AL165" t="s">
        <v>98</v>
      </c>
      <c r="AM165">
        <v>0.1661</v>
      </c>
      <c r="AN165" s="203" t="s">
        <v>99</v>
      </c>
      <c r="AO165" s="204">
        <v>11.754989517631286</v>
      </c>
      <c r="AP165" t="s">
        <v>94</v>
      </c>
      <c r="AR165" t="s">
        <v>180</v>
      </c>
      <c r="AS165">
        <v>220</v>
      </c>
      <c r="AT165" t="s">
        <v>102</v>
      </c>
      <c r="AV165" t="s">
        <v>101</v>
      </c>
      <c r="AX165" t="s">
        <v>103</v>
      </c>
      <c r="AZ165" t="s">
        <v>104</v>
      </c>
      <c r="BB165" t="s">
        <v>105</v>
      </c>
    </row>
    <row r="166" spans="1:55" hidden="1" x14ac:dyDescent="0.3">
      <c r="A166" t="s">
        <v>433</v>
      </c>
      <c r="B166" t="s">
        <v>258</v>
      </c>
      <c r="C166" s="46">
        <v>45784.4375</v>
      </c>
      <c r="D166" t="s">
        <v>32</v>
      </c>
      <c r="E166">
        <v>3.7</v>
      </c>
      <c r="F166" t="s">
        <v>33</v>
      </c>
      <c r="G166">
        <v>1.5</v>
      </c>
      <c r="H166" t="s">
        <v>82</v>
      </c>
      <c r="I166">
        <v>9.7901000000000007</v>
      </c>
      <c r="J166" t="s">
        <v>83</v>
      </c>
      <c r="K166">
        <v>992.3</v>
      </c>
      <c r="L166" t="s">
        <v>84</v>
      </c>
      <c r="M166">
        <v>-1.4</v>
      </c>
      <c r="N166" t="s">
        <v>85</v>
      </c>
      <c r="O166">
        <v>31.03</v>
      </c>
      <c r="P166" t="s">
        <v>86</v>
      </c>
      <c r="Q166">
        <v>30.57</v>
      </c>
      <c r="R166" t="s">
        <v>87</v>
      </c>
      <c r="S166">
        <v>14.85</v>
      </c>
      <c r="T166" t="s">
        <v>88</v>
      </c>
      <c r="U166">
        <v>8.9</v>
      </c>
      <c r="V166" t="s">
        <v>89</v>
      </c>
      <c r="W166">
        <v>7.0000000000000007E-2</v>
      </c>
      <c r="X166" t="s">
        <v>90</v>
      </c>
      <c r="Y166">
        <v>6.84</v>
      </c>
      <c r="Z166" t="s">
        <v>91</v>
      </c>
      <c r="AA166" s="91">
        <f t="shared" si="3"/>
        <v>30.28</v>
      </c>
      <c r="AB166" t="s">
        <v>92</v>
      </c>
      <c r="AC166">
        <v>4</v>
      </c>
      <c r="AD166" t="s">
        <v>93</v>
      </c>
      <c r="AE166">
        <v>27</v>
      </c>
      <c r="AF166" t="s">
        <v>95</v>
      </c>
      <c r="AG166">
        <v>22</v>
      </c>
      <c r="AH166" t="s">
        <v>100</v>
      </c>
      <c r="AI166">
        <v>0.38</v>
      </c>
      <c r="AJ166" t="s">
        <v>97</v>
      </c>
      <c r="AK166">
        <v>0.61899999999999999</v>
      </c>
      <c r="AL166" t="s">
        <v>98</v>
      </c>
      <c r="AM166">
        <v>0.16167999999999999</v>
      </c>
      <c r="AN166" s="201" t="s">
        <v>99</v>
      </c>
      <c r="AO166" s="201">
        <v>12.09</v>
      </c>
      <c r="AP166" t="s">
        <v>94</v>
      </c>
      <c r="AQ166">
        <v>0.38</v>
      </c>
      <c r="AR166" t="s">
        <v>180</v>
      </c>
      <c r="AS166">
        <v>222</v>
      </c>
      <c r="AT166" t="s">
        <v>102</v>
      </c>
      <c r="AU166">
        <v>224</v>
      </c>
      <c r="AV166" t="s">
        <v>101</v>
      </c>
      <c r="AW166">
        <v>2.86</v>
      </c>
      <c r="AX166" t="s">
        <v>103</v>
      </c>
      <c r="AY166">
        <v>2.9</v>
      </c>
      <c r="AZ166" t="s">
        <v>104</v>
      </c>
      <c r="BA166">
        <v>10</v>
      </c>
      <c r="BB166" t="s">
        <v>105</v>
      </c>
      <c r="BC166">
        <v>323</v>
      </c>
    </row>
    <row r="167" spans="1:55" x14ac:dyDescent="0.3">
      <c r="A167" t="s">
        <v>283</v>
      </c>
      <c r="B167" t="s">
        <v>284</v>
      </c>
      <c r="C167" s="46">
        <v>45768.666666666664</v>
      </c>
      <c r="D167" t="s">
        <v>32</v>
      </c>
      <c r="F167" t="s">
        <v>33</v>
      </c>
      <c r="H167" t="s">
        <v>82</v>
      </c>
      <c r="I167">
        <v>10.318899999999999</v>
      </c>
      <c r="J167" t="s">
        <v>83</v>
      </c>
      <c r="K167">
        <v>1059</v>
      </c>
      <c r="L167" t="s">
        <v>84</v>
      </c>
      <c r="M167">
        <v>14.9</v>
      </c>
      <c r="N167" t="s">
        <v>85</v>
      </c>
      <c r="P167" t="s">
        <v>86</v>
      </c>
      <c r="R167" t="s">
        <v>87</v>
      </c>
      <c r="T167" t="s">
        <v>88</v>
      </c>
      <c r="U167">
        <v>74.53</v>
      </c>
      <c r="V167" t="s">
        <v>89</v>
      </c>
      <c r="W167">
        <v>69.98</v>
      </c>
      <c r="X167" t="s">
        <v>90</v>
      </c>
      <c r="Y167">
        <v>2.4900000000000002</v>
      </c>
      <c r="Z167" t="s">
        <v>91</v>
      </c>
      <c r="AA167" s="91">
        <f t="shared" si="3"/>
        <v>76.66</v>
      </c>
      <c r="AB167" t="s">
        <v>92</v>
      </c>
      <c r="AC167">
        <v>13</v>
      </c>
      <c r="AD167" t="s">
        <v>93</v>
      </c>
      <c r="AE167">
        <v>66</v>
      </c>
      <c r="AF167" t="s">
        <v>95</v>
      </c>
      <c r="AG167">
        <v>23</v>
      </c>
      <c r="AH167" t="s">
        <v>100</v>
      </c>
      <c r="AI167">
        <v>2.74</v>
      </c>
      <c r="AJ167" t="s">
        <v>97</v>
      </c>
      <c r="AK167">
        <v>0.15090000000000001</v>
      </c>
      <c r="AL167" t="s">
        <v>98</v>
      </c>
      <c r="AM167">
        <v>3.2099999999999997E-2</v>
      </c>
      <c r="AN167" s="201" t="s">
        <v>99</v>
      </c>
      <c r="AO167" s="201">
        <v>0.94</v>
      </c>
      <c r="AP167" t="s">
        <v>94</v>
      </c>
      <c r="AQ167">
        <v>0.23</v>
      </c>
      <c r="AR167" t="s">
        <v>180</v>
      </c>
      <c r="AS167">
        <v>158</v>
      </c>
      <c r="AT167" t="s">
        <v>102</v>
      </c>
      <c r="AU167">
        <v>356</v>
      </c>
      <c r="AV167" t="s">
        <v>101</v>
      </c>
      <c r="AW167">
        <v>1.86</v>
      </c>
      <c r="AX167" t="s">
        <v>103</v>
      </c>
      <c r="AY167">
        <v>2.2999999999999998</v>
      </c>
      <c r="AZ167" t="s">
        <v>104</v>
      </c>
      <c r="BA167">
        <v>3</v>
      </c>
      <c r="BB167" t="s">
        <v>105</v>
      </c>
    </row>
    <row r="168" spans="1:55" x14ac:dyDescent="0.3">
      <c r="A168" t="s">
        <v>285</v>
      </c>
      <c r="B168" t="s">
        <v>284</v>
      </c>
      <c r="C168" s="46">
        <v>45768.833333333336</v>
      </c>
      <c r="D168" t="s">
        <v>32</v>
      </c>
      <c r="F168" t="s">
        <v>33</v>
      </c>
      <c r="H168" t="s">
        <v>82</v>
      </c>
      <c r="I168">
        <v>10.4176</v>
      </c>
      <c r="J168" t="s">
        <v>83</v>
      </c>
      <c r="K168">
        <v>1059.3</v>
      </c>
      <c r="L168" t="s">
        <v>84</v>
      </c>
      <c r="M168">
        <v>15.1</v>
      </c>
      <c r="N168" t="s">
        <v>85</v>
      </c>
      <c r="O168">
        <v>16.05</v>
      </c>
      <c r="P168" t="s">
        <v>86</v>
      </c>
      <c r="Q168">
        <v>11.06</v>
      </c>
      <c r="R168" t="s">
        <v>87</v>
      </c>
      <c r="S168">
        <v>14.35</v>
      </c>
      <c r="T168" t="s">
        <v>88</v>
      </c>
      <c r="U168">
        <v>77.099999999999994</v>
      </c>
      <c r="V168" t="s">
        <v>89</v>
      </c>
      <c r="W168">
        <v>63.97</v>
      </c>
      <c r="X168" t="s">
        <v>90</v>
      </c>
      <c r="Y168">
        <v>2.27</v>
      </c>
      <c r="Z168" t="s">
        <v>91</v>
      </c>
      <c r="AA168" s="91">
        <f t="shared" si="3"/>
        <v>96.6</v>
      </c>
      <c r="AB168" t="s">
        <v>92</v>
      </c>
      <c r="AC168">
        <v>30</v>
      </c>
      <c r="AD168" t="s">
        <v>93</v>
      </c>
      <c r="AE168">
        <v>72</v>
      </c>
      <c r="AF168" t="s">
        <v>95</v>
      </c>
      <c r="AG168">
        <v>23</v>
      </c>
      <c r="AH168" t="s">
        <v>100</v>
      </c>
      <c r="AI168">
        <v>3.01</v>
      </c>
      <c r="AJ168" t="s">
        <v>97</v>
      </c>
      <c r="AK168">
        <v>0.23769999999999999</v>
      </c>
      <c r="AL168" t="s">
        <v>98</v>
      </c>
      <c r="AM168">
        <v>5.2699999999999997E-2</v>
      </c>
      <c r="AN168" s="203" t="s">
        <v>99</v>
      </c>
      <c r="AO168" s="204">
        <v>0.8935054681934218</v>
      </c>
      <c r="AP168" t="s">
        <v>94</v>
      </c>
      <c r="AR168" t="s">
        <v>180</v>
      </c>
      <c r="AS168">
        <v>172</v>
      </c>
      <c r="AT168" t="s">
        <v>102</v>
      </c>
      <c r="AV168" t="s">
        <v>101</v>
      </c>
      <c r="AX168" t="s">
        <v>103</v>
      </c>
      <c r="AZ168" t="s">
        <v>104</v>
      </c>
      <c r="BB168" t="s">
        <v>105</v>
      </c>
    </row>
    <row r="169" spans="1:55" x14ac:dyDescent="0.3">
      <c r="A169" t="s">
        <v>296</v>
      </c>
      <c r="B169" t="s">
        <v>284</v>
      </c>
      <c r="C169" s="46">
        <v>45769.375</v>
      </c>
      <c r="D169" t="s">
        <v>32</v>
      </c>
      <c r="F169" t="s">
        <v>33</v>
      </c>
      <c r="H169" t="s">
        <v>82</v>
      </c>
      <c r="I169">
        <v>10.3088</v>
      </c>
      <c r="J169" t="s">
        <v>83</v>
      </c>
      <c r="K169">
        <v>1059.4000000000001</v>
      </c>
      <c r="L169" t="s">
        <v>84</v>
      </c>
      <c r="M169">
        <v>15</v>
      </c>
      <c r="N169" t="s">
        <v>85</v>
      </c>
      <c r="O169">
        <v>12.98</v>
      </c>
      <c r="P169" t="s">
        <v>86</v>
      </c>
      <c r="Q169">
        <v>7.14</v>
      </c>
      <c r="R169" t="s">
        <v>87</v>
      </c>
      <c r="S169">
        <v>14.2</v>
      </c>
      <c r="T169" t="s">
        <v>88</v>
      </c>
      <c r="U169">
        <v>75.45</v>
      </c>
      <c r="V169" t="s">
        <v>89</v>
      </c>
      <c r="W169">
        <v>63.03</v>
      </c>
      <c r="X169" t="s">
        <v>90</v>
      </c>
      <c r="Y169">
        <v>2.33</v>
      </c>
      <c r="Z169" t="s">
        <v>91</v>
      </c>
      <c r="AA169" s="91">
        <f t="shared" si="3"/>
        <v>101.06</v>
      </c>
      <c r="AB169" t="s">
        <v>92</v>
      </c>
      <c r="AC169">
        <v>33</v>
      </c>
      <c r="AD169" t="s">
        <v>93</v>
      </c>
      <c r="AE169">
        <v>74</v>
      </c>
      <c r="AF169" t="s">
        <v>95</v>
      </c>
      <c r="AG169">
        <v>21</v>
      </c>
      <c r="AH169" t="s">
        <v>100</v>
      </c>
      <c r="AI169">
        <v>3.05</v>
      </c>
      <c r="AJ169" t="s">
        <v>97</v>
      </c>
      <c r="AK169">
        <v>0.2092</v>
      </c>
      <c r="AL169" t="s">
        <v>98</v>
      </c>
      <c r="AM169">
        <v>3.6600000000000001E-2</v>
      </c>
      <c r="AN169" s="203" t="s">
        <v>99</v>
      </c>
      <c r="AO169" s="204">
        <v>0.87801248686637445</v>
      </c>
      <c r="AP169" t="s">
        <v>94</v>
      </c>
      <c r="AR169" t="s">
        <v>180</v>
      </c>
      <c r="AS169">
        <v>168</v>
      </c>
      <c r="AT169" t="s">
        <v>102</v>
      </c>
      <c r="AV169" t="s">
        <v>101</v>
      </c>
      <c r="AX169" t="s">
        <v>103</v>
      </c>
      <c r="AZ169" t="s">
        <v>104</v>
      </c>
      <c r="BB169" t="s">
        <v>105</v>
      </c>
    </row>
    <row r="170" spans="1:55" x14ac:dyDescent="0.3">
      <c r="A170" t="s">
        <v>302</v>
      </c>
      <c r="B170" t="s">
        <v>284</v>
      </c>
      <c r="C170" s="46">
        <v>45769.625</v>
      </c>
      <c r="D170" t="s">
        <v>32</v>
      </c>
      <c r="F170" t="s">
        <v>33</v>
      </c>
      <c r="H170" t="s">
        <v>82</v>
      </c>
      <c r="I170">
        <v>10.361800000000001</v>
      </c>
      <c r="J170" t="s">
        <v>83</v>
      </c>
      <c r="K170">
        <v>1058.5</v>
      </c>
      <c r="L170" t="s">
        <v>84</v>
      </c>
      <c r="M170">
        <v>15</v>
      </c>
      <c r="N170" t="s">
        <v>85</v>
      </c>
      <c r="O170">
        <v>16.36</v>
      </c>
      <c r="P170" t="s">
        <v>86</v>
      </c>
      <c r="Q170">
        <v>12.06</v>
      </c>
      <c r="R170" t="s">
        <v>87</v>
      </c>
      <c r="S170">
        <v>14.55</v>
      </c>
      <c r="T170" t="s">
        <v>88</v>
      </c>
      <c r="U170">
        <v>78.349999999999994</v>
      </c>
      <c r="V170" t="s">
        <v>89</v>
      </c>
      <c r="W170">
        <v>63.83</v>
      </c>
      <c r="X170" t="s">
        <v>90</v>
      </c>
      <c r="Y170">
        <v>2.27</v>
      </c>
      <c r="Z170" t="s">
        <v>91</v>
      </c>
      <c r="AA170" s="91">
        <f t="shared" si="3"/>
        <v>99.24</v>
      </c>
      <c r="AB170" t="s">
        <v>92</v>
      </c>
      <c r="AC170">
        <v>32</v>
      </c>
      <c r="AD170" t="s">
        <v>93</v>
      </c>
      <c r="AE170">
        <v>73</v>
      </c>
      <c r="AF170" t="s">
        <v>95</v>
      </c>
      <c r="AG170">
        <v>38</v>
      </c>
      <c r="AH170" t="s">
        <v>100</v>
      </c>
      <c r="AI170">
        <v>3</v>
      </c>
      <c r="AJ170" t="s">
        <v>97</v>
      </c>
      <c r="AK170">
        <v>0.23699999999999999</v>
      </c>
      <c r="AL170" t="s">
        <v>98</v>
      </c>
      <c r="AM170">
        <v>5.7200000000000001E-2</v>
      </c>
      <c r="AN170" s="203" t="s">
        <v>99</v>
      </c>
      <c r="AO170" s="204">
        <v>1.0175428893221679</v>
      </c>
      <c r="AP170" t="s">
        <v>94</v>
      </c>
      <c r="AR170" t="s">
        <v>180</v>
      </c>
      <c r="AS170">
        <v>174</v>
      </c>
      <c r="AT170" t="s">
        <v>102</v>
      </c>
      <c r="AV170" t="s">
        <v>101</v>
      </c>
      <c r="AX170" t="s">
        <v>103</v>
      </c>
      <c r="AZ170" t="s">
        <v>104</v>
      </c>
      <c r="BB170" t="s">
        <v>105</v>
      </c>
    </row>
    <row r="171" spans="1:55" x14ac:dyDescent="0.3">
      <c r="A171" t="s">
        <v>303</v>
      </c>
      <c r="B171" t="s">
        <v>284</v>
      </c>
      <c r="C171" s="46">
        <v>45770.395833333336</v>
      </c>
      <c r="D171" t="s">
        <v>32</v>
      </c>
      <c r="E171">
        <v>0.1</v>
      </c>
      <c r="F171" t="s">
        <v>33</v>
      </c>
      <c r="G171">
        <v>0</v>
      </c>
      <c r="H171" t="s">
        <v>82</v>
      </c>
      <c r="I171">
        <v>9.8130000000000006</v>
      </c>
      <c r="J171" t="s">
        <v>83</v>
      </c>
      <c r="K171">
        <v>1058.5999999999999</v>
      </c>
      <c r="L171" t="s">
        <v>84</v>
      </c>
      <c r="M171">
        <v>14.9</v>
      </c>
      <c r="N171" t="s">
        <v>85</v>
      </c>
      <c r="O171">
        <v>15.51</v>
      </c>
      <c r="P171" t="s">
        <v>86</v>
      </c>
      <c r="Q171">
        <v>8.6</v>
      </c>
      <c r="R171" t="s">
        <v>87</v>
      </c>
      <c r="S171">
        <v>22.28</v>
      </c>
      <c r="T171" t="s">
        <v>88</v>
      </c>
      <c r="U171">
        <v>75.12</v>
      </c>
      <c r="V171" t="s">
        <v>89</v>
      </c>
      <c r="W171">
        <v>63.27</v>
      </c>
      <c r="X171" t="s">
        <v>90</v>
      </c>
      <c r="Y171">
        <v>2.5499999999999998</v>
      </c>
      <c r="Z171" t="s">
        <v>91</v>
      </c>
      <c r="AA171" s="91">
        <f t="shared" si="3"/>
        <v>100.06</v>
      </c>
      <c r="AB171" t="s">
        <v>92</v>
      </c>
      <c r="AC171">
        <v>33</v>
      </c>
      <c r="AD171" t="s">
        <v>93</v>
      </c>
      <c r="AE171">
        <v>73</v>
      </c>
      <c r="AF171" t="s">
        <v>95</v>
      </c>
      <c r="AG171">
        <v>28</v>
      </c>
      <c r="AH171" t="s">
        <v>100</v>
      </c>
      <c r="AI171">
        <v>3.07</v>
      </c>
      <c r="AJ171" t="s">
        <v>97</v>
      </c>
      <c r="AK171">
        <v>0.1867</v>
      </c>
      <c r="AL171" t="s">
        <v>98</v>
      </c>
      <c r="AM171">
        <v>1.1599999999999999E-2</v>
      </c>
      <c r="AN171" s="203" t="s">
        <v>99</v>
      </c>
      <c r="AO171" s="204">
        <v>1.0020291077719801</v>
      </c>
      <c r="AP171" t="s">
        <v>94</v>
      </c>
      <c r="AR171" t="s">
        <v>180</v>
      </c>
      <c r="AS171">
        <v>186</v>
      </c>
      <c r="AT171" t="s">
        <v>102</v>
      </c>
      <c r="AV171" t="s">
        <v>101</v>
      </c>
      <c r="AX171" t="s">
        <v>103</v>
      </c>
      <c r="AZ171" t="s">
        <v>104</v>
      </c>
      <c r="BB171" t="s">
        <v>105</v>
      </c>
    </row>
    <row r="172" spans="1:55" x14ac:dyDescent="0.3">
      <c r="A172" t="s">
        <v>304</v>
      </c>
      <c r="B172" t="s">
        <v>284</v>
      </c>
      <c r="C172" s="46">
        <v>45770.479166666664</v>
      </c>
      <c r="D172" t="s">
        <v>32</v>
      </c>
      <c r="F172" t="s">
        <v>33</v>
      </c>
      <c r="H172" t="s">
        <v>82</v>
      </c>
      <c r="I172">
        <v>9.8040000000000003</v>
      </c>
      <c r="J172" t="s">
        <v>83</v>
      </c>
      <c r="K172">
        <v>1058.4000000000001</v>
      </c>
      <c r="L172" t="s">
        <v>84</v>
      </c>
      <c r="M172">
        <v>14.9</v>
      </c>
      <c r="N172" t="s">
        <v>85</v>
      </c>
      <c r="O172">
        <v>19.66</v>
      </c>
      <c r="P172" t="s">
        <v>86</v>
      </c>
      <c r="Q172">
        <v>11.21</v>
      </c>
      <c r="R172" t="s">
        <v>87</v>
      </c>
      <c r="S172">
        <v>21.88</v>
      </c>
      <c r="T172" t="s">
        <v>88</v>
      </c>
      <c r="U172">
        <v>73.84</v>
      </c>
      <c r="V172" t="s">
        <v>89</v>
      </c>
      <c r="W172">
        <v>64.67</v>
      </c>
      <c r="X172" t="s">
        <v>90</v>
      </c>
      <c r="Y172">
        <v>2.44</v>
      </c>
      <c r="Z172" t="s">
        <v>91</v>
      </c>
      <c r="AA172" s="91">
        <f t="shared" si="3"/>
        <v>159.42000000000002</v>
      </c>
      <c r="AB172" t="s">
        <v>92</v>
      </c>
      <c r="AC172">
        <v>81</v>
      </c>
      <c r="AD172" t="s">
        <v>93</v>
      </c>
      <c r="AE172">
        <v>93</v>
      </c>
      <c r="AF172" t="s">
        <v>95</v>
      </c>
      <c r="AG172">
        <v>28</v>
      </c>
      <c r="AH172" t="s">
        <v>100</v>
      </c>
      <c r="AI172">
        <v>3</v>
      </c>
      <c r="AJ172" t="s">
        <v>97</v>
      </c>
      <c r="AK172">
        <v>0.29310000000000003</v>
      </c>
      <c r="AL172" t="s">
        <v>98</v>
      </c>
      <c r="AM172">
        <v>4.48E-2</v>
      </c>
      <c r="AN172" s="203" t="s">
        <v>99</v>
      </c>
      <c r="AO172" s="204">
        <v>1.0330592741671694</v>
      </c>
      <c r="AP172" t="s">
        <v>94</v>
      </c>
      <c r="AR172" t="s">
        <v>180</v>
      </c>
      <c r="AS172">
        <v>201</v>
      </c>
      <c r="AT172" t="s">
        <v>102</v>
      </c>
      <c r="AV172" t="s">
        <v>101</v>
      </c>
      <c r="AX172" t="s">
        <v>103</v>
      </c>
      <c r="AZ172" t="s">
        <v>104</v>
      </c>
      <c r="BB172" t="s">
        <v>105</v>
      </c>
    </row>
    <row r="173" spans="1:55" x14ac:dyDescent="0.3">
      <c r="A173" t="s">
        <v>305</v>
      </c>
      <c r="B173" t="s">
        <v>284</v>
      </c>
      <c r="C173" s="46">
        <v>45770.666666666664</v>
      </c>
      <c r="D173" t="s">
        <v>32</v>
      </c>
      <c r="F173" t="s">
        <v>33</v>
      </c>
      <c r="H173" t="s">
        <v>82</v>
      </c>
      <c r="I173">
        <v>9.8178000000000001</v>
      </c>
      <c r="J173" t="s">
        <v>83</v>
      </c>
      <c r="K173">
        <v>1055.2</v>
      </c>
      <c r="L173" t="s">
        <v>84</v>
      </c>
      <c r="M173">
        <v>14.3</v>
      </c>
      <c r="N173" t="s">
        <v>85</v>
      </c>
      <c r="O173">
        <v>19.05</v>
      </c>
      <c r="P173" t="s">
        <v>86</v>
      </c>
      <c r="Q173">
        <v>9.52</v>
      </c>
      <c r="R173" t="s">
        <v>87</v>
      </c>
      <c r="S173">
        <v>24.19</v>
      </c>
      <c r="T173" t="s">
        <v>88</v>
      </c>
      <c r="U173">
        <v>75.23</v>
      </c>
      <c r="V173" t="s">
        <v>89</v>
      </c>
      <c r="W173">
        <v>63.48</v>
      </c>
      <c r="X173" t="s">
        <v>90</v>
      </c>
      <c r="Y173">
        <v>2.39</v>
      </c>
      <c r="Z173" t="s">
        <v>91</v>
      </c>
      <c r="AA173" s="91">
        <f t="shared" si="3"/>
        <v>164.51999999999998</v>
      </c>
      <c r="AB173" t="s">
        <v>92</v>
      </c>
      <c r="AC173">
        <v>86</v>
      </c>
      <c r="AD173" t="s">
        <v>93</v>
      </c>
      <c r="AE173">
        <v>94</v>
      </c>
      <c r="AF173" t="s">
        <v>95</v>
      </c>
      <c r="AG173">
        <v>21</v>
      </c>
      <c r="AH173" t="s">
        <v>100</v>
      </c>
      <c r="AI173">
        <v>3.03</v>
      </c>
      <c r="AJ173" t="s">
        <v>97</v>
      </c>
      <c r="AK173">
        <v>0.2462</v>
      </c>
      <c r="AL173" t="s">
        <v>98</v>
      </c>
      <c r="AM173">
        <v>2.7400000000000001E-2</v>
      </c>
      <c r="AN173" s="203" t="s">
        <v>99</v>
      </c>
      <c r="AO173" s="204">
        <v>1.5309624732924503</v>
      </c>
      <c r="AP173" t="s">
        <v>94</v>
      </c>
      <c r="AR173" t="s">
        <v>180</v>
      </c>
      <c r="AS173">
        <v>213</v>
      </c>
      <c r="AT173" t="s">
        <v>102</v>
      </c>
      <c r="AV173" t="s">
        <v>101</v>
      </c>
      <c r="AX173" t="s">
        <v>103</v>
      </c>
      <c r="AZ173" t="s">
        <v>104</v>
      </c>
      <c r="BB173" t="s">
        <v>105</v>
      </c>
    </row>
    <row r="174" spans="1:55" x14ac:dyDescent="0.3">
      <c r="A174" t="s">
        <v>306</v>
      </c>
      <c r="B174" t="s">
        <v>284</v>
      </c>
      <c r="C174" s="46">
        <v>45771.395833333336</v>
      </c>
      <c r="D174" t="s">
        <v>32</v>
      </c>
      <c r="E174">
        <v>0.1</v>
      </c>
      <c r="F174" t="s">
        <v>33</v>
      </c>
      <c r="G174">
        <v>0.57999999999999996</v>
      </c>
      <c r="H174" t="s">
        <v>82</v>
      </c>
      <c r="I174">
        <v>9.8043999999999993</v>
      </c>
      <c r="J174" t="s">
        <v>83</v>
      </c>
      <c r="K174">
        <v>1058</v>
      </c>
      <c r="L174" t="s">
        <v>84</v>
      </c>
      <c r="M174">
        <v>14.8</v>
      </c>
      <c r="N174" t="s">
        <v>85</v>
      </c>
      <c r="O174">
        <v>18.43</v>
      </c>
      <c r="P174" t="s">
        <v>86</v>
      </c>
      <c r="Q174">
        <v>11.14</v>
      </c>
      <c r="R174" t="s">
        <v>87</v>
      </c>
      <c r="S174">
        <v>20.83</v>
      </c>
      <c r="T174" t="s">
        <v>88</v>
      </c>
      <c r="U174">
        <v>77.010000000000005</v>
      </c>
      <c r="V174" t="s">
        <v>89</v>
      </c>
      <c r="W174">
        <v>64.739999999999995</v>
      </c>
      <c r="X174" t="s">
        <v>90</v>
      </c>
      <c r="Y174">
        <v>2.4700000000000002</v>
      </c>
      <c r="Z174" t="s">
        <v>91</v>
      </c>
      <c r="AA174" s="91">
        <f t="shared" si="3"/>
        <v>163.06</v>
      </c>
      <c r="AB174" t="s">
        <v>92</v>
      </c>
      <c r="AC174">
        <v>83</v>
      </c>
      <c r="AD174" t="s">
        <v>93</v>
      </c>
      <c r="AE174">
        <v>95</v>
      </c>
      <c r="AF174" t="s">
        <v>95</v>
      </c>
      <c r="AG174">
        <v>21</v>
      </c>
      <c r="AH174" t="s">
        <v>100</v>
      </c>
      <c r="AI174">
        <v>3.01</v>
      </c>
      <c r="AJ174" t="s">
        <v>97</v>
      </c>
      <c r="AK174">
        <v>0.29930000000000001</v>
      </c>
      <c r="AL174" t="s">
        <v>98</v>
      </c>
      <c r="AM174">
        <v>7.4800000000000005E-2</v>
      </c>
      <c r="AN174" s="203" t="s">
        <v>99</v>
      </c>
      <c r="AO174" s="204">
        <v>1.095150861016484</v>
      </c>
      <c r="AP174" t="s">
        <v>94</v>
      </c>
      <c r="AR174" t="s">
        <v>180</v>
      </c>
      <c r="AS174">
        <v>226</v>
      </c>
      <c r="AT174" t="s">
        <v>102</v>
      </c>
      <c r="AV174" t="s">
        <v>101</v>
      </c>
      <c r="AX174" t="s">
        <v>103</v>
      </c>
      <c r="AZ174" t="s">
        <v>104</v>
      </c>
      <c r="BB174" t="s">
        <v>105</v>
      </c>
    </row>
    <row r="175" spans="1:55" x14ac:dyDescent="0.3">
      <c r="A175" t="s">
        <v>307</v>
      </c>
      <c r="B175" t="s">
        <v>284</v>
      </c>
      <c r="C175" s="46">
        <v>45771.625</v>
      </c>
      <c r="D175" t="s">
        <v>32</v>
      </c>
      <c r="F175" t="s">
        <v>33</v>
      </c>
      <c r="H175" t="s">
        <v>82</v>
      </c>
      <c r="I175">
        <v>9.7843999999999998</v>
      </c>
      <c r="J175" t="s">
        <v>83</v>
      </c>
      <c r="K175">
        <v>1056.3</v>
      </c>
      <c r="L175" t="s">
        <v>84</v>
      </c>
      <c r="M175">
        <v>14.5</v>
      </c>
      <c r="N175" t="s">
        <v>85</v>
      </c>
      <c r="O175">
        <v>19.510000000000002</v>
      </c>
      <c r="P175" t="s">
        <v>86</v>
      </c>
      <c r="Q175">
        <v>11.52</v>
      </c>
      <c r="R175" t="s">
        <v>87</v>
      </c>
      <c r="S175">
        <v>23.62</v>
      </c>
      <c r="T175" t="s">
        <v>88</v>
      </c>
      <c r="U175">
        <v>76.91</v>
      </c>
      <c r="V175" t="s">
        <v>89</v>
      </c>
      <c r="W175">
        <v>62.9</v>
      </c>
      <c r="X175" t="s">
        <v>90</v>
      </c>
      <c r="Y175">
        <v>2.67</v>
      </c>
      <c r="Z175" t="s">
        <v>91</v>
      </c>
      <c r="AA175" s="91">
        <f t="shared" si="3"/>
        <v>156.78</v>
      </c>
      <c r="AB175" t="s">
        <v>92</v>
      </c>
      <c r="AC175">
        <v>79</v>
      </c>
      <c r="AD175" t="s">
        <v>93</v>
      </c>
      <c r="AE175">
        <v>92</v>
      </c>
      <c r="AF175" t="s">
        <v>95</v>
      </c>
      <c r="AG175">
        <v>45</v>
      </c>
      <c r="AH175" t="s">
        <v>100</v>
      </c>
      <c r="AI175">
        <v>3</v>
      </c>
      <c r="AJ175" t="s">
        <v>97</v>
      </c>
      <c r="AK175">
        <v>0.35020000000000001</v>
      </c>
      <c r="AL175" t="s">
        <v>98</v>
      </c>
      <c r="AM175">
        <v>7.7299999999999994E-2</v>
      </c>
      <c r="AN175" s="203" t="s">
        <v>99</v>
      </c>
      <c r="AO175" s="204">
        <v>1.359506002778589</v>
      </c>
      <c r="AP175" t="s">
        <v>94</v>
      </c>
      <c r="AR175" t="s">
        <v>180</v>
      </c>
      <c r="AS175">
        <v>237</v>
      </c>
      <c r="AT175" t="s">
        <v>102</v>
      </c>
      <c r="AV175" t="s">
        <v>101</v>
      </c>
      <c r="AX175" t="s">
        <v>103</v>
      </c>
      <c r="AZ175" t="s">
        <v>104</v>
      </c>
      <c r="BB175" t="s">
        <v>105</v>
      </c>
    </row>
    <row r="176" spans="1:55" x14ac:dyDescent="0.3">
      <c r="A176" t="s">
        <v>308</v>
      </c>
      <c r="B176" t="s">
        <v>284</v>
      </c>
      <c r="C176" s="46">
        <v>45772.375</v>
      </c>
      <c r="D176" t="s">
        <v>32</v>
      </c>
      <c r="E176">
        <v>0.51</v>
      </c>
      <c r="F176" t="s">
        <v>33</v>
      </c>
      <c r="G176">
        <v>0.8</v>
      </c>
      <c r="H176" t="s">
        <v>82</v>
      </c>
      <c r="I176">
        <v>9.8068000000000008</v>
      </c>
      <c r="J176" t="s">
        <v>83</v>
      </c>
      <c r="K176">
        <v>1057.2</v>
      </c>
      <c r="L176" t="s">
        <v>84</v>
      </c>
      <c r="M176">
        <v>14.5</v>
      </c>
      <c r="N176" t="s">
        <v>85</v>
      </c>
      <c r="O176">
        <v>12.98</v>
      </c>
      <c r="P176" t="s">
        <v>86</v>
      </c>
      <c r="Q176">
        <v>8.76</v>
      </c>
      <c r="R176" t="s">
        <v>87</v>
      </c>
      <c r="S176">
        <v>18.93</v>
      </c>
      <c r="T176" t="s">
        <v>88</v>
      </c>
      <c r="U176">
        <v>75.13</v>
      </c>
      <c r="V176" t="s">
        <v>89</v>
      </c>
      <c r="W176">
        <v>58.17</v>
      </c>
      <c r="X176" t="s">
        <v>90</v>
      </c>
      <c r="Y176">
        <v>2.4500000000000002</v>
      </c>
      <c r="Z176" t="s">
        <v>91</v>
      </c>
      <c r="AA176" s="91">
        <f t="shared" si="3"/>
        <v>150.6</v>
      </c>
      <c r="AB176" t="s">
        <v>92</v>
      </c>
      <c r="AC176">
        <v>80</v>
      </c>
      <c r="AD176" t="s">
        <v>93</v>
      </c>
      <c r="AE176">
        <v>85</v>
      </c>
      <c r="AF176" t="s">
        <v>95</v>
      </c>
      <c r="AG176">
        <v>33</v>
      </c>
      <c r="AH176" t="s">
        <v>100</v>
      </c>
      <c r="AI176">
        <v>2.99</v>
      </c>
      <c r="AJ176" t="s">
        <v>97</v>
      </c>
      <c r="AK176">
        <v>0.3503</v>
      </c>
      <c r="AL176" t="s">
        <v>98</v>
      </c>
      <c r="AM176">
        <v>6.5699999999999995E-2</v>
      </c>
      <c r="AN176" s="203" t="s">
        <v>99</v>
      </c>
      <c r="AO176" s="204">
        <v>1.2194592135733291</v>
      </c>
      <c r="AP176" t="s">
        <v>94</v>
      </c>
      <c r="AR176" t="s">
        <v>180</v>
      </c>
      <c r="AS176">
        <v>258</v>
      </c>
      <c r="AT176" t="s">
        <v>102</v>
      </c>
      <c r="AV176" t="s">
        <v>101</v>
      </c>
      <c r="AX176" t="s">
        <v>103</v>
      </c>
      <c r="AZ176" t="s">
        <v>104</v>
      </c>
      <c r="BB176" t="s">
        <v>105</v>
      </c>
    </row>
    <row r="177" spans="1:54" x14ac:dyDescent="0.3">
      <c r="A177" t="s">
        <v>286</v>
      </c>
      <c r="B177" t="s">
        <v>284</v>
      </c>
      <c r="C177" s="46">
        <v>45773.40625</v>
      </c>
      <c r="D177" t="s">
        <v>32</v>
      </c>
      <c r="E177">
        <v>2.4</v>
      </c>
      <c r="F177" t="s">
        <v>33</v>
      </c>
      <c r="G177">
        <v>2.4</v>
      </c>
      <c r="H177" t="s">
        <v>82</v>
      </c>
      <c r="I177">
        <v>9.7864000000000004</v>
      </c>
      <c r="J177" t="s">
        <v>83</v>
      </c>
      <c r="K177">
        <v>1055.0999999999999</v>
      </c>
      <c r="L177" t="s">
        <v>84</v>
      </c>
      <c r="M177">
        <v>13.9</v>
      </c>
      <c r="N177" t="s">
        <v>85</v>
      </c>
      <c r="O177">
        <v>23.81</v>
      </c>
      <c r="P177" t="s">
        <v>86</v>
      </c>
      <c r="Q177">
        <v>17.510000000000002</v>
      </c>
      <c r="R177" t="s">
        <v>87</v>
      </c>
      <c r="S177">
        <v>21.94</v>
      </c>
      <c r="T177" s="73" t="s">
        <v>88</v>
      </c>
      <c r="U177" s="73">
        <f>120.75-W177</f>
        <v>66.52000000000001</v>
      </c>
      <c r="V177" s="73" t="s">
        <v>89</v>
      </c>
      <c r="W177" s="73">
        <v>54.23</v>
      </c>
      <c r="X177" t="s">
        <v>90</v>
      </c>
      <c r="Y177">
        <v>3.2</v>
      </c>
      <c r="Z177" t="s">
        <v>91</v>
      </c>
      <c r="AA177" s="91">
        <f t="shared" si="3"/>
        <v>133.57999999999998</v>
      </c>
      <c r="AB177" t="s">
        <v>92</v>
      </c>
      <c r="AC177">
        <v>69</v>
      </c>
      <c r="AD177" t="s">
        <v>93</v>
      </c>
      <c r="AE177">
        <v>77</v>
      </c>
      <c r="AF177" t="s">
        <v>95</v>
      </c>
      <c r="AG177">
        <v>43</v>
      </c>
      <c r="AH177" t="s">
        <v>100</v>
      </c>
      <c r="AI177">
        <v>2.95</v>
      </c>
      <c r="AJ177" t="s">
        <v>97</v>
      </c>
      <c r="AK177">
        <v>0.40139999999999998</v>
      </c>
      <c r="AL177" t="s">
        <v>98</v>
      </c>
      <c r="AM177">
        <v>7.2900000000000006E-2</v>
      </c>
      <c r="AN177" s="203" t="s">
        <v>99</v>
      </c>
      <c r="AO177" s="204">
        <v>1.5465651741547255</v>
      </c>
      <c r="AP177" t="s">
        <v>94</v>
      </c>
      <c r="AR177" t="s">
        <v>180</v>
      </c>
      <c r="AS177">
        <v>279</v>
      </c>
      <c r="AT177" t="s">
        <v>102</v>
      </c>
      <c r="AV177" t="s">
        <v>101</v>
      </c>
      <c r="AX177" t="s">
        <v>103</v>
      </c>
      <c r="AZ177" t="s">
        <v>104</v>
      </c>
      <c r="BB177" t="s">
        <v>105</v>
      </c>
    </row>
    <row r="178" spans="1:54" x14ac:dyDescent="0.3">
      <c r="A178" t="s">
        <v>309</v>
      </c>
      <c r="B178" t="s">
        <v>284</v>
      </c>
      <c r="C178" s="46">
        <v>45773.652777777781</v>
      </c>
      <c r="D178" t="s">
        <v>32</v>
      </c>
      <c r="F178" t="s">
        <v>33</v>
      </c>
      <c r="H178" t="s">
        <v>82</v>
      </c>
      <c r="I178">
        <v>9.8070000000000004</v>
      </c>
      <c r="J178" t="s">
        <v>83</v>
      </c>
      <c r="K178">
        <v>1051.8</v>
      </c>
      <c r="L178" t="s">
        <v>84</v>
      </c>
      <c r="M178">
        <v>13.3</v>
      </c>
      <c r="N178" t="s">
        <v>85</v>
      </c>
      <c r="P178" t="s">
        <v>86</v>
      </c>
      <c r="R178" t="s">
        <v>87</v>
      </c>
      <c r="T178" s="73" t="s">
        <v>88</v>
      </c>
      <c r="U178" s="73">
        <f>120.42-W178</f>
        <v>65.099999999999994</v>
      </c>
      <c r="V178" s="73" t="s">
        <v>89</v>
      </c>
      <c r="W178" s="73">
        <v>55.32</v>
      </c>
      <c r="X178" t="s">
        <v>90</v>
      </c>
      <c r="Y178">
        <v>3.36</v>
      </c>
      <c r="Z178" t="s">
        <v>91</v>
      </c>
      <c r="AA178" s="91">
        <f t="shared" si="3"/>
        <v>116.56</v>
      </c>
      <c r="AB178" t="s">
        <v>92</v>
      </c>
      <c r="AC178">
        <v>58</v>
      </c>
      <c r="AD178" t="s">
        <v>93</v>
      </c>
      <c r="AE178">
        <v>69</v>
      </c>
      <c r="AF178" t="s">
        <v>95</v>
      </c>
      <c r="AG178">
        <v>49</v>
      </c>
      <c r="AH178" t="s">
        <v>100</v>
      </c>
      <c r="AI178">
        <v>2.92</v>
      </c>
      <c r="AJ178" t="s">
        <v>97</v>
      </c>
      <c r="AK178">
        <v>0.47199999999999998</v>
      </c>
      <c r="AL178" t="s">
        <v>98</v>
      </c>
      <c r="AM178">
        <v>0.1096</v>
      </c>
      <c r="AN178" s="203" t="s">
        <v>99</v>
      </c>
      <c r="AO178" s="204">
        <v>2.0629329431361438</v>
      </c>
      <c r="AP178" t="s">
        <v>94</v>
      </c>
      <c r="AQ178">
        <v>0.3</v>
      </c>
      <c r="AR178" t="s">
        <v>180</v>
      </c>
      <c r="AS178">
        <v>288</v>
      </c>
      <c r="AT178" t="s">
        <v>102</v>
      </c>
      <c r="AU178">
        <v>351</v>
      </c>
      <c r="AV178" t="s">
        <v>101</v>
      </c>
      <c r="AW178">
        <v>2.96</v>
      </c>
      <c r="AX178" t="s">
        <v>103</v>
      </c>
      <c r="AY178">
        <v>2.9</v>
      </c>
      <c r="AZ178" t="s">
        <v>104</v>
      </c>
      <c r="BA178">
        <v>5</v>
      </c>
      <c r="BB178" t="s">
        <v>105</v>
      </c>
    </row>
    <row r="179" spans="1:54" x14ac:dyDescent="0.3">
      <c r="A179" t="s">
        <v>287</v>
      </c>
      <c r="B179" t="s">
        <v>284</v>
      </c>
      <c r="C179" s="46">
        <v>45773.6875</v>
      </c>
      <c r="D179" t="s">
        <v>32</v>
      </c>
      <c r="F179" t="s">
        <v>33</v>
      </c>
      <c r="H179" t="s">
        <v>82</v>
      </c>
      <c r="I179">
        <v>9.8062000000000005</v>
      </c>
      <c r="J179" t="s">
        <v>83</v>
      </c>
      <c r="K179">
        <v>1049.9000000000001</v>
      </c>
      <c r="L179" t="s">
        <v>84</v>
      </c>
      <c r="M179">
        <v>12.9</v>
      </c>
      <c r="N179" t="s">
        <v>85</v>
      </c>
      <c r="O179">
        <v>30.95</v>
      </c>
      <c r="P179" t="s">
        <v>86</v>
      </c>
      <c r="Q179">
        <v>27.57</v>
      </c>
      <c r="R179" t="s">
        <v>87</v>
      </c>
      <c r="S179">
        <v>21.09</v>
      </c>
      <c r="T179" s="73" t="s">
        <v>88</v>
      </c>
      <c r="U179" s="73">
        <f>121.14-W179</f>
        <v>68.789999999999992</v>
      </c>
      <c r="V179" s="73" t="s">
        <v>89</v>
      </c>
      <c r="W179" s="73">
        <v>52.35</v>
      </c>
      <c r="X179" t="s">
        <v>90</v>
      </c>
      <c r="Y179">
        <v>3.3</v>
      </c>
      <c r="Z179" t="s">
        <v>91</v>
      </c>
      <c r="AA179" s="91">
        <f t="shared" si="3"/>
        <v>112.28</v>
      </c>
      <c r="AB179" t="s">
        <v>92</v>
      </c>
      <c r="AC179">
        <v>54</v>
      </c>
      <c r="AD179" t="s">
        <v>93</v>
      </c>
      <c r="AE179">
        <v>68</v>
      </c>
      <c r="AF179" t="s">
        <v>95</v>
      </c>
      <c r="AG179">
        <v>50</v>
      </c>
      <c r="AH179" t="s">
        <v>100</v>
      </c>
      <c r="AI179">
        <v>2.86</v>
      </c>
      <c r="AJ179" t="s">
        <v>97</v>
      </c>
      <c r="AK179">
        <v>0.57430000000000003</v>
      </c>
      <c r="AL179" t="s">
        <v>98</v>
      </c>
      <c r="AM179">
        <v>0.12740000000000001</v>
      </c>
      <c r="AN179" s="203" t="s">
        <v>99</v>
      </c>
      <c r="AO179" s="204">
        <v>2.3615439811417231</v>
      </c>
      <c r="AP179" t="s">
        <v>94</v>
      </c>
      <c r="AR179" t="s">
        <v>180</v>
      </c>
      <c r="AS179">
        <v>285</v>
      </c>
      <c r="AT179" t="s">
        <v>102</v>
      </c>
      <c r="AV179" t="s">
        <v>101</v>
      </c>
      <c r="AX179" t="s">
        <v>103</v>
      </c>
      <c r="AZ179" t="s">
        <v>104</v>
      </c>
      <c r="BB179" t="s">
        <v>105</v>
      </c>
    </row>
    <row r="180" spans="1:54" x14ac:dyDescent="0.3">
      <c r="A180" t="s">
        <v>288</v>
      </c>
      <c r="B180" t="s">
        <v>284</v>
      </c>
      <c r="C180" s="46">
        <v>45774.5625</v>
      </c>
      <c r="D180" t="s">
        <v>32</v>
      </c>
      <c r="E180">
        <v>27</v>
      </c>
      <c r="F180" t="s">
        <v>33</v>
      </c>
      <c r="G180">
        <v>11</v>
      </c>
      <c r="H180" t="s">
        <v>82</v>
      </c>
      <c r="I180">
        <v>9.8000000000000007</v>
      </c>
      <c r="J180" t="s">
        <v>83</v>
      </c>
      <c r="K180">
        <v>1037.5999999999999</v>
      </c>
      <c r="L180" t="s">
        <v>84</v>
      </c>
      <c r="M180">
        <v>9.8000000000000007</v>
      </c>
      <c r="N180" t="s">
        <v>85</v>
      </c>
      <c r="O180">
        <v>75.81</v>
      </c>
      <c r="P180" t="s">
        <v>86</v>
      </c>
      <c r="Q180">
        <v>62.9</v>
      </c>
      <c r="R180" t="s">
        <v>87</v>
      </c>
      <c r="S180">
        <v>18.95</v>
      </c>
      <c r="T180" t="s">
        <v>88</v>
      </c>
      <c r="U180">
        <v>56.24</v>
      </c>
      <c r="V180" t="s">
        <v>89</v>
      </c>
      <c r="W180">
        <v>37.51</v>
      </c>
      <c r="X180" t="s">
        <v>90</v>
      </c>
      <c r="Y180">
        <v>4.76</v>
      </c>
      <c r="Z180" t="s">
        <v>91</v>
      </c>
      <c r="AA180" s="91">
        <f t="shared" si="3"/>
        <v>29.82</v>
      </c>
      <c r="AB180" t="s">
        <v>92</v>
      </c>
      <c r="AC180">
        <v>1</v>
      </c>
      <c r="AD180" t="s">
        <v>93</v>
      </c>
      <c r="AE180">
        <v>29</v>
      </c>
      <c r="AF180" t="s">
        <v>95</v>
      </c>
      <c r="AG180">
        <v>66</v>
      </c>
      <c r="AH180" t="s">
        <v>100</v>
      </c>
      <c r="AI180">
        <v>2.78</v>
      </c>
      <c r="AJ180" t="s">
        <v>97</v>
      </c>
      <c r="AK180">
        <v>1.0007999999999999</v>
      </c>
      <c r="AL180" t="s">
        <v>98</v>
      </c>
      <c r="AM180">
        <v>0.19189999999999999</v>
      </c>
      <c r="AN180" s="203" t="s">
        <v>99</v>
      </c>
      <c r="AO180" s="204">
        <v>4.318157162509106</v>
      </c>
      <c r="AP180" t="s">
        <v>94</v>
      </c>
      <c r="AR180" t="s">
        <v>180</v>
      </c>
      <c r="AS180">
        <v>255</v>
      </c>
      <c r="AT180" t="s">
        <v>102</v>
      </c>
      <c r="AV180" t="s">
        <v>101</v>
      </c>
      <c r="AX180" t="s">
        <v>103</v>
      </c>
      <c r="AZ180" t="s">
        <v>104</v>
      </c>
      <c r="BB180" t="s">
        <v>105</v>
      </c>
    </row>
    <row r="181" spans="1:54" x14ac:dyDescent="0.3">
      <c r="A181" t="s">
        <v>289</v>
      </c>
      <c r="B181" t="s">
        <v>284</v>
      </c>
      <c r="C181" s="46">
        <v>45775.375</v>
      </c>
      <c r="D181" t="s">
        <v>32</v>
      </c>
      <c r="E181">
        <v>26.8</v>
      </c>
      <c r="F181" t="s">
        <v>33</v>
      </c>
      <c r="G181">
        <v>11.9</v>
      </c>
      <c r="H181" t="s">
        <v>82</v>
      </c>
      <c r="I181">
        <v>9.7757000000000005</v>
      </c>
      <c r="J181" t="s">
        <v>83</v>
      </c>
      <c r="K181">
        <v>1024.5</v>
      </c>
      <c r="L181" t="s">
        <v>84</v>
      </c>
      <c r="M181">
        <v>6.6</v>
      </c>
      <c r="N181" t="s">
        <v>85</v>
      </c>
      <c r="O181">
        <v>48.46</v>
      </c>
      <c r="P181" t="s">
        <v>86</v>
      </c>
      <c r="Q181">
        <v>47.54</v>
      </c>
      <c r="R181" t="s">
        <v>87</v>
      </c>
      <c r="S181">
        <v>21.55</v>
      </c>
      <c r="T181" t="s">
        <v>88</v>
      </c>
      <c r="U181">
        <v>44.6</v>
      </c>
      <c r="V181" t="s">
        <v>89</v>
      </c>
      <c r="W181">
        <v>23.67</v>
      </c>
      <c r="X181" t="s">
        <v>90</v>
      </c>
      <c r="Y181">
        <v>5.46</v>
      </c>
      <c r="Z181" t="s">
        <v>91</v>
      </c>
      <c r="AA181" s="91">
        <f t="shared" si="3"/>
        <v>16.82</v>
      </c>
      <c r="AB181" t="s">
        <v>92</v>
      </c>
      <c r="AC181">
        <v>1</v>
      </c>
      <c r="AD181" t="s">
        <v>93</v>
      </c>
      <c r="AE181">
        <v>16</v>
      </c>
      <c r="AF181" t="s">
        <v>95</v>
      </c>
      <c r="AG181">
        <v>53</v>
      </c>
      <c r="AH181" t="s">
        <v>100</v>
      </c>
      <c r="AI181">
        <v>2.74</v>
      </c>
      <c r="AJ181" t="s">
        <v>97</v>
      </c>
      <c r="AK181">
        <v>0.88390000000000002</v>
      </c>
      <c r="AL181" t="s">
        <v>98</v>
      </c>
      <c r="AM181">
        <v>0.21790000000000001</v>
      </c>
      <c r="AN181" s="203" t="s">
        <v>99</v>
      </c>
      <c r="AO181" s="204">
        <v>6.4478973611242587</v>
      </c>
      <c r="AP181" t="s">
        <v>94</v>
      </c>
      <c r="AR181" t="s">
        <v>180</v>
      </c>
      <c r="AS181">
        <v>225</v>
      </c>
      <c r="AT181" t="s">
        <v>102</v>
      </c>
      <c r="AV181" t="s">
        <v>101</v>
      </c>
      <c r="AX181" t="s">
        <v>103</v>
      </c>
      <c r="AZ181" t="s">
        <v>104</v>
      </c>
      <c r="BB181" t="s">
        <v>105</v>
      </c>
    </row>
    <row r="182" spans="1:54" x14ac:dyDescent="0.3">
      <c r="A182" t="s">
        <v>290</v>
      </c>
      <c r="B182" t="s">
        <v>284</v>
      </c>
      <c r="C182" s="46">
        <v>45775.625</v>
      </c>
      <c r="D182" t="s">
        <v>32</v>
      </c>
      <c r="F182" t="s">
        <v>33</v>
      </c>
      <c r="H182" t="s">
        <v>82</v>
      </c>
      <c r="I182">
        <v>9.7858999999999998</v>
      </c>
      <c r="J182" t="s">
        <v>83</v>
      </c>
      <c r="K182">
        <v>1021.2</v>
      </c>
      <c r="L182" t="s">
        <v>84</v>
      </c>
      <c r="M182">
        <v>5.9</v>
      </c>
      <c r="N182" t="s">
        <v>85</v>
      </c>
      <c r="O182">
        <v>55.91</v>
      </c>
      <c r="P182" t="s">
        <v>86</v>
      </c>
      <c r="Q182">
        <v>55.3</v>
      </c>
      <c r="R182" t="s">
        <v>87</v>
      </c>
      <c r="S182">
        <v>20.329999999999998</v>
      </c>
      <c r="T182" t="s">
        <v>88</v>
      </c>
      <c r="U182">
        <v>47.98</v>
      </c>
      <c r="V182" t="s">
        <v>89</v>
      </c>
      <c r="W182">
        <v>16.32</v>
      </c>
      <c r="X182" t="s">
        <v>90</v>
      </c>
      <c r="Y182">
        <v>5.77</v>
      </c>
      <c r="Z182" t="s">
        <v>91</v>
      </c>
      <c r="AA182" s="91">
        <f t="shared" si="3"/>
        <v>14.64</v>
      </c>
      <c r="AB182" t="s">
        <v>92</v>
      </c>
      <c r="AC182">
        <v>2</v>
      </c>
      <c r="AD182" t="s">
        <v>93</v>
      </c>
      <c r="AE182">
        <v>13</v>
      </c>
      <c r="AF182" t="s">
        <v>95</v>
      </c>
      <c r="AG182">
        <v>75</v>
      </c>
      <c r="AH182" t="s">
        <v>100</v>
      </c>
      <c r="AI182">
        <v>2.66</v>
      </c>
      <c r="AJ182" t="s">
        <v>97</v>
      </c>
      <c r="AK182">
        <v>0.93320000000000003</v>
      </c>
      <c r="AL182" t="s">
        <v>98</v>
      </c>
      <c r="AM182">
        <v>0.22090000000000001</v>
      </c>
      <c r="AN182" s="203" t="s">
        <v>99</v>
      </c>
      <c r="AO182" s="204">
        <v>6.9920450896250212</v>
      </c>
      <c r="AP182" t="s">
        <v>94</v>
      </c>
      <c r="AR182" t="s">
        <v>180</v>
      </c>
      <c r="AS182">
        <v>237</v>
      </c>
      <c r="AT182" t="s">
        <v>102</v>
      </c>
      <c r="AV182" t="s">
        <v>101</v>
      </c>
      <c r="AX182" t="s">
        <v>103</v>
      </c>
      <c r="AZ182" t="s">
        <v>104</v>
      </c>
      <c r="BB182" t="s">
        <v>105</v>
      </c>
    </row>
    <row r="183" spans="1:54" x14ac:dyDescent="0.3">
      <c r="A183" t="s">
        <v>291</v>
      </c>
      <c r="B183" t="s">
        <v>284</v>
      </c>
      <c r="C183" s="46">
        <v>45776.4375</v>
      </c>
      <c r="D183" t="s">
        <v>32</v>
      </c>
      <c r="E183">
        <v>12.7</v>
      </c>
      <c r="F183" t="s">
        <v>33</v>
      </c>
      <c r="G183">
        <v>8.6</v>
      </c>
      <c r="H183" t="s">
        <v>82</v>
      </c>
      <c r="I183">
        <v>9.7866999999999997</v>
      </c>
      <c r="J183" t="s">
        <v>83</v>
      </c>
      <c r="K183">
        <v>1015.5</v>
      </c>
      <c r="L183" t="s">
        <v>84</v>
      </c>
      <c r="M183">
        <v>4.4000000000000004</v>
      </c>
      <c r="N183" t="s">
        <v>85</v>
      </c>
      <c r="O183">
        <v>41.09</v>
      </c>
      <c r="P183" t="s">
        <v>86</v>
      </c>
      <c r="Q183">
        <v>40.479999999999997</v>
      </c>
      <c r="R183" t="s">
        <v>87</v>
      </c>
      <c r="S183">
        <v>20</v>
      </c>
      <c r="T183" t="s">
        <v>88</v>
      </c>
      <c r="U183">
        <v>39.94</v>
      </c>
      <c r="V183" t="s">
        <v>89</v>
      </c>
      <c r="W183">
        <v>9.82</v>
      </c>
      <c r="X183" t="s">
        <v>90</v>
      </c>
      <c r="Y183">
        <v>6.06</v>
      </c>
      <c r="Z183" t="s">
        <v>91</v>
      </c>
      <c r="AA183" s="91">
        <f t="shared" si="3"/>
        <v>16.100000000000001</v>
      </c>
      <c r="AB183" t="s">
        <v>92</v>
      </c>
      <c r="AC183">
        <v>5</v>
      </c>
      <c r="AD183" t="s">
        <v>93</v>
      </c>
      <c r="AE183">
        <v>12</v>
      </c>
      <c r="AF183" t="s">
        <v>95</v>
      </c>
      <c r="AG183">
        <v>48</v>
      </c>
      <c r="AH183" t="s">
        <v>100</v>
      </c>
      <c r="AI183">
        <v>2.79</v>
      </c>
      <c r="AJ183" t="s">
        <v>97</v>
      </c>
      <c r="AK183">
        <v>1.0275000000000001</v>
      </c>
      <c r="AL183" t="s">
        <v>98</v>
      </c>
      <c r="AM183">
        <v>0.45229999999999998</v>
      </c>
      <c r="AN183" s="203" t="s">
        <v>99</v>
      </c>
      <c r="AO183" s="204">
        <v>7.9393235660310477</v>
      </c>
      <c r="AP183" t="s">
        <v>94</v>
      </c>
      <c r="AR183" t="s">
        <v>180</v>
      </c>
      <c r="AS183">
        <v>225</v>
      </c>
      <c r="AT183" t="s">
        <v>102</v>
      </c>
      <c r="AV183" t="s">
        <v>101</v>
      </c>
      <c r="AX183" t="s">
        <v>103</v>
      </c>
      <c r="AZ183" t="s">
        <v>104</v>
      </c>
      <c r="BB183" t="s">
        <v>105</v>
      </c>
    </row>
    <row r="184" spans="1:54" x14ac:dyDescent="0.3">
      <c r="A184" t="s">
        <v>292</v>
      </c>
      <c r="B184" t="s">
        <v>284</v>
      </c>
      <c r="C184" s="46">
        <v>45776.625</v>
      </c>
      <c r="D184" t="s">
        <v>32</v>
      </c>
      <c r="F184" t="s">
        <v>33</v>
      </c>
      <c r="H184" t="s">
        <v>82</v>
      </c>
      <c r="I184">
        <v>9.7827999999999999</v>
      </c>
      <c r="J184" t="s">
        <v>83</v>
      </c>
      <c r="K184">
        <v>1013.7</v>
      </c>
      <c r="L184" t="s">
        <v>84</v>
      </c>
      <c r="M184">
        <v>4</v>
      </c>
      <c r="N184" t="s">
        <v>85</v>
      </c>
      <c r="O184">
        <v>47.54</v>
      </c>
      <c r="P184" t="s">
        <v>86</v>
      </c>
      <c r="Q184">
        <v>46.47</v>
      </c>
      <c r="R184" t="s">
        <v>87</v>
      </c>
      <c r="S184">
        <v>14.38</v>
      </c>
      <c r="T184" t="s">
        <v>88</v>
      </c>
      <c r="U184">
        <v>37.5</v>
      </c>
      <c r="V184" t="s">
        <v>89</v>
      </c>
      <c r="W184">
        <v>9.19</v>
      </c>
      <c r="X184" t="s">
        <v>90</v>
      </c>
      <c r="Y184">
        <v>6</v>
      </c>
      <c r="Z184" t="s">
        <v>91</v>
      </c>
      <c r="AA184" s="91">
        <f t="shared" si="3"/>
        <v>19.38</v>
      </c>
      <c r="AB184" t="s">
        <v>92</v>
      </c>
      <c r="AC184">
        <v>9</v>
      </c>
      <c r="AD184" t="s">
        <v>93</v>
      </c>
      <c r="AE184">
        <v>12</v>
      </c>
      <c r="AF184" t="s">
        <v>95</v>
      </c>
      <c r="AG184">
        <v>39</v>
      </c>
      <c r="AH184" t="s">
        <v>100</v>
      </c>
      <c r="AI184">
        <v>2.76</v>
      </c>
      <c r="AJ184" t="s">
        <v>97</v>
      </c>
      <c r="AK184">
        <v>0.94199999999999995</v>
      </c>
      <c r="AL184" t="s">
        <v>98</v>
      </c>
      <c r="AM184">
        <v>0.2581</v>
      </c>
      <c r="AN184" s="203" t="s">
        <v>99</v>
      </c>
      <c r="AO184" s="204">
        <v>8.2404257123063225</v>
      </c>
      <c r="AP184" t="s">
        <v>94</v>
      </c>
      <c r="AR184" t="s">
        <v>180</v>
      </c>
      <c r="AS184">
        <v>229</v>
      </c>
      <c r="AT184" t="s">
        <v>102</v>
      </c>
      <c r="AV184" t="s">
        <v>101</v>
      </c>
      <c r="AX184" t="s">
        <v>103</v>
      </c>
      <c r="AZ184" t="s">
        <v>104</v>
      </c>
      <c r="BB184" t="s">
        <v>105</v>
      </c>
    </row>
    <row r="185" spans="1:54" x14ac:dyDescent="0.3">
      <c r="A185" t="s">
        <v>293</v>
      </c>
      <c r="B185" t="s">
        <v>284</v>
      </c>
      <c r="C185" s="46">
        <v>45777.375</v>
      </c>
      <c r="D185" t="s">
        <v>32</v>
      </c>
      <c r="E185">
        <v>7.9</v>
      </c>
      <c r="F185" t="s">
        <v>33</v>
      </c>
      <c r="G185">
        <v>5.0999999999999996</v>
      </c>
      <c r="H185" t="s">
        <v>82</v>
      </c>
      <c r="I185">
        <v>9.7725000000000009</v>
      </c>
      <c r="J185" t="s">
        <v>83</v>
      </c>
      <c r="K185">
        <v>1010.4</v>
      </c>
      <c r="L185" t="s">
        <v>84</v>
      </c>
      <c r="M185">
        <v>3.1</v>
      </c>
      <c r="N185" t="s">
        <v>85</v>
      </c>
      <c r="O185">
        <v>55.53</v>
      </c>
      <c r="P185" t="s">
        <v>86</v>
      </c>
      <c r="Q185">
        <v>53.69</v>
      </c>
      <c r="R185" t="s">
        <v>87</v>
      </c>
      <c r="S185">
        <v>16.18</v>
      </c>
      <c r="T185" t="s">
        <v>88</v>
      </c>
      <c r="U185">
        <v>33.299999999999997</v>
      </c>
      <c r="V185" t="s">
        <v>89</v>
      </c>
      <c r="W185">
        <v>6.21</v>
      </c>
      <c r="X185" t="s">
        <v>90</v>
      </c>
      <c r="Y185">
        <v>6.16</v>
      </c>
      <c r="Z185" t="s">
        <v>91</v>
      </c>
      <c r="AA185" s="91">
        <f t="shared" si="3"/>
        <v>13</v>
      </c>
      <c r="AB185" t="s">
        <v>92</v>
      </c>
      <c r="AC185">
        <v>0</v>
      </c>
      <c r="AD185" t="s">
        <v>93</v>
      </c>
      <c r="AE185">
        <v>13</v>
      </c>
      <c r="AF185" t="s">
        <v>95</v>
      </c>
      <c r="AG185">
        <v>35</v>
      </c>
      <c r="AH185" t="s">
        <v>100</v>
      </c>
      <c r="AI185">
        <v>2.75</v>
      </c>
      <c r="AJ185" t="s">
        <v>97</v>
      </c>
      <c r="AK185">
        <v>0.93459999999999999</v>
      </c>
      <c r="AL185" t="s">
        <v>98</v>
      </c>
      <c r="AM185">
        <v>0.2545</v>
      </c>
      <c r="AN185" s="203" t="s">
        <v>99</v>
      </c>
      <c r="AO185" s="204">
        <v>8.7949137371333101</v>
      </c>
      <c r="AP185" t="s">
        <v>94</v>
      </c>
      <c r="AR185" t="s">
        <v>180</v>
      </c>
      <c r="AS185">
        <v>230</v>
      </c>
      <c r="AT185" t="s">
        <v>102</v>
      </c>
      <c r="AV185" t="s">
        <v>101</v>
      </c>
      <c r="AX185" t="s">
        <v>103</v>
      </c>
      <c r="AZ185" t="s">
        <v>104</v>
      </c>
      <c r="BB185" t="s">
        <v>105</v>
      </c>
    </row>
    <row r="186" spans="1:54" x14ac:dyDescent="0.3">
      <c r="A186" t="s">
        <v>294</v>
      </c>
      <c r="B186" t="s">
        <v>284</v>
      </c>
      <c r="C186" s="46">
        <v>45777.625</v>
      </c>
      <c r="D186" t="s">
        <v>32</v>
      </c>
      <c r="F186" t="s">
        <v>33</v>
      </c>
      <c r="H186" t="s">
        <v>82</v>
      </c>
      <c r="I186">
        <v>9.7725000000000009</v>
      </c>
      <c r="J186" t="s">
        <v>83</v>
      </c>
      <c r="K186">
        <v>1009.4</v>
      </c>
      <c r="L186" t="s">
        <v>84</v>
      </c>
      <c r="M186">
        <v>2.9</v>
      </c>
      <c r="N186" t="s">
        <v>85</v>
      </c>
      <c r="O186">
        <v>50.31</v>
      </c>
      <c r="P186" t="s">
        <v>86</v>
      </c>
      <c r="Q186">
        <v>48.62</v>
      </c>
      <c r="R186" t="s">
        <v>87</v>
      </c>
      <c r="S186">
        <v>18.47</v>
      </c>
      <c r="T186" t="s">
        <v>88</v>
      </c>
      <c r="U186">
        <v>32.06</v>
      </c>
      <c r="V186" t="s">
        <v>89</v>
      </c>
      <c r="W186">
        <v>5.68</v>
      </c>
      <c r="X186" t="s">
        <v>90</v>
      </c>
      <c r="Y186">
        <v>6.16</v>
      </c>
      <c r="Z186" t="s">
        <v>91</v>
      </c>
      <c r="AA186" s="91">
        <f t="shared" si="3"/>
        <v>15.46</v>
      </c>
      <c r="AB186" t="s">
        <v>92</v>
      </c>
      <c r="AC186">
        <v>3</v>
      </c>
      <c r="AD186" t="s">
        <v>93</v>
      </c>
      <c r="AE186">
        <v>13</v>
      </c>
      <c r="AF186" t="s">
        <v>95</v>
      </c>
      <c r="AG186">
        <v>39</v>
      </c>
      <c r="AH186" t="s">
        <v>100</v>
      </c>
      <c r="AI186">
        <v>2.7</v>
      </c>
      <c r="AJ186" t="s">
        <v>97</v>
      </c>
      <c r="AK186">
        <v>0.9627</v>
      </c>
      <c r="AL186" t="s">
        <v>98</v>
      </c>
      <c r="AM186">
        <v>0.26169999999999999</v>
      </c>
      <c r="AN186" s="203" t="s">
        <v>99</v>
      </c>
      <c r="AO186" s="204">
        <v>8.9635740022804171</v>
      </c>
      <c r="AP186" t="s">
        <v>94</v>
      </c>
      <c r="AR186" t="s">
        <v>180</v>
      </c>
      <c r="AS186">
        <v>236</v>
      </c>
      <c r="AT186" t="s">
        <v>102</v>
      </c>
      <c r="AV186" t="s">
        <v>101</v>
      </c>
      <c r="AX186" t="s">
        <v>103</v>
      </c>
      <c r="AZ186" t="s">
        <v>104</v>
      </c>
      <c r="BB186" t="s">
        <v>105</v>
      </c>
    </row>
    <row r="187" spans="1:54" x14ac:dyDescent="0.3">
      <c r="A187" t="s">
        <v>295</v>
      </c>
      <c r="B187" t="s">
        <v>284</v>
      </c>
      <c r="C187" s="46">
        <v>45778.729166666664</v>
      </c>
      <c r="D187" t="s">
        <v>32</v>
      </c>
      <c r="E187">
        <v>8.5</v>
      </c>
      <c r="F187" t="s">
        <v>33</v>
      </c>
      <c r="G187">
        <v>5.5</v>
      </c>
      <c r="H187" t="s">
        <v>82</v>
      </c>
      <c r="I187">
        <v>9.7931000000000008</v>
      </c>
      <c r="J187" t="s">
        <v>83</v>
      </c>
      <c r="K187">
        <v>1006.2</v>
      </c>
      <c r="L187" t="s">
        <v>84</v>
      </c>
      <c r="M187">
        <v>2</v>
      </c>
      <c r="N187" t="s">
        <v>85</v>
      </c>
      <c r="P187" t="s">
        <v>86</v>
      </c>
      <c r="R187" t="s">
        <v>87</v>
      </c>
      <c r="S187">
        <v>9.35</v>
      </c>
      <c r="T187" t="s">
        <v>88</v>
      </c>
      <c r="U187">
        <v>25.65</v>
      </c>
      <c r="V187" t="s">
        <v>89</v>
      </c>
      <c r="W187">
        <v>2.6</v>
      </c>
      <c r="X187" t="s">
        <v>90</v>
      </c>
      <c r="Y187">
        <v>6.41</v>
      </c>
      <c r="Z187" t="s">
        <v>91</v>
      </c>
      <c r="AA187" s="91">
        <f t="shared" si="3"/>
        <v>14.82</v>
      </c>
      <c r="AB187" t="s">
        <v>92</v>
      </c>
      <c r="AC187">
        <v>1</v>
      </c>
      <c r="AD187" t="s">
        <v>93</v>
      </c>
      <c r="AE187">
        <v>14</v>
      </c>
      <c r="AF187" t="s">
        <v>95</v>
      </c>
      <c r="AG187">
        <v>37</v>
      </c>
      <c r="AH187" t="s">
        <v>100</v>
      </c>
      <c r="AI187">
        <v>2.71</v>
      </c>
      <c r="AJ187" t="s">
        <v>97</v>
      </c>
      <c r="AK187">
        <v>1.3553999999999999</v>
      </c>
      <c r="AL187" t="s">
        <v>98</v>
      </c>
      <c r="AM187">
        <v>0.33979999999999999</v>
      </c>
      <c r="AN187" s="203" t="s">
        <v>99</v>
      </c>
      <c r="AO187" s="204">
        <v>9.5052793876527808</v>
      </c>
      <c r="AP187" t="s">
        <v>94</v>
      </c>
      <c r="AR187" t="s">
        <v>180</v>
      </c>
      <c r="AS187">
        <v>216</v>
      </c>
      <c r="AT187" t="s">
        <v>102</v>
      </c>
      <c r="AV187" t="s">
        <v>101</v>
      </c>
      <c r="AX187" t="s">
        <v>103</v>
      </c>
      <c r="AZ187" t="s">
        <v>104</v>
      </c>
      <c r="BB187" t="s">
        <v>105</v>
      </c>
    </row>
    <row r="188" spans="1:54" x14ac:dyDescent="0.3">
      <c r="A188" t="s">
        <v>297</v>
      </c>
      <c r="B188" t="s">
        <v>284</v>
      </c>
      <c r="C188" s="46">
        <v>45779.4375</v>
      </c>
      <c r="D188" t="s">
        <v>32</v>
      </c>
      <c r="E188">
        <v>4</v>
      </c>
      <c r="F188" t="s">
        <v>33</v>
      </c>
      <c r="G188">
        <v>2.75</v>
      </c>
      <c r="H188" t="s">
        <v>82</v>
      </c>
      <c r="I188">
        <v>9.8138000000000005</v>
      </c>
      <c r="J188" t="s">
        <v>83</v>
      </c>
      <c r="K188">
        <v>1004.6</v>
      </c>
      <c r="L188" t="s">
        <v>84</v>
      </c>
      <c r="M188">
        <v>1.5</v>
      </c>
      <c r="N188" t="s">
        <v>85</v>
      </c>
      <c r="P188" t="s">
        <v>86</v>
      </c>
      <c r="R188" t="s">
        <v>87</v>
      </c>
      <c r="S188">
        <v>9.1999999999999993</v>
      </c>
      <c r="T188" t="s">
        <v>88</v>
      </c>
      <c r="U188">
        <v>21.66</v>
      </c>
      <c r="V188" t="s">
        <v>89</v>
      </c>
      <c r="W188">
        <v>6.04</v>
      </c>
      <c r="X188" t="s">
        <v>90</v>
      </c>
      <c r="Y188">
        <v>6.88</v>
      </c>
      <c r="Z188" t="s">
        <v>91</v>
      </c>
      <c r="AA188" s="91">
        <f t="shared" si="3"/>
        <v>27.38</v>
      </c>
      <c r="AB188" t="s">
        <v>92</v>
      </c>
      <c r="AC188">
        <v>9</v>
      </c>
      <c r="AD188" t="s">
        <v>93</v>
      </c>
      <c r="AE188">
        <v>20</v>
      </c>
      <c r="AF188" t="s">
        <v>95</v>
      </c>
      <c r="AG188">
        <v>18</v>
      </c>
      <c r="AH188" t="s">
        <v>100</v>
      </c>
      <c r="AI188">
        <v>2.78</v>
      </c>
      <c r="AJ188" t="s">
        <v>97</v>
      </c>
      <c r="AK188">
        <v>0.40699999999999997</v>
      </c>
      <c r="AL188" t="s">
        <v>98</v>
      </c>
      <c r="AM188">
        <v>0.31759999999999999</v>
      </c>
      <c r="AN188" s="203" t="s">
        <v>99</v>
      </c>
      <c r="AO188" s="204">
        <v>9.7772760626748134</v>
      </c>
      <c r="AP188" t="s">
        <v>94</v>
      </c>
      <c r="AR188" t="s">
        <v>180</v>
      </c>
      <c r="AS188">
        <v>225</v>
      </c>
      <c r="AT188" t="s">
        <v>102</v>
      </c>
      <c r="AV188" t="s">
        <v>101</v>
      </c>
      <c r="AX188" t="s">
        <v>103</v>
      </c>
      <c r="AZ188" t="s">
        <v>104</v>
      </c>
      <c r="BB188" t="s">
        <v>105</v>
      </c>
    </row>
    <row r="189" spans="1:54" x14ac:dyDescent="0.3">
      <c r="A189" t="s">
        <v>298</v>
      </c>
      <c r="B189" t="s">
        <v>284</v>
      </c>
      <c r="C189" s="46">
        <v>45780.5</v>
      </c>
      <c r="D189" t="s">
        <v>32</v>
      </c>
      <c r="E189">
        <v>3.9</v>
      </c>
      <c r="F189" t="s">
        <v>33</v>
      </c>
      <c r="G189">
        <v>1.8</v>
      </c>
      <c r="H189" t="s">
        <v>82</v>
      </c>
      <c r="I189">
        <v>9.8095999999999997</v>
      </c>
      <c r="J189" t="s">
        <v>83</v>
      </c>
      <c r="K189">
        <v>1000.2</v>
      </c>
      <c r="L189" t="s">
        <v>84</v>
      </c>
      <c r="M189">
        <v>0.4</v>
      </c>
      <c r="N189" t="s">
        <v>85</v>
      </c>
      <c r="P189" t="s">
        <v>86</v>
      </c>
      <c r="R189" t="s">
        <v>87</v>
      </c>
      <c r="S189">
        <v>17.61</v>
      </c>
      <c r="T189" t="s">
        <v>88</v>
      </c>
      <c r="U189">
        <v>16.64</v>
      </c>
      <c r="V189" t="s">
        <v>89</v>
      </c>
      <c r="W189">
        <v>0.93</v>
      </c>
      <c r="X189" s="136" t="s">
        <v>90</v>
      </c>
      <c r="Y189" s="136">
        <v>5.75</v>
      </c>
      <c r="Z189" t="s">
        <v>91</v>
      </c>
      <c r="AA189" s="91">
        <f t="shared" si="3"/>
        <v>31.56</v>
      </c>
      <c r="AB189" t="s">
        <v>92</v>
      </c>
      <c r="AC189">
        <v>8</v>
      </c>
      <c r="AD189" t="s">
        <v>93</v>
      </c>
      <c r="AE189">
        <v>25</v>
      </c>
      <c r="AF189" t="s">
        <v>95</v>
      </c>
      <c r="AG189">
        <v>26</v>
      </c>
      <c r="AH189" t="s">
        <v>100</v>
      </c>
      <c r="AI189">
        <v>2.34</v>
      </c>
      <c r="AJ189" t="s">
        <v>97</v>
      </c>
      <c r="AK189">
        <v>0.90969999999999995</v>
      </c>
      <c r="AL189" t="s">
        <v>98</v>
      </c>
      <c r="AM189">
        <v>0.3281</v>
      </c>
      <c r="AN189" s="203" t="s">
        <v>99</v>
      </c>
      <c r="AO189" s="204">
        <v>10.529228746726899</v>
      </c>
      <c r="AP189" t="s">
        <v>94</v>
      </c>
      <c r="AR189" s="73" t="s">
        <v>180</v>
      </c>
      <c r="AS189" s="73">
        <v>182</v>
      </c>
      <c r="AT189" t="s">
        <v>102</v>
      </c>
      <c r="AV189" t="s">
        <v>101</v>
      </c>
      <c r="AX189" t="s">
        <v>103</v>
      </c>
      <c r="AZ189" t="s">
        <v>104</v>
      </c>
      <c r="BB189" t="s">
        <v>105</v>
      </c>
    </row>
    <row r="190" spans="1:54" x14ac:dyDescent="0.3">
      <c r="A190" t="s">
        <v>299</v>
      </c>
      <c r="B190" t="s">
        <v>284</v>
      </c>
      <c r="C190" s="46">
        <v>45781.5</v>
      </c>
      <c r="D190" t="s">
        <v>32</v>
      </c>
      <c r="E190">
        <v>1.8</v>
      </c>
      <c r="F190" t="s">
        <v>33</v>
      </c>
      <c r="G190">
        <v>2.4</v>
      </c>
      <c r="H190" t="s">
        <v>82</v>
      </c>
      <c r="I190">
        <v>9.8102</v>
      </c>
      <c r="J190" t="s">
        <v>83</v>
      </c>
      <c r="K190">
        <v>997.8</v>
      </c>
      <c r="L190" t="s">
        <v>84</v>
      </c>
      <c r="M190">
        <v>0.1</v>
      </c>
      <c r="N190" t="s">
        <v>85</v>
      </c>
      <c r="P190" t="s">
        <v>86</v>
      </c>
      <c r="R190" t="s">
        <v>87</v>
      </c>
      <c r="S190">
        <v>13.92</v>
      </c>
      <c r="T190" t="s">
        <v>88</v>
      </c>
      <c r="U190">
        <v>10.55</v>
      </c>
      <c r="V190" t="s">
        <v>89</v>
      </c>
      <c r="W190">
        <v>0.4</v>
      </c>
      <c r="X190" t="s">
        <v>90</v>
      </c>
      <c r="Y190">
        <v>7.09</v>
      </c>
      <c r="Z190" t="s">
        <v>91</v>
      </c>
      <c r="AA190" s="91">
        <f t="shared" si="3"/>
        <v>19</v>
      </c>
      <c r="AB190" t="s">
        <v>92</v>
      </c>
      <c r="AC190">
        <v>0</v>
      </c>
      <c r="AD190" t="s">
        <v>93</v>
      </c>
      <c r="AE190">
        <v>19</v>
      </c>
      <c r="AF190" t="s">
        <v>95</v>
      </c>
      <c r="AG190">
        <v>31</v>
      </c>
      <c r="AH190" t="s">
        <v>100</v>
      </c>
      <c r="AI190">
        <v>2.58</v>
      </c>
      <c r="AJ190" t="s">
        <v>97</v>
      </c>
      <c r="AK190">
        <v>0.83240000000000003</v>
      </c>
      <c r="AL190" t="s">
        <v>98</v>
      </c>
      <c r="AM190">
        <v>0.31309999999999999</v>
      </c>
      <c r="AN190" s="203" t="s">
        <v>99</v>
      </c>
      <c r="AO190" s="204">
        <v>10.94185047372482</v>
      </c>
      <c r="AP190" t="s">
        <v>94</v>
      </c>
      <c r="AR190" t="s">
        <v>180</v>
      </c>
      <c r="AS190">
        <v>201</v>
      </c>
      <c r="AT190" t="s">
        <v>102</v>
      </c>
      <c r="AV190" t="s">
        <v>101</v>
      </c>
      <c r="AX190" t="s">
        <v>103</v>
      </c>
      <c r="AZ190" t="s">
        <v>104</v>
      </c>
      <c r="BB190" t="s">
        <v>105</v>
      </c>
    </row>
    <row r="191" spans="1:54" x14ac:dyDescent="0.3">
      <c r="A191" t="s">
        <v>300</v>
      </c>
      <c r="B191" t="s">
        <v>284</v>
      </c>
      <c r="C191" s="46">
        <v>45782.40625</v>
      </c>
      <c r="D191" t="s">
        <v>32</v>
      </c>
      <c r="E191">
        <v>2.7</v>
      </c>
      <c r="F191" t="s">
        <v>33</v>
      </c>
      <c r="G191">
        <v>1.8</v>
      </c>
      <c r="H191" t="s">
        <v>82</v>
      </c>
      <c r="I191">
        <v>9.8077000000000005</v>
      </c>
      <c r="J191" t="s">
        <v>83</v>
      </c>
      <c r="K191">
        <v>997.1</v>
      </c>
      <c r="L191" t="s">
        <v>84</v>
      </c>
      <c r="M191">
        <v>-0.4</v>
      </c>
      <c r="N191" t="s">
        <v>85</v>
      </c>
      <c r="O191">
        <v>44.62</v>
      </c>
      <c r="P191" t="s">
        <v>86</v>
      </c>
      <c r="Q191">
        <v>43.93</v>
      </c>
      <c r="R191" t="s">
        <v>87</v>
      </c>
      <c r="S191">
        <v>20.83</v>
      </c>
      <c r="T191" t="s">
        <v>88</v>
      </c>
      <c r="U191">
        <v>9.14</v>
      </c>
      <c r="V191" t="s">
        <v>89</v>
      </c>
      <c r="W191">
        <v>0.3</v>
      </c>
      <c r="X191" t="s">
        <v>90</v>
      </c>
      <c r="Y191">
        <v>6.8</v>
      </c>
      <c r="Z191" t="s">
        <v>91</v>
      </c>
      <c r="AA191" s="91">
        <f t="shared" si="3"/>
        <v>20.56</v>
      </c>
      <c r="AB191" t="s">
        <v>92</v>
      </c>
      <c r="AC191">
        <v>8</v>
      </c>
      <c r="AD191" t="s">
        <v>93</v>
      </c>
      <c r="AE191">
        <v>14</v>
      </c>
      <c r="AF191" t="s">
        <v>95</v>
      </c>
      <c r="AG191">
        <v>23</v>
      </c>
      <c r="AH191" t="s">
        <v>100</v>
      </c>
      <c r="AI191">
        <v>2.71</v>
      </c>
      <c r="AJ191" t="s">
        <v>97</v>
      </c>
      <c r="AK191">
        <v>0.85509999999999997</v>
      </c>
      <c r="AL191" t="s">
        <v>98</v>
      </c>
      <c r="AM191">
        <v>0.24060000000000001</v>
      </c>
      <c r="AN191" s="203" t="s">
        <v>99</v>
      </c>
      <c r="AO191" s="204">
        <v>11.062528302527943</v>
      </c>
      <c r="AP191" t="s">
        <v>94</v>
      </c>
      <c r="AR191" t="s">
        <v>180</v>
      </c>
      <c r="AS191">
        <v>210</v>
      </c>
      <c r="AT191" t="s">
        <v>102</v>
      </c>
      <c r="AV191" t="s">
        <v>101</v>
      </c>
      <c r="AX191" t="s">
        <v>103</v>
      </c>
      <c r="AZ191" t="s">
        <v>104</v>
      </c>
      <c r="BB191" t="s">
        <v>105</v>
      </c>
    </row>
    <row r="192" spans="1:54" x14ac:dyDescent="0.3">
      <c r="A192" t="s">
        <v>301</v>
      </c>
      <c r="B192" t="s">
        <v>284</v>
      </c>
      <c r="C192" s="46">
        <v>45782.625</v>
      </c>
      <c r="D192" t="s">
        <v>32</v>
      </c>
      <c r="F192" t="s">
        <v>33</v>
      </c>
      <c r="H192" t="s">
        <v>82</v>
      </c>
      <c r="I192">
        <v>9.8234999999999992</v>
      </c>
      <c r="J192" t="s">
        <v>83</v>
      </c>
      <c r="K192">
        <v>996.3</v>
      </c>
      <c r="L192" t="s">
        <v>84</v>
      </c>
      <c r="M192">
        <v>-0.4</v>
      </c>
      <c r="N192" t="s">
        <v>85</v>
      </c>
      <c r="O192">
        <v>41.47</v>
      </c>
      <c r="P192" t="s">
        <v>86</v>
      </c>
      <c r="Q192">
        <v>40.549999999999997</v>
      </c>
      <c r="R192" t="s">
        <v>87</v>
      </c>
      <c r="S192">
        <v>13.33</v>
      </c>
      <c r="T192" t="s">
        <v>88</v>
      </c>
      <c r="U192">
        <v>8.77</v>
      </c>
      <c r="V192" t="s">
        <v>89</v>
      </c>
      <c r="W192">
        <v>0</v>
      </c>
      <c r="X192" t="s">
        <v>90</v>
      </c>
      <c r="Y192">
        <v>6.66</v>
      </c>
      <c r="Z192" t="s">
        <v>91</v>
      </c>
      <c r="AA192" s="91">
        <f t="shared" si="3"/>
        <v>23</v>
      </c>
      <c r="AB192" t="s">
        <v>92</v>
      </c>
      <c r="AC192">
        <v>0</v>
      </c>
      <c r="AD192" t="s">
        <v>93</v>
      </c>
      <c r="AE192">
        <v>23</v>
      </c>
      <c r="AF192" t="s">
        <v>95</v>
      </c>
      <c r="AG192">
        <v>28</v>
      </c>
      <c r="AH192" t="s">
        <v>100</v>
      </c>
      <c r="AI192">
        <v>2.66</v>
      </c>
      <c r="AJ192" t="s">
        <v>97</v>
      </c>
      <c r="AK192">
        <v>0.86980000000000002</v>
      </c>
      <c r="AL192" t="s">
        <v>98</v>
      </c>
      <c r="AM192">
        <v>0.24490000000000001</v>
      </c>
      <c r="AN192" s="203" t="s">
        <v>99</v>
      </c>
      <c r="AO192" s="204">
        <v>11.200628779197464</v>
      </c>
      <c r="AP192" t="s">
        <v>94</v>
      </c>
      <c r="AR192" t="s">
        <v>180</v>
      </c>
      <c r="AS192">
        <v>210</v>
      </c>
      <c r="AT192" t="s">
        <v>102</v>
      </c>
      <c r="AV192" t="s">
        <v>101</v>
      </c>
      <c r="AX192" t="s">
        <v>103</v>
      </c>
      <c r="AZ192" t="s">
        <v>104</v>
      </c>
      <c r="BB192" t="s">
        <v>105</v>
      </c>
    </row>
    <row r="193" spans="1:55" x14ac:dyDescent="0.3">
      <c r="A193" t="s">
        <v>434</v>
      </c>
      <c r="B193" t="s">
        <v>284</v>
      </c>
      <c r="C193" s="46">
        <v>45783.416666666664</v>
      </c>
      <c r="D193" t="s">
        <v>32</v>
      </c>
      <c r="E193">
        <v>3.3</v>
      </c>
      <c r="F193" t="s">
        <v>33</v>
      </c>
      <c r="G193">
        <v>1.7</v>
      </c>
      <c r="H193" t="s">
        <v>82</v>
      </c>
      <c r="I193">
        <v>9.8020999999999994</v>
      </c>
      <c r="J193" t="s">
        <v>83</v>
      </c>
      <c r="K193">
        <v>995.4</v>
      </c>
      <c r="L193" t="s">
        <v>84</v>
      </c>
      <c r="M193">
        <v>-0.7</v>
      </c>
      <c r="N193" t="s">
        <v>85</v>
      </c>
      <c r="O193">
        <v>42.4</v>
      </c>
      <c r="P193" t="s">
        <v>86</v>
      </c>
      <c r="Q193">
        <v>41.63</v>
      </c>
      <c r="R193" t="s">
        <v>87</v>
      </c>
      <c r="S193">
        <v>15.94</v>
      </c>
      <c r="T193" t="s">
        <v>88</v>
      </c>
      <c r="U193">
        <v>6.83</v>
      </c>
      <c r="V193" t="s">
        <v>89</v>
      </c>
      <c r="W193">
        <v>0</v>
      </c>
      <c r="X193" t="s">
        <v>90</v>
      </c>
      <c r="Y193">
        <v>6.88</v>
      </c>
      <c r="Z193" t="s">
        <v>91</v>
      </c>
      <c r="AA193" s="91"/>
      <c r="AB193" t="s">
        <v>92</v>
      </c>
      <c r="AD193" t="s">
        <v>93</v>
      </c>
      <c r="AF193" t="s">
        <v>95</v>
      </c>
      <c r="AG193">
        <v>41</v>
      </c>
      <c r="AH193" t="s">
        <v>100</v>
      </c>
      <c r="AI193">
        <v>2.72</v>
      </c>
      <c r="AJ193" t="s">
        <v>97</v>
      </c>
      <c r="AK193">
        <v>0.83730000000000004</v>
      </c>
      <c r="AL193" t="s">
        <v>98</v>
      </c>
      <c r="AM193">
        <v>0.23769999999999999</v>
      </c>
      <c r="AN193" s="203" t="s">
        <v>99</v>
      </c>
      <c r="AO193" s="204">
        <v>11.356225531260382</v>
      </c>
      <c r="AP193" t="s">
        <v>94</v>
      </c>
      <c r="AR193" t="s">
        <v>180</v>
      </c>
      <c r="AS193">
        <v>209</v>
      </c>
      <c r="AT193" t="s">
        <v>102</v>
      </c>
      <c r="AV193" t="s">
        <v>101</v>
      </c>
      <c r="AX193" t="s">
        <v>103</v>
      </c>
      <c r="AZ193" t="s">
        <v>104</v>
      </c>
      <c r="BB193" t="s">
        <v>105</v>
      </c>
    </row>
    <row r="194" spans="1:55" x14ac:dyDescent="0.3">
      <c r="A194" t="s">
        <v>436</v>
      </c>
      <c r="B194" t="s">
        <v>284</v>
      </c>
      <c r="C194" s="46">
        <v>45783.645833333336</v>
      </c>
      <c r="D194" t="s">
        <v>32</v>
      </c>
      <c r="F194" t="s">
        <v>33</v>
      </c>
      <c r="H194" t="s">
        <v>82</v>
      </c>
      <c r="I194">
        <v>9.7798999999999996</v>
      </c>
      <c r="J194" t="s">
        <v>83</v>
      </c>
      <c r="K194">
        <v>994.1</v>
      </c>
      <c r="L194" t="s">
        <v>84</v>
      </c>
      <c r="M194">
        <v>-0.9</v>
      </c>
      <c r="N194" t="s">
        <v>85</v>
      </c>
      <c r="O194">
        <v>51.69</v>
      </c>
      <c r="P194" t="s">
        <v>86</v>
      </c>
      <c r="Q194">
        <v>49.69</v>
      </c>
      <c r="R194" t="s">
        <v>87</v>
      </c>
      <c r="S194">
        <v>14.86</v>
      </c>
      <c r="T194" t="s">
        <v>88</v>
      </c>
      <c r="U194">
        <v>6.31</v>
      </c>
      <c r="V194" t="s">
        <v>89</v>
      </c>
      <c r="W194">
        <v>0</v>
      </c>
      <c r="X194" t="s">
        <v>90</v>
      </c>
      <c r="Y194">
        <v>6.83</v>
      </c>
      <c r="Z194" t="s">
        <v>91</v>
      </c>
      <c r="AA194" s="91"/>
      <c r="AB194" t="s">
        <v>92</v>
      </c>
      <c r="AD194" t="s">
        <v>93</v>
      </c>
      <c r="AF194" t="s">
        <v>95</v>
      </c>
      <c r="AG194">
        <v>49</v>
      </c>
      <c r="AH194" t="s">
        <v>100</v>
      </c>
      <c r="AI194">
        <v>2.64</v>
      </c>
      <c r="AJ194" t="s">
        <v>97</v>
      </c>
      <c r="AK194">
        <v>0.8175</v>
      </c>
      <c r="AL194" t="s">
        <v>98</v>
      </c>
      <c r="AM194">
        <v>0.22570000000000001</v>
      </c>
      <c r="AN194" s="203" t="s">
        <v>99</v>
      </c>
      <c r="AO194" s="204">
        <v>11.581414314063219</v>
      </c>
      <c r="AP194" t="s">
        <v>94</v>
      </c>
      <c r="AR194" t="s">
        <v>180</v>
      </c>
      <c r="AS194">
        <v>212</v>
      </c>
      <c r="AT194" t="s">
        <v>102</v>
      </c>
      <c r="AV194" t="s">
        <v>101</v>
      </c>
      <c r="AX194" t="s">
        <v>103</v>
      </c>
      <c r="AZ194" t="s">
        <v>104</v>
      </c>
      <c r="BB194" t="s">
        <v>105</v>
      </c>
    </row>
    <row r="195" spans="1:55" x14ac:dyDescent="0.3">
      <c r="A195" t="s">
        <v>437</v>
      </c>
      <c r="B195" t="s">
        <v>284</v>
      </c>
      <c r="C195" s="46">
        <v>45784.4375</v>
      </c>
      <c r="D195" t="s">
        <v>32</v>
      </c>
      <c r="E195">
        <v>2.4</v>
      </c>
      <c r="F195" t="s">
        <v>33</v>
      </c>
      <c r="G195">
        <v>1.4</v>
      </c>
      <c r="H195" t="s">
        <v>82</v>
      </c>
      <c r="I195">
        <v>9.7763000000000009</v>
      </c>
      <c r="J195" t="s">
        <v>83</v>
      </c>
      <c r="K195">
        <v>993.5</v>
      </c>
      <c r="L195" t="s">
        <v>84</v>
      </c>
      <c r="M195">
        <v>-1</v>
      </c>
      <c r="N195" t="s">
        <v>85</v>
      </c>
      <c r="O195">
        <v>37.630000000000003</v>
      </c>
      <c r="P195" t="s">
        <v>86</v>
      </c>
      <c r="Q195">
        <v>36.71</v>
      </c>
      <c r="R195" t="s">
        <v>87</v>
      </c>
      <c r="S195">
        <v>18.57</v>
      </c>
      <c r="T195" s="73" t="s">
        <v>88</v>
      </c>
      <c r="U195" s="73">
        <f>4.33-W195</f>
        <v>4.0200000000000005</v>
      </c>
      <c r="V195" s="73" t="s">
        <v>89</v>
      </c>
      <c r="W195" s="73">
        <v>0.31</v>
      </c>
      <c r="X195" t="s">
        <v>90</v>
      </c>
      <c r="Y195">
        <v>6.79</v>
      </c>
      <c r="Z195" t="s">
        <v>91</v>
      </c>
      <c r="AA195" s="91">
        <f t="shared" si="3"/>
        <v>19.46</v>
      </c>
      <c r="AB195" t="s">
        <v>92</v>
      </c>
      <c r="AC195">
        <v>3</v>
      </c>
      <c r="AD195" t="s">
        <v>93</v>
      </c>
      <c r="AE195">
        <v>17</v>
      </c>
      <c r="AF195" t="s">
        <v>95</v>
      </c>
      <c r="AG195">
        <v>23</v>
      </c>
      <c r="AH195" t="s">
        <v>100</v>
      </c>
      <c r="AI195">
        <v>0.37</v>
      </c>
      <c r="AJ195" t="s">
        <v>97</v>
      </c>
      <c r="AK195">
        <v>0.86450000000000005</v>
      </c>
      <c r="AL195" t="s">
        <v>98</v>
      </c>
      <c r="AM195">
        <v>0.23200000000000001</v>
      </c>
      <c r="AN195" s="201" t="s">
        <v>99</v>
      </c>
      <c r="AO195" s="201">
        <v>11.9</v>
      </c>
      <c r="AP195" t="s">
        <v>94</v>
      </c>
      <c r="AQ195">
        <v>0.37</v>
      </c>
      <c r="AR195" t="s">
        <v>180</v>
      </c>
      <c r="AS195">
        <v>217</v>
      </c>
      <c r="AT195" t="s">
        <v>102</v>
      </c>
      <c r="AU195">
        <v>238</v>
      </c>
      <c r="AV195" t="s">
        <v>101</v>
      </c>
      <c r="AW195">
        <v>2.73</v>
      </c>
      <c r="AX195" t="s">
        <v>103</v>
      </c>
      <c r="AY195">
        <v>2.9</v>
      </c>
      <c r="AZ195" t="s">
        <v>104</v>
      </c>
      <c r="BA195">
        <v>10</v>
      </c>
      <c r="BB195" t="s">
        <v>105</v>
      </c>
      <c r="BC195">
        <v>318</v>
      </c>
    </row>
    <row r="198" spans="1:55" x14ac:dyDescent="0.3">
      <c r="AM198" s="46"/>
    </row>
    <row r="199" spans="1:55" x14ac:dyDescent="0.3">
      <c r="AM199" s="46"/>
    </row>
    <row r="200" spans="1:55" x14ac:dyDescent="0.3">
      <c r="AM200" s="46"/>
    </row>
    <row r="201" spans="1:55" x14ac:dyDescent="0.3">
      <c r="AM201" s="46"/>
    </row>
    <row r="202" spans="1:55" x14ac:dyDescent="0.3">
      <c r="AM202" s="46"/>
    </row>
    <row r="203" spans="1:55" x14ac:dyDescent="0.3">
      <c r="E203" s="91"/>
      <c r="AM203" s="46"/>
    </row>
    <row r="204" spans="1:55" x14ac:dyDescent="0.3">
      <c r="F204" s="91"/>
      <c r="AM204" s="46"/>
      <c r="AO204" s="47"/>
    </row>
    <row r="205" spans="1:55" x14ac:dyDescent="0.3">
      <c r="AM205" s="46"/>
      <c r="AO205" s="47"/>
    </row>
    <row r="206" spans="1:55" x14ac:dyDescent="0.3">
      <c r="AM206" s="46"/>
      <c r="AO206" s="47"/>
    </row>
    <row r="207" spans="1:55" x14ac:dyDescent="0.3">
      <c r="AM207" s="46"/>
      <c r="AO207" s="47"/>
    </row>
    <row r="208" spans="1:55" x14ac:dyDescent="0.3">
      <c r="AM208" s="46"/>
      <c r="AO208" s="47"/>
    </row>
    <row r="209" spans="39:41" x14ac:dyDescent="0.3">
      <c r="AM209" s="46"/>
      <c r="AO209" s="47"/>
    </row>
    <row r="210" spans="39:41" x14ac:dyDescent="0.3">
      <c r="AM210" s="46"/>
    </row>
  </sheetData>
  <autoFilter ref="A1:BC195" xr:uid="{60790C32-CEFD-42CE-96E5-D40447C82DDA}">
    <filterColumn colId="1">
      <filters>
        <filter val="SB012"/>
      </filters>
    </filterColumn>
    <sortState xmlns:xlrd2="http://schemas.microsoft.com/office/spreadsheetml/2017/richdata2" ref="A124:BC139">
      <sortCondition ref="C1:C195"/>
    </sortState>
  </autoFilter>
  <phoneticPr fontId="2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31E30-DA61-46E3-823A-BB5552F6A553}">
  <dimension ref="A1:M181"/>
  <sheetViews>
    <sheetView topLeftCell="A97" zoomScaleNormal="100" workbookViewId="0">
      <selection activeCell="H109" sqref="H109:H122"/>
    </sheetView>
  </sheetViews>
  <sheetFormatPr baseColWidth="10" defaultColWidth="8.88671875" defaultRowHeight="14.4" x14ac:dyDescent="0.3"/>
  <cols>
    <col min="1" max="3" width="22.88671875" customWidth="1"/>
    <col min="4" max="6" width="22.88671875" style="1" hidden="1" customWidth="1"/>
    <col min="7" max="7" width="11.33203125" style="1" customWidth="1"/>
    <col min="8" max="8" width="22.88671875" style="1" customWidth="1"/>
    <col min="9" max="9" width="23.44140625" customWidth="1"/>
    <col min="10" max="10" width="23.5546875" customWidth="1"/>
  </cols>
  <sheetData>
    <row r="1" spans="1:13" ht="15" thickBot="1" x14ac:dyDescent="0.35">
      <c r="A1" s="78" t="s">
        <v>29</v>
      </c>
      <c r="B1" s="79" t="s">
        <v>31</v>
      </c>
      <c r="C1" s="79" t="s">
        <v>600</v>
      </c>
      <c r="D1" s="79" t="s">
        <v>83</v>
      </c>
      <c r="E1" s="79" t="s">
        <v>601</v>
      </c>
      <c r="F1" s="79" t="s">
        <v>602</v>
      </c>
      <c r="G1" s="79" t="s">
        <v>603</v>
      </c>
      <c r="H1" s="79" t="s">
        <v>604</v>
      </c>
      <c r="I1" s="80" t="s">
        <v>605</v>
      </c>
      <c r="J1" s="81" t="s">
        <v>606</v>
      </c>
    </row>
    <row r="2" spans="1:13" x14ac:dyDescent="0.3">
      <c r="A2" s="82" t="s">
        <v>122</v>
      </c>
      <c r="B2" s="83">
        <v>45729.916666666664</v>
      </c>
      <c r="C2" s="84">
        <v>0</v>
      </c>
      <c r="D2" s="3">
        <v>1063</v>
      </c>
      <c r="E2" s="3">
        <f>D2/1000</f>
        <v>1.0629999999999999</v>
      </c>
      <c r="F2" s="85">
        <f>182.4601*E2^3-775.6821*E2^2+1262.7794*E2-669.5622</f>
        <v>15.438810256424745</v>
      </c>
      <c r="G2" s="198">
        <v>0.78</v>
      </c>
      <c r="H2" s="86">
        <f>G2</f>
        <v>0.78</v>
      </c>
      <c r="I2" s="87"/>
      <c r="J2" s="88"/>
    </row>
    <row r="3" spans="1:13" x14ac:dyDescent="0.3">
      <c r="A3" s="82" t="s">
        <v>124</v>
      </c>
      <c r="B3" s="83">
        <v>45730.445833333331</v>
      </c>
      <c r="C3" s="84">
        <f>(B3-B2)*24+C2</f>
        <v>12.700000000011642</v>
      </c>
      <c r="D3" s="3">
        <v>1062.3</v>
      </c>
      <c r="E3" s="3">
        <f t="shared" ref="E3:E66" si="0">D3/1000</f>
        <v>1.0623</v>
      </c>
      <c r="F3" s="85">
        <f t="shared" ref="F3:F66" si="1">182.4601*E3^3-775.6821*E3^2+1262.7794*E3-669.5622</f>
        <v>15.276173805661188</v>
      </c>
      <c r="G3" s="3">
        <v>0.8</v>
      </c>
      <c r="H3" s="202">
        <f t="shared" ref="H3:H12" si="2">MAX(0,$G$2+($F$2-F3)*$M$8)</f>
        <v>0.88785371098183918</v>
      </c>
      <c r="I3" s="87"/>
      <c r="J3" s="88"/>
    </row>
    <row r="4" spans="1:13" x14ac:dyDescent="0.3">
      <c r="A4" s="82" t="s">
        <v>125</v>
      </c>
      <c r="B4" s="83">
        <v>45731.458333333336</v>
      </c>
      <c r="C4" s="84">
        <f t="shared" ref="C4:C12" si="3">(B4-B3)*24+C3</f>
        <v>37.000000000116415</v>
      </c>
      <c r="D4" s="3">
        <v>1040.0999999999999</v>
      </c>
      <c r="E4" s="3">
        <f t="shared" si="0"/>
        <v>1.0400999999999998</v>
      </c>
      <c r="F4" s="85">
        <f t="shared" si="1"/>
        <v>10.017553218964395</v>
      </c>
      <c r="G4" s="3">
        <v>2.95</v>
      </c>
      <c r="H4" s="202">
        <f t="shared" si="2"/>
        <v>4.3751515600064224</v>
      </c>
      <c r="I4" s="87"/>
      <c r="J4" s="88"/>
    </row>
    <row r="5" spans="1:13" x14ac:dyDescent="0.3">
      <c r="A5" s="82" t="s">
        <v>126</v>
      </c>
      <c r="B5" s="83">
        <v>45731.618055555555</v>
      </c>
      <c r="C5" s="84">
        <f t="shared" si="3"/>
        <v>40.833333333372138</v>
      </c>
      <c r="D5" s="3">
        <v>1035.8</v>
      </c>
      <c r="E5" s="3">
        <f t="shared" si="0"/>
        <v>1.0358000000000001</v>
      </c>
      <c r="F5" s="85">
        <f t="shared" si="1"/>
        <v>8.9758499452678961</v>
      </c>
      <c r="G5" s="3">
        <v>3.4</v>
      </c>
      <c r="H5" s="202">
        <f t="shared" si="2"/>
        <v>5.0659657242520248</v>
      </c>
      <c r="I5" s="87"/>
      <c r="J5" s="88"/>
    </row>
    <row r="6" spans="1:13" x14ac:dyDescent="0.3">
      <c r="A6" s="82" t="s">
        <v>127</v>
      </c>
      <c r="B6" s="83">
        <v>45732.46875</v>
      </c>
      <c r="C6" s="84">
        <f t="shared" si="3"/>
        <v>61.250000000058208</v>
      </c>
      <c r="D6" s="3">
        <v>1016.2</v>
      </c>
      <c r="E6" s="3">
        <f t="shared" si="0"/>
        <v>1.0162</v>
      </c>
      <c r="F6" s="85">
        <f t="shared" si="1"/>
        <v>4.1285473098320153</v>
      </c>
      <c r="G6" s="3">
        <v>7.55</v>
      </c>
      <c r="H6" s="202">
        <f t="shared" si="2"/>
        <v>8.2804946630559151</v>
      </c>
      <c r="I6" s="87"/>
      <c r="J6" s="88"/>
    </row>
    <row r="7" spans="1:13" x14ac:dyDescent="0.3">
      <c r="A7" s="82" t="s">
        <v>128</v>
      </c>
      <c r="B7" s="83">
        <v>45733.451388888891</v>
      </c>
      <c r="C7" s="84">
        <f t="shared" si="3"/>
        <v>84.833333333430346</v>
      </c>
      <c r="D7" s="3">
        <v>1002.3</v>
      </c>
      <c r="E7" s="3">
        <f t="shared" si="0"/>
        <v>1.0023</v>
      </c>
      <c r="F7" s="85">
        <f t="shared" si="1"/>
        <v>0.58922415346989965</v>
      </c>
      <c r="G7" s="3">
        <v>9.25</v>
      </c>
      <c r="H7" s="202">
        <f t="shared" si="2"/>
        <v>10.627626163930666</v>
      </c>
      <c r="I7" s="87"/>
      <c r="J7" s="88"/>
    </row>
    <row r="8" spans="1:13" x14ac:dyDescent="0.3">
      <c r="A8" s="82" t="s">
        <v>129</v>
      </c>
      <c r="B8" s="83">
        <v>45733.625</v>
      </c>
      <c r="C8" s="84">
        <f t="shared" si="3"/>
        <v>89.000000000058208</v>
      </c>
      <c r="D8" s="3">
        <v>998.8</v>
      </c>
      <c r="E8" s="3">
        <f t="shared" si="0"/>
        <v>0.99879999999999991</v>
      </c>
      <c r="F8" s="85">
        <f t="shared" si="1"/>
        <v>-0.31568366988301477</v>
      </c>
      <c r="G8" s="89">
        <v>9.1999999999999993</v>
      </c>
      <c r="H8" s="202">
        <f t="shared" si="2"/>
        <v>11.227723290908671</v>
      </c>
      <c r="I8" s="90">
        <v>10.88</v>
      </c>
      <c r="J8" s="88"/>
      <c r="L8" t="s">
        <v>607</v>
      </c>
      <c r="M8">
        <v>0.66315829247059865</v>
      </c>
    </row>
    <row r="9" spans="1:13" x14ac:dyDescent="0.3">
      <c r="A9" s="82" t="s">
        <v>130</v>
      </c>
      <c r="B9" s="83">
        <v>45734.430555555555</v>
      </c>
      <c r="C9" s="84">
        <f t="shared" si="3"/>
        <v>108.33333333337214</v>
      </c>
      <c r="D9" s="3">
        <v>994.8</v>
      </c>
      <c r="E9" s="3">
        <f t="shared" si="0"/>
        <v>0.99479999999999991</v>
      </c>
      <c r="F9" s="85">
        <f t="shared" si="1"/>
        <v>-1.3567355360218016</v>
      </c>
      <c r="G9" s="89">
        <v>10.4</v>
      </c>
      <c r="H9" s="202">
        <f t="shared" si="2"/>
        <v>11.918105468830598</v>
      </c>
      <c r="I9" s="90">
        <v>10.88</v>
      </c>
      <c r="J9" s="88"/>
      <c r="M9" s="91">
        <f>SUM(K12,K25,K36,K49,K70,K91,K107,K123,K151,K180)</f>
        <v>0.77294924748713534</v>
      </c>
    </row>
    <row r="10" spans="1:13" x14ac:dyDescent="0.3">
      <c r="A10" s="82" t="s">
        <v>131</v>
      </c>
      <c r="B10" s="83">
        <v>45734.631944444445</v>
      </c>
      <c r="C10" s="84">
        <f t="shared" si="3"/>
        <v>113.16666666674428</v>
      </c>
      <c r="D10" s="3">
        <v>993.4</v>
      </c>
      <c r="E10" s="3">
        <f t="shared" si="0"/>
        <v>0.99339999999999995</v>
      </c>
      <c r="F10" s="85">
        <f t="shared" si="1"/>
        <v>-1.7228475829570016</v>
      </c>
      <c r="G10" s="89">
        <v>10.3</v>
      </c>
      <c r="H10" s="202">
        <f t="shared" si="2"/>
        <v>12.160895708729061</v>
      </c>
      <c r="I10" s="90">
        <v>11.280000000000001</v>
      </c>
      <c r="J10" s="88">
        <v>11.62552447059435</v>
      </c>
    </row>
    <row r="11" spans="1:13" x14ac:dyDescent="0.3">
      <c r="A11" s="82" t="s">
        <v>132</v>
      </c>
      <c r="B11" s="83">
        <v>45735.385416666664</v>
      </c>
      <c r="C11" s="84">
        <f t="shared" si="3"/>
        <v>131.25</v>
      </c>
      <c r="D11" s="3">
        <v>991.7</v>
      </c>
      <c r="E11" s="3">
        <f t="shared" si="0"/>
        <v>0.99170000000000003</v>
      </c>
      <c r="F11" s="85">
        <f t="shared" si="1"/>
        <v>-2.1686346893151267</v>
      </c>
      <c r="G11" s="89">
        <v>12.8</v>
      </c>
      <c r="H11" s="202">
        <f t="shared" si="2"/>
        <v>12.456523124986925</v>
      </c>
      <c r="I11" s="17">
        <v>12.960000000000003</v>
      </c>
      <c r="J11" s="88">
        <v>11.927506304875491</v>
      </c>
    </row>
    <row r="12" spans="1:13" ht="15" thickBot="1" x14ac:dyDescent="0.35">
      <c r="A12" s="92" t="s">
        <v>133</v>
      </c>
      <c r="B12" s="93">
        <v>45735.618055555555</v>
      </c>
      <c r="C12" s="94">
        <f t="shared" si="3"/>
        <v>136.83333333337214</v>
      </c>
      <c r="D12" s="95">
        <v>990.7</v>
      </c>
      <c r="E12" s="95">
        <f t="shared" si="0"/>
        <v>0.99070000000000003</v>
      </c>
      <c r="F12" s="96">
        <f t="shared" si="1"/>
        <v>-2.431490735740681</v>
      </c>
      <c r="G12" s="95">
        <v>12</v>
      </c>
      <c r="H12" s="96">
        <f t="shared" si="2"/>
        <v>12.630838291900067</v>
      </c>
      <c r="I12" s="97"/>
      <c r="J12" s="195">
        <v>12.23</v>
      </c>
      <c r="K12" s="91">
        <f>(H12-J12)^2</f>
        <v>0.16067133625336336</v>
      </c>
    </row>
    <row r="13" spans="1:13" x14ac:dyDescent="0.3">
      <c r="A13" s="98" t="s">
        <v>134</v>
      </c>
      <c r="B13" s="99">
        <v>45729.916666666664</v>
      </c>
      <c r="C13" s="100">
        <v>0</v>
      </c>
      <c r="D13" s="101">
        <v>1063.0999999999999</v>
      </c>
      <c r="E13" s="101">
        <f t="shared" si="0"/>
        <v>1.0630999999999999</v>
      </c>
      <c r="F13" s="86">
        <f t="shared" si="1"/>
        <v>15.462028520999638</v>
      </c>
      <c r="G13" s="194">
        <v>0.78</v>
      </c>
      <c r="H13" s="86">
        <f>G13</f>
        <v>0.78</v>
      </c>
      <c r="I13" s="102"/>
      <c r="J13" s="103"/>
    </row>
    <row r="14" spans="1:13" x14ac:dyDescent="0.3">
      <c r="A14" s="104" t="s">
        <v>136</v>
      </c>
      <c r="B14" s="83">
        <v>45730.445833333331</v>
      </c>
      <c r="C14" s="84">
        <f>(B14-B13)*24+C13</f>
        <v>12.700000000011642</v>
      </c>
      <c r="D14" s="3">
        <v>1063.7</v>
      </c>
      <c r="E14" s="3">
        <f t="shared" si="0"/>
        <v>1.0637000000000001</v>
      </c>
      <c r="F14" s="85">
        <f t="shared" si="1"/>
        <v>15.601256766683719</v>
      </c>
      <c r="G14" s="3">
        <v>1.3</v>
      </c>
      <c r="H14" s="202">
        <f t="shared" ref="H14:H25" si="4">MAX(0,$G$13+($F$13-F14)*$M$8)</f>
        <v>0.68766963432846828</v>
      </c>
      <c r="I14" s="87"/>
      <c r="J14" s="88"/>
    </row>
    <row r="15" spans="1:13" x14ac:dyDescent="0.3">
      <c r="A15" s="104" t="s">
        <v>139</v>
      </c>
      <c r="B15" s="83">
        <v>45731.458333333336</v>
      </c>
      <c r="C15" s="84">
        <f t="shared" ref="C15:C25" si="5">(B15-B14)*24+C14</f>
        <v>37.000000000116415</v>
      </c>
      <c r="D15" s="3">
        <v>1050.4000000000001</v>
      </c>
      <c r="E15" s="3">
        <f t="shared" si="0"/>
        <v>1.0504</v>
      </c>
      <c r="F15" s="85">
        <f t="shared" si="1"/>
        <v>12.481929383232</v>
      </c>
      <c r="G15" s="3">
        <v>2.25</v>
      </c>
      <c r="H15" s="202">
        <f t="shared" si="4"/>
        <v>2.7562774555950904</v>
      </c>
      <c r="I15" s="87"/>
      <c r="J15" s="88"/>
    </row>
    <row r="16" spans="1:13" x14ac:dyDescent="0.3">
      <c r="A16" s="104" t="s">
        <v>140</v>
      </c>
      <c r="B16" s="83">
        <v>45731.618055555555</v>
      </c>
      <c r="C16" s="84">
        <f t="shared" si="5"/>
        <v>40.833333333372138</v>
      </c>
      <c r="D16" s="3">
        <v>1046.0999999999999</v>
      </c>
      <c r="E16" s="3">
        <f t="shared" si="0"/>
        <v>1.0460999999999998</v>
      </c>
      <c r="F16" s="85">
        <f t="shared" si="1"/>
        <v>11.458359295564264</v>
      </c>
      <c r="G16" s="3">
        <v>1.9</v>
      </c>
      <c r="H16" s="202">
        <f t="shared" si="4"/>
        <v>3.4350664471568066</v>
      </c>
      <c r="I16" s="87"/>
      <c r="J16" s="88"/>
    </row>
    <row r="17" spans="1:11" x14ac:dyDescent="0.3">
      <c r="A17" s="104" t="s">
        <v>141</v>
      </c>
      <c r="B17" s="83">
        <v>45732.46875</v>
      </c>
      <c r="C17" s="84">
        <f t="shared" si="5"/>
        <v>61.250000000058208</v>
      </c>
      <c r="D17" s="3">
        <v>1028</v>
      </c>
      <c r="E17" s="3">
        <f t="shared" si="0"/>
        <v>1.028</v>
      </c>
      <c r="F17" s="85">
        <f t="shared" si="1"/>
        <v>7.0664907529152288</v>
      </c>
      <c r="G17" s="3">
        <v>2.8000000000000003</v>
      </c>
      <c r="H17" s="202">
        <f t="shared" si="4"/>
        <v>6.3475704906552783</v>
      </c>
      <c r="I17" s="87"/>
      <c r="J17" s="88"/>
    </row>
    <row r="18" spans="1:11" x14ac:dyDescent="0.3">
      <c r="A18" s="104" t="s">
        <v>142</v>
      </c>
      <c r="B18" s="83">
        <v>45733.451388888891</v>
      </c>
      <c r="C18" s="84">
        <f t="shared" si="5"/>
        <v>84.833333333430346</v>
      </c>
      <c r="D18" s="3">
        <v>1013.9</v>
      </c>
      <c r="E18" s="3">
        <f t="shared" si="0"/>
        <v>1.0139</v>
      </c>
      <c r="F18" s="85">
        <f t="shared" si="1"/>
        <v>3.5488372775333801</v>
      </c>
      <c r="G18" s="89">
        <v>7.85</v>
      </c>
      <c r="H18" s="202">
        <f t="shared" si="4"/>
        <v>8.6803315628927713</v>
      </c>
      <c r="I18" s="17">
        <v>10.4</v>
      </c>
      <c r="J18" s="88">
        <v>8.0701466967818707</v>
      </c>
    </row>
    <row r="19" spans="1:11" x14ac:dyDescent="0.3">
      <c r="A19" s="104" t="s">
        <v>143</v>
      </c>
      <c r="B19" s="83">
        <v>45733.625</v>
      </c>
      <c r="C19" s="84">
        <f t="shared" si="5"/>
        <v>89.000000000058208</v>
      </c>
      <c r="D19" s="3">
        <v>1009.4</v>
      </c>
      <c r="E19" s="3">
        <f t="shared" si="0"/>
        <v>1.0094000000000001</v>
      </c>
      <c r="F19" s="85">
        <f t="shared" si="1"/>
        <v>2.4078565013917341</v>
      </c>
      <c r="G19" s="89">
        <v>4.8</v>
      </c>
      <c r="H19" s="202">
        <f t="shared" si="4"/>
        <v>9.4369824261406432</v>
      </c>
      <c r="I19" s="17">
        <v>10.440000000000001</v>
      </c>
      <c r="J19" s="88">
        <v>8.8430615315639578</v>
      </c>
    </row>
    <row r="20" spans="1:11" x14ac:dyDescent="0.3">
      <c r="A20" s="104" t="s">
        <v>144</v>
      </c>
      <c r="B20" s="83">
        <v>45734.430555555555</v>
      </c>
      <c r="C20" s="84">
        <f t="shared" si="5"/>
        <v>108.33333333337214</v>
      </c>
      <c r="D20" s="3">
        <v>1002.2</v>
      </c>
      <c r="E20" s="3">
        <f t="shared" si="0"/>
        <v>1.0022</v>
      </c>
      <c r="F20" s="85">
        <f t="shared" si="1"/>
        <v>0.56344706212325946</v>
      </c>
      <c r="G20" s="89">
        <v>7.05</v>
      </c>
      <c r="H20" s="202">
        <f t="shared" si="4"/>
        <v>10.660117840502579</v>
      </c>
      <c r="I20" s="17">
        <v>9.7200000000000006</v>
      </c>
      <c r="J20" s="88">
        <v>10.092487855680865</v>
      </c>
    </row>
    <row r="21" spans="1:11" x14ac:dyDescent="0.3">
      <c r="A21" s="104" t="s">
        <v>145</v>
      </c>
      <c r="B21" s="83">
        <v>45734.631944444445</v>
      </c>
      <c r="C21" s="84">
        <f t="shared" si="5"/>
        <v>113.16666666674428</v>
      </c>
      <c r="D21" s="3">
        <v>1000.3</v>
      </c>
      <c r="E21" s="3">
        <f t="shared" si="0"/>
        <v>1.0003</v>
      </c>
      <c r="F21" s="85">
        <f t="shared" si="1"/>
        <v>7.2818107764419437E-2</v>
      </c>
      <c r="G21" s="89">
        <v>5.3999999999999995</v>
      </c>
      <c r="H21" s="202">
        <f t="shared" si="4"/>
        <v>10.985482500111823</v>
      </c>
      <c r="I21" s="17">
        <v>3.6399999999999997</v>
      </c>
      <c r="J21" s="88">
        <v>10.424846125975241</v>
      </c>
    </row>
    <row r="22" spans="1:11" x14ac:dyDescent="0.3">
      <c r="A22" s="104" t="s">
        <v>146</v>
      </c>
      <c r="B22" s="83">
        <v>45735.385416666664</v>
      </c>
      <c r="C22" s="84">
        <f t="shared" si="5"/>
        <v>131.25</v>
      </c>
      <c r="D22" s="3">
        <v>997.1</v>
      </c>
      <c r="E22" s="3">
        <f t="shared" si="0"/>
        <v>0.99709999999999999</v>
      </c>
      <c r="F22" s="85">
        <f t="shared" si="1"/>
        <v>-0.75723141815740291</v>
      </c>
      <c r="G22" s="89">
        <v>7.3</v>
      </c>
      <c r="H22" s="202">
        <f t="shared" si="4"/>
        <v>11.535936726388169</v>
      </c>
      <c r="I22" s="105">
        <v>-1.2</v>
      </c>
      <c r="J22" s="88">
        <v>10.987132192142203</v>
      </c>
    </row>
    <row r="23" spans="1:11" x14ac:dyDescent="0.3">
      <c r="A23" s="104" t="s">
        <v>137</v>
      </c>
      <c r="B23" s="83">
        <v>45735.618055555555</v>
      </c>
      <c r="C23" s="84">
        <f t="shared" si="5"/>
        <v>136.83333333337214</v>
      </c>
      <c r="D23" s="3">
        <v>995.1</v>
      </c>
      <c r="E23" s="3">
        <f t="shared" si="0"/>
        <v>0.99509999999999998</v>
      </c>
      <c r="F23" s="85">
        <f t="shared" si="1"/>
        <v>-1.2784009424664191</v>
      </c>
      <c r="G23" s="89">
        <v>7.05</v>
      </c>
      <c r="H23" s="202">
        <f t="shared" si="4"/>
        <v>11.881554618216651</v>
      </c>
      <c r="I23" s="17">
        <v>10.760000000000002</v>
      </c>
      <c r="J23" s="88">
        <v>11.340179031491191</v>
      </c>
    </row>
    <row r="24" spans="1:11" x14ac:dyDescent="0.3">
      <c r="A24" s="104" t="s">
        <v>138</v>
      </c>
      <c r="B24" s="83">
        <v>45736.416666666664</v>
      </c>
      <c r="C24" s="84">
        <f t="shared" si="5"/>
        <v>156</v>
      </c>
      <c r="D24" s="3">
        <v>994</v>
      </c>
      <c r="E24" s="3">
        <f t="shared" si="0"/>
        <v>0.99399999999999999</v>
      </c>
      <c r="F24" s="85">
        <f t="shared" si="1"/>
        <v>-1.5658312761817115</v>
      </c>
      <c r="G24" s="89">
        <v>7.85</v>
      </c>
      <c r="H24" s="202">
        <f t="shared" si="4"/>
        <v>12.072166427527538</v>
      </c>
      <c r="I24" s="105">
        <v>-1.2</v>
      </c>
      <c r="J24" s="88">
        <v>11.53488798149311</v>
      </c>
    </row>
    <row r="25" spans="1:11" ht="15" thickBot="1" x14ac:dyDescent="0.35">
      <c r="A25" s="106" t="s">
        <v>147</v>
      </c>
      <c r="B25" s="107">
        <v>45737.416666666664</v>
      </c>
      <c r="C25" s="108">
        <f t="shared" si="5"/>
        <v>180</v>
      </c>
      <c r="D25" s="109">
        <v>994</v>
      </c>
      <c r="E25" s="109">
        <f t="shared" si="0"/>
        <v>0.99399999999999999</v>
      </c>
      <c r="F25" s="110">
        <f t="shared" si="1"/>
        <v>-1.5658312761817115</v>
      </c>
      <c r="G25" s="109">
        <v>12.1</v>
      </c>
      <c r="H25" s="110">
        <f t="shared" si="4"/>
        <v>12.072166427527538</v>
      </c>
      <c r="I25" s="111"/>
      <c r="J25" s="199">
        <v>12.24</v>
      </c>
      <c r="K25" s="91">
        <f>(H25-J25)^2</f>
        <v>2.8168108048869229E-2</v>
      </c>
    </row>
    <row r="26" spans="1:11" x14ac:dyDescent="0.3">
      <c r="A26" s="112" t="s">
        <v>148</v>
      </c>
      <c r="B26" s="113">
        <v>45729.916666666664</v>
      </c>
      <c r="C26" s="114">
        <v>0</v>
      </c>
      <c r="D26" s="115">
        <v>1063.3</v>
      </c>
      <c r="E26" s="115">
        <f t="shared" si="0"/>
        <v>1.0632999999999999</v>
      </c>
      <c r="F26" s="116">
        <f t="shared" si="1"/>
        <v>15.508453425518496</v>
      </c>
      <c r="G26" s="197">
        <v>0.78</v>
      </c>
      <c r="H26" s="86">
        <f>G26</f>
        <v>0.78</v>
      </c>
      <c r="I26" s="117"/>
      <c r="J26" s="118"/>
    </row>
    <row r="27" spans="1:11" x14ac:dyDescent="0.3">
      <c r="A27" s="104" t="s">
        <v>150</v>
      </c>
      <c r="B27" s="83">
        <v>45730.445833333331</v>
      </c>
      <c r="C27" s="84">
        <f>(B27-B26)*24+C26</f>
        <v>12.700000000011642</v>
      </c>
      <c r="D27" s="3">
        <v>1062.5999999999999</v>
      </c>
      <c r="E27" s="3">
        <f t="shared" si="0"/>
        <v>1.0626</v>
      </c>
      <c r="F27" s="85">
        <f t="shared" si="1"/>
        <v>15.345898423808308</v>
      </c>
      <c r="G27" s="3">
        <v>0.65</v>
      </c>
      <c r="H27" s="202">
        <f t="shared" ref="H27:H36" si="6">MAX(0,$G$26+($F$26-F27)*$M$8)</f>
        <v>0.88779969736668396</v>
      </c>
      <c r="I27" s="87"/>
      <c r="J27" s="88"/>
    </row>
    <row r="28" spans="1:11" x14ac:dyDescent="0.3">
      <c r="A28" s="104" t="s">
        <v>151</v>
      </c>
      <c r="B28" s="83">
        <v>45731.458333333336</v>
      </c>
      <c r="C28" s="84">
        <f t="shared" ref="C28:C36" si="7">(B28-B27)*24+C27</f>
        <v>37.000000000116415</v>
      </c>
      <c r="D28" s="3">
        <v>1040.4000000000001</v>
      </c>
      <c r="E28" s="3">
        <f t="shared" si="0"/>
        <v>1.0404</v>
      </c>
      <c r="F28" s="85">
        <f t="shared" si="1"/>
        <v>10.089944418815435</v>
      </c>
      <c r="G28" s="3">
        <v>2.8999999999999995</v>
      </c>
      <c r="H28" s="202">
        <f t="shared" si="6"/>
        <v>4.373329180621762</v>
      </c>
      <c r="I28" s="87"/>
      <c r="J28" s="88"/>
    </row>
    <row r="29" spans="1:11" x14ac:dyDescent="0.3">
      <c r="A29" s="104" t="s">
        <v>152</v>
      </c>
      <c r="B29" s="83">
        <v>45731.618055555555</v>
      </c>
      <c r="C29" s="84">
        <f t="shared" si="7"/>
        <v>40.833333333372138</v>
      </c>
      <c r="D29" s="3">
        <v>1036.8</v>
      </c>
      <c r="E29" s="3">
        <f t="shared" si="0"/>
        <v>1.0367999999999999</v>
      </c>
      <c r="F29" s="85">
        <f t="shared" si="1"/>
        <v>9.2187920577503064</v>
      </c>
      <c r="G29" s="3">
        <v>3.5</v>
      </c>
      <c r="H29" s="202">
        <f t="shared" si="6"/>
        <v>4.9510410928674427</v>
      </c>
      <c r="I29" s="87"/>
      <c r="J29" s="88"/>
    </row>
    <row r="30" spans="1:11" x14ac:dyDescent="0.3">
      <c r="A30" s="104" t="s">
        <v>153</v>
      </c>
      <c r="B30" s="83">
        <v>45732.46875</v>
      </c>
      <c r="C30" s="84">
        <f t="shared" si="7"/>
        <v>61.250000000058208</v>
      </c>
      <c r="D30" s="3">
        <v>1016.4</v>
      </c>
      <c r="E30" s="3">
        <f t="shared" si="0"/>
        <v>1.0164</v>
      </c>
      <c r="F30" s="85">
        <f t="shared" si="1"/>
        <v>4.1788469691551882</v>
      </c>
      <c r="G30" s="3">
        <v>7.65</v>
      </c>
      <c r="H30" s="202">
        <f t="shared" si="6"/>
        <v>8.2933224719657606</v>
      </c>
      <c r="I30" s="87"/>
      <c r="J30" s="88"/>
    </row>
    <row r="31" spans="1:11" x14ac:dyDescent="0.3">
      <c r="A31" s="104" t="s">
        <v>154</v>
      </c>
      <c r="B31" s="83">
        <v>45733.451388888891</v>
      </c>
      <c r="C31" s="84">
        <f t="shared" si="7"/>
        <v>84.833333333430346</v>
      </c>
      <c r="D31" s="3">
        <v>1002.2</v>
      </c>
      <c r="E31" s="3">
        <f t="shared" si="0"/>
        <v>1.0022</v>
      </c>
      <c r="F31" s="85">
        <f t="shared" si="1"/>
        <v>0.56344706212325946</v>
      </c>
      <c r="G31" s="3">
        <v>9.35</v>
      </c>
      <c r="H31" s="202">
        <f t="shared" si="6"/>
        <v>10.690904900911416</v>
      </c>
      <c r="I31" s="87"/>
      <c r="J31" s="88"/>
    </row>
    <row r="32" spans="1:11" x14ac:dyDescent="0.3">
      <c r="A32" s="104" t="s">
        <v>155</v>
      </c>
      <c r="B32" s="83">
        <v>45733.625</v>
      </c>
      <c r="C32" s="84">
        <f t="shared" si="7"/>
        <v>89.000000000058208</v>
      </c>
      <c r="D32" s="3">
        <v>998.6</v>
      </c>
      <c r="E32" s="3">
        <f t="shared" si="0"/>
        <v>0.99860000000000004</v>
      </c>
      <c r="F32" s="85">
        <f t="shared" si="1"/>
        <v>-0.36756167219846247</v>
      </c>
      <c r="G32" s="89">
        <v>8.5500000000000007</v>
      </c>
      <c r="H32" s="202">
        <f t="shared" si="6"/>
        <v>11.308311063439422</v>
      </c>
      <c r="I32" s="17">
        <v>11.4</v>
      </c>
      <c r="J32" s="88">
        <v>10.754613787398696</v>
      </c>
    </row>
    <row r="33" spans="1:11" x14ac:dyDescent="0.3">
      <c r="A33" s="104" t="s">
        <v>157</v>
      </c>
      <c r="B33" s="83">
        <v>45734.430555555555</v>
      </c>
      <c r="C33" s="84">
        <f t="shared" si="7"/>
        <v>108.33333333337214</v>
      </c>
      <c r="D33" s="3">
        <v>995.1</v>
      </c>
      <c r="E33" s="3">
        <f t="shared" si="0"/>
        <v>0.99509999999999998</v>
      </c>
      <c r="F33" s="85">
        <f t="shared" si="1"/>
        <v>-1.2784009424664191</v>
      </c>
      <c r="G33" s="89">
        <v>10</v>
      </c>
      <c r="H33" s="202">
        <f t="shared" si="6"/>
        <v>11.912341678625486</v>
      </c>
      <c r="I33" s="17">
        <v>10.96</v>
      </c>
      <c r="J33" s="88">
        <v>11.371627850048245</v>
      </c>
    </row>
    <row r="34" spans="1:11" x14ac:dyDescent="0.3">
      <c r="A34" s="104" t="s">
        <v>158</v>
      </c>
      <c r="B34" s="83">
        <v>45734.631944444445</v>
      </c>
      <c r="C34" s="84">
        <f t="shared" si="7"/>
        <v>113.16666666674428</v>
      </c>
      <c r="D34" s="3">
        <v>993.6</v>
      </c>
      <c r="E34" s="3">
        <f t="shared" si="0"/>
        <v>0.99360000000000004</v>
      </c>
      <c r="F34" s="85">
        <f t="shared" si="1"/>
        <v>-1.6704902725483635</v>
      </c>
      <c r="G34" s="89">
        <v>11.95</v>
      </c>
      <c r="H34" s="202">
        <f t="shared" si="6"/>
        <v>12.172358969258569</v>
      </c>
      <c r="I34" s="17">
        <v>9.64</v>
      </c>
      <c r="J34" s="88">
        <v>11.637234130291555</v>
      </c>
    </row>
    <row r="35" spans="1:11" x14ac:dyDescent="0.3">
      <c r="A35" s="104" t="s">
        <v>159</v>
      </c>
      <c r="B35" s="83">
        <v>45735.385416666664</v>
      </c>
      <c r="C35" s="84">
        <f t="shared" si="7"/>
        <v>131.25</v>
      </c>
      <c r="D35" s="3">
        <v>991.5</v>
      </c>
      <c r="E35" s="3">
        <f t="shared" si="0"/>
        <v>0.99150000000000005</v>
      </c>
      <c r="F35" s="85">
        <f t="shared" si="1"/>
        <v>-2.2211686083589939</v>
      </c>
      <c r="G35" s="89">
        <v>11.65</v>
      </c>
      <c r="H35" s="202">
        <f t="shared" si="6"/>
        <v>12.537545874135299</v>
      </c>
      <c r="I35" s="17">
        <v>13.280000000000001</v>
      </c>
      <c r="J35" s="88">
        <v>12.010270612448997</v>
      </c>
    </row>
    <row r="36" spans="1:11" ht="15" thickBot="1" x14ac:dyDescent="0.35">
      <c r="A36" s="119" t="s">
        <v>401</v>
      </c>
      <c r="B36" s="93">
        <v>45735.618055555555</v>
      </c>
      <c r="C36" s="94">
        <f t="shared" si="7"/>
        <v>136.83333333337214</v>
      </c>
      <c r="D36" s="95">
        <v>990.6</v>
      </c>
      <c r="E36" s="95">
        <f t="shared" si="0"/>
        <v>0.99060000000000004</v>
      </c>
      <c r="F36" s="96">
        <f t="shared" si="1"/>
        <v>-2.4578019954875572</v>
      </c>
      <c r="G36" s="95">
        <v>11.9</v>
      </c>
      <c r="H36" s="96">
        <f t="shared" si="6"/>
        <v>12.69447126708501</v>
      </c>
      <c r="I36" s="97"/>
      <c r="J36" s="195">
        <v>12.19</v>
      </c>
      <c r="K36" s="91">
        <f>(H36-J36)^2</f>
        <v>0.25449125931435618</v>
      </c>
    </row>
    <row r="37" spans="1:11" x14ac:dyDescent="0.3">
      <c r="A37" s="98" t="s">
        <v>161</v>
      </c>
      <c r="B37" s="99">
        <v>45729.916666666664</v>
      </c>
      <c r="C37" s="100">
        <v>0</v>
      </c>
      <c r="D37" s="101">
        <v>1062.2</v>
      </c>
      <c r="E37" s="101">
        <f t="shared" si="0"/>
        <v>1.0622</v>
      </c>
      <c r="F37" s="86">
        <f t="shared" si="1"/>
        <v>15.252924499738128</v>
      </c>
      <c r="G37" s="194">
        <v>0.78</v>
      </c>
      <c r="H37" s="86">
        <f>G37</f>
        <v>0.78</v>
      </c>
      <c r="I37" s="102"/>
      <c r="J37" s="103"/>
    </row>
    <row r="38" spans="1:11" x14ac:dyDescent="0.3">
      <c r="A38" s="104" t="s">
        <v>163</v>
      </c>
      <c r="B38" s="83">
        <v>45730.445833333331</v>
      </c>
      <c r="C38" s="84">
        <f>(B38-B37)*24+C37</f>
        <v>12.700000000011642</v>
      </c>
      <c r="D38" s="3">
        <v>1062</v>
      </c>
      <c r="E38" s="3">
        <f t="shared" si="0"/>
        <v>1.0620000000000001</v>
      </c>
      <c r="F38" s="85">
        <f t="shared" si="1"/>
        <v>15.206414231512667</v>
      </c>
      <c r="G38" s="3">
        <v>1.4000000000000001</v>
      </c>
      <c r="H38" s="202">
        <f t="shared" ref="H38:H49" si="8">MAX(0,$G$37+($F$37-F38)*$M$8)</f>
        <v>0.81084367005874625</v>
      </c>
      <c r="I38" s="87"/>
      <c r="J38" s="88"/>
    </row>
    <row r="39" spans="1:11" x14ac:dyDescent="0.3">
      <c r="A39" s="104" t="s">
        <v>166</v>
      </c>
      <c r="B39" s="83">
        <v>45731.458333333336</v>
      </c>
      <c r="C39" s="84">
        <f t="shared" ref="C39:C49" si="9">(B39-B38)*24+C38</f>
        <v>37.000000000116415</v>
      </c>
      <c r="D39" s="3">
        <v>1051.9000000000001</v>
      </c>
      <c r="E39" s="3">
        <f t="shared" si="0"/>
        <v>1.0519000000000001</v>
      </c>
      <c r="F39" s="85">
        <f t="shared" si="1"/>
        <v>12.837238061065023</v>
      </c>
      <c r="G39" s="3">
        <v>2.35</v>
      </c>
      <c r="H39" s="202">
        <f t="shared" si="8"/>
        <v>2.3819824938148386</v>
      </c>
      <c r="I39" s="87"/>
      <c r="J39" s="88"/>
    </row>
    <row r="40" spans="1:11" x14ac:dyDescent="0.3">
      <c r="A40" s="104" t="s">
        <v>167</v>
      </c>
      <c r="B40" s="83">
        <v>45731.618055555555</v>
      </c>
      <c r="C40" s="84">
        <f t="shared" si="9"/>
        <v>40.833333333372138</v>
      </c>
      <c r="D40" s="3">
        <v>1048.3</v>
      </c>
      <c r="E40" s="3">
        <f t="shared" si="0"/>
        <v>1.0483</v>
      </c>
      <c r="F40" s="85">
        <f t="shared" si="1"/>
        <v>11.982979010049917</v>
      </c>
      <c r="G40" s="3">
        <v>2.5</v>
      </c>
      <c r="H40" s="202">
        <f t="shared" si="8"/>
        <v>2.9484914674135698</v>
      </c>
      <c r="I40" s="87"/>
      <c r="J40" s="88"/>
    </row>
    <row r="41" spans="1:11" x14ac:dyDescent="0.3">
      <c r="A41" s="104" t="s">
        <v>168</v>
      </c>
      <c r="B41" s="83">
        <v>45732.46875</v>
      </c>
      <c r="C41" s="84">
        <f t="shared" si="9"/>
        <v>61.250000000058208</v>
      </c>
      <c r="D41" s="3">
        <v>1030</v>
      </c>
      <c r="E41" s="3">
        <f t="shared" si="0"/>
        <v>1.03</v>
      </c>
      <c r="F41" s="85">
        <f t="shared" si="1"/>
        <v>7.5585198026999478</v>
      </c>
      <c r="G41" s="3">
        <v>5.25</v>
      </c>
      <c r="H41" s="202">
        <f t="shared" si="8"/>
        <v>5.8826082804655941</v>
      </c>
      <c r="I41" s="87"/>
      <c r="J41" s="88"/>
    </row>
    <row r="42" spans="1:11" x14ac:dyDescent="0.3">
      <c r="A42" s="104" t="s">
        <v>170</v>
      </c>
      <c r="B42" s="83">
        <v>45733.451388888891</v>
      </c>
      <c r="C42" s="84">
        <f t="shared" si="9"/>
        <v>84.833333333430346</v>
      </c>
      <c r="D42" s="3">
        <v>1015.3</v>
      </c>
      <c r="E42" s="3">
        <f t="shared" si="0"/>
        <v>1.0152999999999999</v>
      </c>
      <c r="F42" s="85">
        <f t="shared" si="1"/>
        <v>3.9019814765356386</v>
      </c>
      <c r="G42" s="3">
        <v>7.4</v>
      </c>
      <c r="H42" s="202">
        <f t="shared" si="8"/>
        <v>8.3074719931980177</v>
      </c>
      <c r="I42" s="87"/>
      <c r="J42" s="88"/>
    </row>
    <row r="43" spans="1:11" x14ac:dyDescent="0.3">
      <c r="A43" s="104" t="s">
        <v>171</v>
      </c>
      <c r="B43" s="83">
        <v>45733.625</v>
      </c>
      <c r="C43" s="84">
        <f t="shared" si="9"/>
        <v>89.000000000058208</v>
      </c>
      <c r="D43" s="3">
        <v>1010.8</v>
      </c>
      <c r="E43" s="3">
        <f t="shared" si="0"/>
        <v>1.0107999999999999</v>
      </c>
      <c r="F43" s="85">
        <f t="shared" si="1"/>
        <v>2.7637921252255637</v>
      </c>
      <c r="G43" s="89">
        <v>3.4</v>
      </c>
      <c r="H43" s="202">
        <f t="shared" si="8"/>
        <v>9.0622716999210251</v>
      </c>
      <c r="I43" s="17">
        <v>10.48</v>
      </c>
      <c r="J43" s="88">
        <v>8.4602965165292296</v>
      </c>
    </row>
    <row r="44" spans="1:11" x14ac:dyDescent="0.3">
      <c r="A44" s="104" t="s">
        <v>173</v>
      </c>
      <c r="B44" s="83">
        <v>45734.430555555555</v>
      </c>
      <c r="C44" s="84">
        <f t="shared" si="9"/>
        <v>108.33333333337214</v>
      </c>
      <c r="D44" s="3">
        <v>1003.5</v>
      </c>
      <c r="E44" s="3">
        <f t="shared" si="0"/>
        <v>1.0035000000000001</v>
      </c>
      <c r="F44" s="85">
        <f t="shared" si="1"/>
        <v>0.89819537592677534</v>
      </c>
      <c r="G44" s="89">
        <v>4.3999999999999995</v>
      </c>
      <c r="H44" s="202">
        <f t="shared" si="8"/>
        <v>10.299457654624709</v>
      </c>
      <c r="I44" s="17">
        <v>11</v>
      </c>
      <c r="J44" s="88">
        <v>9.7240753929186958</v>
      </c>
    </row>
    <row r="45" spans="1:11" x14ac:dyDescent="0.3">
      <c r="A45" s="104" t="s">
        <v>174</v>
      </c>
      <c r="B45" s="83">
        <v>45734.631944444445</v>
      </c>
      <c r="C45" s="84">
        <f t="shared" si="9"/>
        <v>113.16666666674428</v>
      </c>
      <c r="D45" s="3">
        <v>1002.2</v>
      </c>
      <c r="E45" s="3">
        <f t="shared" si="0"/>
        <v>1.0022</v>
      </c>
      <c r="F45" s="85">
        <f t="shared" si="1"/>
        <v>0.56344706212325946</v>
      </c>
      <c r="G45" s="89">
        <v>5.7999999999999989</v>
      </c>
      <c r="H45" s="202">
        <f t="shared" si="8"/>
        <v>10.521448774814061</v>
      </c>
      <c r="I45" s="17">
        <v>10.24</v>
      </c>
      <c r="J45" s="88">
        <v>9.9508381421842511</v>
      </c>
    </row>
    <row r="46" spans="1:11" x14ac:dyDescent="0.3">
      <c r="A46" s="104" t="s">
        <v>175</v>
      </c>
      <c r="B46" s="83">
        <v>45735.385416666664</v>
      </c>
      <c r="C46" s="84">
        <f t="shared" si="9"/>
        <v>131.25</v>
      </c>
      <c r="D46" s="3">
        <v>997.4</v>
      </c>
      <c r="E46" s="3">
        <f t="shared" si="0"/>
        <v>0.99739999999999995</v>
      </c>
      <c r="F46" s="85">
        <f t="shared" si="1"/>
        <v>-0.67921482708686653</v>
      </c>
      <c r="G46" s="89">
        <v>7.2</v>
      </c>
      <c r="H46" s="202">
        <f t="shared" si="8"/>
        <v>11.345530311380935</v>
      </c>
      <c r="I46" s="17">
        <v>2.4800000000000004</v>
      </c>
      <c r="J46" s="88">
        <v>10.792633051329682</v>
      </c>
    </row>
    <row r="47" spans="1:11" x14ac:dyDescent="0.3">
      <c r="A47" s="104" t="s">
        <v>164</v>
      </c>
      <c r="B47" s="83">
        <v>45735.618055555555</v>
      </c>
      <c r="C47" s="84">
        <f t="shared" si="9"/>
        <v>136.83333333337214</v>
      </c>
      <c r="D47" s="3">
        <v>995.3</v>
      </c>
      <c r="E47" s="3">
        <f t="shared" si="0"/>
        <v>0.99529999999999996</v>
      </c>
      <c r="F47" s="85">
        <f t="shared" si="1"/>
        <v>-1.2262009803170031</v>
      </c>
      <c r="G47" s="89">
        <v>5.35</v>
      </c>
      <c r="H47" s="202">
        <f t="shared" si="8"/>
        <v>11.708268714762095</v>
      </c>
      <c r="I47" s="17">
        <v>12.48</v>
      </c>
      <c r="J47" s="88">
        <v>11.163168402224564</v>
      </c>
    </row>
    <row r="48" spans="1:11" x14ac:dyDescent="0.3">
      <c r="A48" s="104" t="s">
        <v>165</v>
      </c>
      <c r="B48" s="83">
        <v>45736.416666666664</v>
      </c>
      <c r="C48" s="84">
        <f t="shared" si="9"/>
        <v>156</v>
      </c>
      <c r="D48" s="3">
        <v>994.6</v>
      </c>
      <c r="E48" s="3">
        <f t="shared" si="0"/>
        <v>0.99460000000000004</v>
      </c>
      <c r="F48" s="85">
        <f t="shared" si="1"/>
        <v>-1.4089817113850813</v>
      </c>
      <c r="G48" s="89">
        <v>6.45</v>
      </c>
      <c r="H48" s="202">
        <f t="shared" si="8"/>
        <v>11.829481272273728</v>
      </c>
      <c r="I48" s="17">
        <v>11.84</v>
      </c>
      <c r="J48" s="88">
        <v>11.286986385409667</v>
      </c>
    </row>
    <row r="49" spans="1:11" ht="15" thickBot="1" x14ac:dyDescent="0.35">
      <c r="A49" s="119" t="s">
        <v>176</v>
      </c>
      <c r="B49" s="93">
        <v>45737.416666666664</v>
      </c>
      <c r="C49" s="94">
        <f t="shared" si="9"/>
        <v>180</v>
      </c>
      <c r="D49" s="95">
        <v>994.6</v>
      </c>
      <c r="E49" s="95">
        <f t="shared" si="0"/>
        <v>0.99460000000000004</v>
      </c>
      <c r="F49" s="96">
        <f t="shared" si="1"/>
        <v>-1.4089817113850813</v>
      </c>
      <c r="G49" s="95">
        <v>11.9</v>
      </c>
      <c r="H49" s="96">
        <f t="shared" si="8"/>
        <v>11.829481272273728</v>
      </c>
      <c r="I49" s="97"/>
      <c r="J49" s="195">
        <v>12.27</v>
      </c>
      <c r="K49" s="91">
        <f>(H49-J49)^2</f>
        <v>0.19405674947757268</v>
      </c>
    </row>
    <row r="50" spans="1:11" x14ac:dyDescent="0.3">
      <c r="A50" s="98" t="s">
        <v>199</v>
      </c>
      <c r="B50" s="99">
        <v>45741.75</v>
      </c>
      <c r="C50" s="100">
        <v>0</v>
      </c>
      <c r="D50" s="101">
        <v>1061.0999999999999</v>
      </c>
      <c r="E50" s="101">
        <f t="shared" si="0"/>
        <v>1.0610999999999999</v>
      </c>
      <c r="F50" s="86">
        <f t="shared" si="1"/>
        <v>14.996925477474065</v>
      </c>
      <c r="G50" s="194">
        <v>1.04</v>
      </c>
      <c r="H50" s="86">
        <f>G50</f>
        <v>1.04</v>
      </c>
      <c r="I50" s="102"/>
      <c r="J50" s="200"/>
    </row>
    <row r="51" spans="1:11" x14ac:dyDescent="0.3">
      <c r="A51" s="104" t="s">
        <v>177</v>
      </c>
      <c r="B51" s="83">
        <v>45741.770833333336</v>
      </c>
      <c r="C51" s="84">
        <f>(B51-B50)*24+C50</f>
        <v>0.50000000005820766</v>
      </c>
      <c r="D51" s="3">
        <v>1061.0999999999999</v>
      </c>
      <c r="E51" s="3">
        <f t="shared" si="0"/>
        <v>1.0610999999999999</v>
      </c>
      <c r="F51" s="85">
        <f t="shared" si="1"/>
        <v>14.996925477474065</v>
      </c>
      <c r="G51" s="3">
        <v>0</v>
      </c>
      <c r="H51" s="202">
        <f t="shared" ref="H51:H70" si="10">MAX(0,$G$50+($F$50-F51)*$M$8)</f>
        <v>1.04</v>
      </c>
      <c r="I51" s="87"/>
      <c r="J51" s="88"/>
    </row>
    <row r="52" spans="1:11" x14ac:dyDescent="0.3">
      <c r="A52" s="104" t="s">
        <v>179</v>
      </c>
      <c r="B52" s="83">
        <v>45742.375</v>
      </c>
      <c r="C52" s="84">
        <f t="shared" ref="C52:C70" si="11">(B52-B51)*24+C51</f>
        <v>15</v>
      </c>
      <c r="D52" s="3">
        <v>1059.8</v>
      </c>
      <c r="E52" s="3">
        <f t="shared" si="0"/>
        <v>1.0597999999999999</v>
      </c>
      <c r="F52" s="85">
        <f t="shared" si="1"/>
        <v>14.693773111165115</v>
      </c>
      <c r="G52" s="3">
        <v>1.2000000000000002</v>
      </c>
      <c r="H52" s="202">
        <f t="shared" si="10"/>
        <v>1.2410380055998649</v>
      </c>
      <c r="I52" s="87"/>
      <c r="J52" s="88"/>
    </row>
    <row r="53" spans="1:11" x14ac:dyDescent="0.3">
      <c r="A53" s="104" t="s">
        <v>190</v>
      </c>
      <c r="B53" s="83">
        <v>45742.625</v>
      </c>
      <c r="C53" s="84">
        <f t="shared" si="11"/>
        <v>21</v>
      </c>
      <c r="D53" s="3">
        <v>1058.2</v>
      </c>
      <c r="E53" s="3">
        <f t="shared" si="0"/>
        <v>1.0582</v>
      </c>
      <c r="F53" s="85">
        <f t="shared" si="1"/>
        <v>14.319754814846988</v>
      </c>
      <c r="G53" s="89">
        <v>3.7</v>
      </c>
      <c r="H53" s="202">
        <f t="shared" si="10"/>
        <v>1.4890713403389562</v>
      </c>
      <c r="I53" s="17">
        <v>5.04</v>
      </c>
      <c r="J53" s="88"/>
    </row>
    <row r="54" spans="1:11" x14ac:dyDescent="0.3">
      <c r="A54" s="104" t="s">
        <v>191</v>
      </c>
      <c r="B54" s="83">
        <v>45742.75</v>
      </c>
      <c r="C54" s="84">
        <f t="shared" si="11"/>
        <v>24</v>
      </c>
      <c r="D54" s="3">
        <v>1058.2</v>
      </c>
      <c r="E54" s="3">
        <f t="shared" si="0"/>
        <v>1.0582</v>
      </c>
      <c r="F54" s="85">
        <f t="shared" si="1"/>
        <v>14.319754814846988</v>
      </c>
      <c r="G54" s="3">
        <v>1.3499999999999999</v>
      </c>
      <c r="H54" s="202">
        <f t="shared" si="10"/>
        <v>1.4890713403389562</v>
      </c>
      <c r="I54" s="17"/>
      <c r="J54" s="88"/>
    </row>
    <row r="55" spans="1:11" x14ac:dyDescent="0.3">
      <c r="A55" s="104" t="s">
        <v>192</v>
      </c>
      <c r="B55" s="83">
        <v>45743.416666666664</v>
      </c>
      <c r="C55" s="84">
        <f t="shared" si="11"/>
        <v>39.999999999941792</v>
      </c>
      <c r="D55" s="3">
        <v>1052.2</v>
      </c>
      <c r="E55" s="3">
        <f t="shared" si="0"/>
        <v>1.0522</v>
      </c>
      <c r="F55" s="85">
        <f t="shared" si="1"/>
        <v>12.908191736305753</v>
      </c>
      <c r="G55" s="3">
        <v>1.9499999999999997</v>
      </c>
      <c r="H55" s="202">
        <f t="shared" si="10"/>
        <v>2.4251611012189032</v>
      </c>
      <c r="I55" s="17"/>
      <c r="J55" s="88"/>
    </row>
    <row r="56" spans="1:11" x14ac:dyDescent="0.3">
      <c r="A56" s="104" t="s">
        <v>193</v>
      </c>
      <c r="B56" s="83">
        <v>45743.604166666664</v>
      </c>
      <c r="C56" s="84">
        <f t="shared" si="11"/>
        <v>44.499999999941792</v>
      </c>
      <c r="D56" s="3">
        <v>1049.2</v>
      </c>
      <c r="E56" s="3">
        <f t="shared" si="0"/>
        <v>1.0492000000000001</v>
      </c>
      <c r="F56" s="85">
        <f t="shared" si="1"/>
        <v>12.197032305498055</v>
      </c>
      <c r="G56" s="3">
        <v>1.5</v>
      </c>
      <c r="H56" s="202">
        <f t="shared" si="10"/>
        <v>2.8967723750276986</v>
      </c>
      <c r="I56" s="17"/>
      <c r="J56" s="88"/>
    </row>
    <row r="57" spans="1:11" x14ac:dyDescent="0.3">
      <c r="A57" s="104" t="s">
        <v>194</v>
      </c>
      <c r="B57" s="83">
        <v>45743.694444444445</v>
      </c>
      <c r="C57" s="84">
        <f t="shared" si="11"/>
        <v>46.666666666686069</v>
      </c>
      <c r="D57" s="3">
        <v>1048.2</v>
      </c>
      <c r="E57" s="3">
        <f t="shared" si="0"/>
        <v>1.0482</v>
      </c>
      <c r="F57" s="85">
        <f t="shared" si="1"/>
        <v>11.959175138819319</v>
      </c>
      <c r="G57" s="3">
        <v>1.65</v>
      </c>
      <c r="H57" s="202">
        <f t="shared" si="10"/>
        <v>3.0545093275342641</v>
      </c>
      <c r="I57" s="17"/>
      <c r="J57" s="88"/>
    </row>
    <row r="58" spans="1:11" x14ac:dyDescent="0.3">
      <c r="A58" s="104" t="s">
        <v>195</v>
      </c>
      <c r="B58" s="83">
        <v>45744.416666666664</v>
      </c>
      <c r="C58" s="84">
        <f t="shared" si="11"/>
        <v>63.999999999941792</v>
      </c>
      <c r="D58" s="3">
        <v>1037.2</v>
      </c>
      <c r="E58" s="3">
        <f t="shared" si="0"/>
        <v>1.0372000000000001</v>
      </c>
      <c r="F58" s="85">
        <f t="shared" si="1"/>
        <v>9.3158522728421076</v>
      </c>
      <c r="G58" s="89">
        <v>3.9</v>
      </c>
      <c r="H58" s="202">
        <f t="shared" si="10"/>
        <v>4.8074508057842005</v>
      </c>
      <c r="I58" s="17">
        <v>6.9599999999999991</v>
      </c>
      <c r="J58" s="88"/>
    </row>
    <row r="59" spans="1:11" x14ac:dyDescent="0.3">
      <c r="A59" s="104" t="s">
        <v>196</v>
      </c>
      <c r="B59" s="83">
        <v>45744.604166666664</v>
      </c>
      <c r="C59" s="84">
        <f t="shared" si="11"/>
        <v>68.499999999941792</v>
      </c>
      <c r="D59" s="3">
        <v>1033.2</v>
      </c>
      <c r="E59" s="3">
        <f t="shared" si="0"/>
        <v>1.0332000000000001</v>
      </c>
      <c r="F59" s="85">
        <f t="shared" si="1"/>
        <v>8.3422442360127889</v>
      </c>
      <c r="G59" s="89">
        <v>1.7</v>
      </c>
      <c r="H59" s="202">
        <f t="shared" si="10"/>
        <v>5.4531070490235836</v>
      </c>
      <c r="I59" s="17">
        <v>8.08</v>
      </c>
      <c r="J59" s="88"/>
    </row>
    <row r="60" spans="1:11" x14ac:dyDescent="0.3">
      <c r="A60" s="104" t="s">
        <v>197</v>
      </c>
      <c r="B60" s="83">
        <v>45745.5</v>
      </c>
      <c r="C60" s="84">
        <f t="shared" si="11"/>
        <v>90</v>
      </c>
      <c r="D60" s="3">
        <v>1023</v>
      </c>
      <c r="E60" s="3">
        <f t="shared" si="0"/>
        <v>1.0229999999999999</v>
      </c>
      <c r="F60" s="85">
        <f t="shared" si="1"/>
        <v>5.8289448398367085</v>
      </c>
      <c r="G60" s="89">
        <v>2.4500000000000002</v>
      </c>
      <c r="H60" s="202">
        <f t="shared" si="10"/>
        <v>7.1198223850590994</v>
      </c>
      <c r="I60" s="17">
        <v>8.6000000000000014</v>
      </c>
      <c r="J60" s="88"/>
    </row>
    <row r="61" spans="1:11" x14ac:dyDescent="0.3">
      <c r="A61" s="104" t="s">
        <v>181</v>
      </c>
      <c r="B61" s="83">
        <v>45746.6875</v>
      </c>
      <c r="C61" s="84">
        <f t="shared" si="11"/>
        <v>118.5</v>
      </c>
      <c r="D61" s="3">
        <v>1010.4</v>
      </c>
      <c r="E61" s="3">
        <f t="shared" si="0"/>
        <v>1.0104</v>
      </c>
      <c r="F61" s="85">
        <f t="shared" si="1"/>
        <v>2.6621853201097565</v>
      </c>
      <c r="G61" s="3">
        <v>5.6999999999999993</v>
      </c>
      <c r="H61" s="202">
        <f t="shared" si="10"/>
        <v>9.2198852208262387</v>
      </c>
      <c r="I61" s="87"/>
      <c r="J61" s="88"/>
    </row>
    <row r="62" spans="1:11" x14ac:dyDescent="0.3">
      <c r="A62" s="104" t="s">
        <v>182</v>
      </c>
      <c r="B62" s="83">
        <v>45747.416666666664</v>
      </c>
      <c r="C62" s="84">
        <f t="shared" si="11"/>
        <v>135.99999999994179</v>
      </c>
      <c r="D62" s="3">
        <v>1005.7</v>
      </c>
      <c r="E62" s="3">
        <f t="shared" si="0"/>
        <v>1.0057</v>
      </c>
      <c r="F62" s="85">
        <f t="shared" si="1"/>
        <v>1.4629506148512519</v>
      </c>
      <c r="G62" s="3">
        <v>6.45</v>
      </c>
      <c r="H62" s="202">
        <f t="shared" si="10"/>
        <v>10.015167660236951</v>
      </c>
      <c r="I62" s="87"/>
      <c r="J62" s="88"/>
    </row>
    <row r="63" spans="1:11" x14ac:dyDescent="0.3">
      <c r="A63" s="104" t="s">
        <v>183</v>
      </c>
      <c r="B63" s="83">
        <v>45747.680555555555</v>
      </c>
      <c r="C63" s="84">
        <f t="shared" si="11"/>
        <v>142.33333333331393</v>
      </c>
      <c r="D63" s="3">
        <v>1003.9</v>
      </c>
      <c r="E63" s="3">
        <f t="shared" si="0"/>
        <v>1.0039</v>
      </c>
      <c r="F63" s="85">
        <f t="shared" si="1"/>
        <v>1.0010408029727387</v>
      </c>
      <c r="G63" s="3">
        <v>6.45</v>
      </c>
      <c r="H63" s="202">
        <f t="shared" si="10"/>
        <v>10.321486982357719</v>
      </c>
      <c r="I63" s="17"/>
      <c r="J63" s="88"/>
    </row>
    <row r="64" spans="1:11" x14ac:dyDescent="0.3">
      <c r="A64" s="104" t="s">
        <v>184</v>
      </c>
      <c r="B64" s="83">
        <v>45748.375</v>
      </c>
      <c r="C64" s="84">
        <f t="shared" si="11"/>
        <v>159</v>
      </c>
      <c r="D64" s="3">
        <v>1001.9</v>
      </c>
      <c r="E64" s="3">
        <f t="shared" si="0"/>
        <v>1.0019</v>
      </c>
      <c r="F64" s="85">
        <f t="shared" si="1"/>
        <v>0.48608853199584701</v>
      </c>
      <c r="G64" s="3">
        <v>8.5</v>
      </c>
      <c r="H64" s="202">
        <f t="shared" si="10"/>
        <v>10.662981851082613</v>
      </c>
      <c r="I64" s="87"/>
      <c r="J64" s="88"/>
    </row>
    <row r="65" spans="1:11" x14ac:dyDescent="0.3">
      <c r="A65" s="104" t="s">
        <v>185</v>
      </c>
      <c r="B65" s="83">
        <v>45748.625</v>
      </c>
      <c r="C65" s="84">
        <f t="shared" si="11"/>
        <v>165</v>
      </c>
      <c r="D65" s="3">
        <v>999.9</v>
      </c>
      <c r="E65" s="3">
        <f t="shared" si="0"/>
        <v>0.99990000000000001</v>
      </c>
      <c r="F65" s="85">
        <f t="shared" si="1"/>
        <v>-3.0681833200446818E-2</v>
      </c>
      <c r="G65" s="3">
        <v>9.7000000000000011</v>
      </c>
      <c r="H65" s="202">
        <f t="shared" si="10"/>
        <v>11.005682404065595</v>
      </c>
      <c r="I65" s="87"/>
      <c r="J65" s="88"/>
    </row>
    <row r="66" spans="1:11" x14ac:dyDescent="0.3">
      <c r="A66" s="104" t="s">
        <v>186</v>
      </c>
      <c r="B66" s="83">
        <v>45749.395833333336</v>
      </c>
      <c r="C66" s="84">
        <f t="shared" si="11"/>
        <v>183.50000000005821</v>
      </c>
      <c r="D66" s="3">
        <v>999</v>
      </c>
      <c r="E66" s="3">
        <f t="shared" si="0"/>
        <v>0.999</v>
      </c>
      <c r="F66" s="85">
        <f t="shared" si="1"/>
        <v>-0.26382398426017062</v>
      </c>
      <c r="G66" s="3">
        <v>9.7000000000000011</v>
      </c>
      <c r="H66" s="202">
        <f t="shared" si="10"/>
        <v>11.160292554865283</v>
      </c>
      <c r="I66" s="87"/>
      <c r="J66" s="88"/>
    </row>
    <row r="67" spans="1:11" x14ac:dyDescent="0.3">
      <c r="A67" s="104" t="s">
        <v>187</v>
      </c>
      <c r="B67" s="83">
        <v>45749.666666666664</v>
      </c>
      <c r="C67" s="84">
        <f t="shared" si="11"/>
        <v>189.99999999994179</v>
      </c>
      <c r="D67" s="3">
        <v>996.2</v>
      </c>
      <c r="E67" s="3">
        <f t="shared" ref="E67:E130" si="12">D67/1000</f>
        <v>0.99620000000000009</v>
      </c>
      <c r="F67" s="85">
        <f t="shared" ref="F67:F130" si="13">182.4601*E67^3-775.6821*E67^2+1262.7794*E67-669.5622</f>
        <v>-0.99152958994261553</v>
      </c>
      <c r="G67" s="3">
        <v>9.7999999999999989</v>
      </c>
      <c r="H67" s="202">
        <f t="shared" si="10"/>
        <v>11.642876561750935</v>
      </c>
      <c r="I67" s="87"/>
      <c r="J67" s="88"/>
    </row>
    <row r="68" spans="1:11" x14ac:dyDescent="0.3">
      <c r="A68" s="104" t="s">
        <v>188</v>
      </c>
      <c r="B68" s="83">
        <v>45750.416666666664</v>
      </c>
      <c r="C68" s="84">
        <f t="shared" si="11"/>
        <v>207.99999999994179</v>
      </c>
      <c r="D68" s="3">
        <v>995.3</v>
      </c>
      <c r="E68" s="3">
        <f t="shared" si="12"/>
        <v>0.99529999999999996</v>
      </c>
      <c r="F68" s="85">
        <f t="shared" si="13"/>
        <v>-1.2262009803170031</v>
      </c>
      <c r="G68" s="89">
        <v>5.6499999999999995</v>
      </c>
      <c r="H68" s="202">
        <f t="shared" si="10"/>
        <v>11.798500840283317</v>
      </c>
      <c r="I68" s="17">
        <v>12.56</v>
      </c>
      <c r="J68" s="88"/>
    </row>
    <row r="69" spans="1:11" x14ac:dyDescent="0.3">
      <c r="A69" s="104" t="s">
        <v>189</v>
      </c>
      <c r="B69" s="83">
        <v>45750.625</v>
      </c>
      <c r="C69" s="84">
        <f t="shared" si="11"/>
        <v>213</v>
      </c>
      <c r="D69" s="3">
        <v>993.6</v>
      </c>
      <c r="E69" s="3">
        <f t="shared" si="12"/>
        <v>0.99360000000000004</v>
      </c>
      <c r="F69" s="85">
        <f t="shared" si="13"/>
        <v>-1.6704902725483635</v>
      </c>
      <c r="G69" s="89">
        <v>4.3999999999999995</v>
      </c>
      <c r="H69" s="202">
        <f t="shared" si="10"/>
        <v>12.093134968682435</v>
      </c>
      <c r="I69" s="17">
        <v>12.88</v>
      </c>
      <c r="J69" s="88"/>
    </row>
    <row r="70" spans="1:11" ht="15" thickBot="1" x14ac:dyDescent="0.35">
      <c r="A70" s="119" t="s">
        <v>198</v>
      </c>
      <c r="B70" s="93">
        <v>45751.375</v>
      </c>
      <c r="C70" s="94">
        <f t="shared" si="11"/>
        <v>231</v>
      </c>
      <c r="D70" s="95">
        <v>994.1</v>
      </c>
      <c r="E70" s="95">
        <f t="shared" si="12"/>
        <v>0.99409999999999998</v>
      </c>
      <c r="F70" s="96">
        <f t="shared" si="13"/>
        <v>-1.5396781091309322</v>
      </c>
      <c r="G70" s="95">
        <v>11.7</v>
      </c>
      <c r="H70" s="96">
        <f t="shared" si="10"/>
        <v>12.006385797756149</v>
      </c>
      <c r="I70" s="97"/>
      <c r="J70" s="195">
        <v>12.02</v>
      </c>
      <c r="K70" s="91">
        <f>(H70-J70)^2</f>
        <v>1.853465027364659E-4</v>
      </c>
    </row>
    <row r="71" spans="1:11" x14ac:dyDescent="0.3">
      <c r="A71" s="98" t="s">
        <v>221</v>
      </c>
      <c r="B71" s="99">
        <v>45741.75</v>
      </c>
      <c r="C71" s="100">
        <v>0</v>
      </c>
      <c r="D71" s="101">
        <v>1061.9000000000001</v>
      </c>
      <c r="E71" s="101">
        <f t="shared" si="12"/>
        <v>1.0619000000000001</v>
      </c>
      <c r="F71" s="86">
        <f t="shared" si="13"/>
        <v>15.183153267020771</v>
      </c>
      <c r="G71" s="194">
        <v>1.04</v>
      </c>
      <c r="H71" s="86">
        <f>G71</f>
        <v>1.04</v>
      </c>
      <c r="I71" s="102"/>
      <c r="J71" s="103"/>
    </row>
    <row r="72" spans="1:11" x14ac:dyDescent="0.3">
      <c r="A72" s="104" t="s">
        <v>200</v>
      </c>
      <c r="B72" s="83">
        <v>45741.770833333336</v>
      </c>
      <c r="C72" s="84">
        <f>(B72-B71)*24+C71</f>
        <v>0.50000000005820766</v>
      </c>
      <c r="D72" s="3">
        <v>1061.9000000000001</v>
      </c>
      <c r="E72" s="3">
        <f t="shared" si="12"/>
        <v>1.0619000000000001</v>
      </c>
      <c r="F72" s="85">
        <f t="shared" si="13"/>
        <v>15.183153267020771</v>
      </c>
      <c r="G72" s="3">
        <v>0</v>
      </c>
      <c r="H72" s="202">
        <f t="shared" ref="H72:H91" si="14">MAX(0,$G$71+($F$71-F72)*$M$8)</f>
        <v>1.04</v>
      </c>
      <c r="I72" s="87"/>
      <c r="J72" s="88"/>
    </row>
    <row r="73" spans="1:11" x14ac:dyDescent="0.3">
      <c r="A73" s="120" t="s">
        <v>202</v>
      </c>
      <c r="B73" s="83">
        <v>45742.375</v>
      </c>
      <c r="C73" s="84">
        <f t="shared" ref="C73:C91" si="15">(B73-B72)*24+C72</f>
        <v>15</v>
      </c>
      <c r="D73" s="3">
        <v>1059.7</v>
      </c>
      <c r="E73" s="3">
        <f t="shared" si="12"/>
        <v>1.0597000000000001</v>
      </c>
      <c r="F73" s="85">
        <f t="shared" si="13"/>
        <v>14.670426349441072</v>
      </c>
      <c r="G73" s="3">
        <v>0.85</v>
      </c>
      <c r="H73" s="202">
        <f t="shared" si="14"/>
        <v>1.3800191071658661</v>
      </c>
      <c r="I73" s="87"/>
      <c r="J73" s="88"/>
    </row>
    <row r="74" spans="1:11" x14ac:dyDescent="0.3">
      <c r="A74" s="120" t="s">
        <v>212</v>
      </c>
      <c r="B74" s="83">
        <v>45742.625</v>
      </c>
      <c r="C74" s="84">
        <f t="shared" si="15"/>
        <v>21</v>
      </c>
      <c r="D74" s="3">
        <v>1056.0999999999999</v>
      </c>
      <c r="E74" s="3">
        <f t="shared" si="12"/>
        <v>1.0560999999999998</v>
      </c>
      <c r="F74" s="85">
        <f t="shared" si="13"/>
        <v>13.827328720120818</v>
      </c>
      <c r="G74" s="3">
        <v>1.1500000000000001</v>
      </c>
      <c r="H74" s="202">
        <f t="shared" si="14"/>
        <v>1.9391262914118959</v>
      </c>
      <c r="I74" s="87"/>
      <c r="J74" s="88"/>
    </row>
    <row r="75" spans="1:11" x14ac:dyDescent="0.3">
      <c r="A75" s="120" t="s">
        <v>213</v>
      </c>
      <c r="B75" s="83">
        <v>45742.75</v>
      </c>
      <c r="C75" s="84">
        <f t="shared" si="15"/>
        <v>24</v>
      </c>
      <c r="D75" s="3">
        <v>1056.0999999999999</v>
      </c>
      <c r="E75" s="3">
        <f t="shared" si="12"/>
        <v>1.0560999999999998</v>
      </c>
      <c r="F75" s="85">
        <f t="shared" si="13"/>
        <v>13.827328720120818</v>
      </c>
      <c r="G75" s="3">
        <v>1.4</v>
      </c>
      <c r="H75" s="202">
        <f t="shared" si="14"/>
        <v>1.9391262914118959</v>
      </c>
      <c r="I75" s="87"/>
      <c r="J75" s="88"/>
    </row>
    <row r="76" spans="1:11" x14ac:dyDescent="0.3">
      <c r="A76" s="120" t="s">
        <v>214</v>
      </c>
      <c r="B76" s="83">
        <v>45743.416666666664</v>
      </c>
      <c r="C76" s="84">
        <f t="shared" si="15"/>
        <v>39.999999999941792</v>
      </c>
      <c r="D76" s="3">
        <v>1051.9000000000001</v>
      </c>
      <c r="E76" s="3">
        <f t="shared" si="12"/>
        <v>1.0519000000000001</v>
      </c>
      <c r="F76" s="85">
        <f t="shared" si="13"/>
        <v>12.837238061065023</v>
      </c>
      <c r="G76" s="3">
        <v>2</v>
      </c>
      <c r="H76" s="202">
        <f t="shared" si="14"/>
        <v>2.5957131222624268</v>
      </c>
      <c r="I76" s="87"/>
      <c r="J76" s="88"/>
    </row>
    <row r="77" spans="1:11" x14ac:dyDescent="0.3">
      <c r="A77" s="120" t="s">
        <v>215</v>
      </c>
      <c r="B77" s="83">
        <v>45743.604166666664</v>
      </c>
      <c r="C77" s="84">
        <f t="shared" si="15"/>
        <v>44.499999999941792</v>
      </c>
      <c r="D77" s="3">
        <v>1048.5999999999999</v>
      </c>
      <c r="E77" s="3">
        <f t="shared" si="12"/>
        <v>1.0486</v>
      </c>
      <c r="F77" s="85">
        <f t="shared" si="13"/>
        <v>12.054366404520692</v>
      </c>
      <c r="G77" s="89">
        <v>1.2500000000000004</v>
      </c>
      <c r="H77" s="202">
        <f t="shared" si="14"/>
        <v>3.1148809532399939</v>
      </c>
      <c r="I77" s="17">
        <v>5.96</v>
      </c>
      <c r="J77" s="88"/>
    </row>
    <row r="78" spans="1:11" x14ac:dyDescent="0.3">
      <c r="A78" s="104" t="s">
        <v>216</v>
      </c>
      <c r="B78" s="83">
        <v>45743.694444444445</v>
      </c>
      <c r="C78" s="84">
        <f t="shared" si="15"/>
        <v>46.666666666686069</v>
      </c>
      <c r="D78" s="3">
        <v>1047.9000000000001</v>
      </c>
      <c r="E78" s="3">
        <f t="shared" si="12"/>
        <v>1.0479000000000001</v>
      </c>
      <c r="F78" s="85">
        <f t="shared" si="13"/>
        <v>11.887739290580043</v>
      </c>
      <c r="G78" s="3">
        <v>2.0499999999999998</v>
      </c>
      <c r="H78" s="202">
        <f t="shared" si="14"/>
        <v>3.2253811056001784</v>
      </c>
      <c r="I78" s="17"/>
      <c r="J78" s="88"/>
    </row>
    <row r="79" spans="1:11" x14ac:dyDescent="0.3">
      <c r="A79" s="120" t="s">
        <v>217</v>
      </c>
      <c r="B79" s="83">
        <v>45744.416666666664</v>
      </c>
      <c r="C79" s="84">
        <f t="shared" si="15"/>
        <v>63.999999999941792</v>
      </c>
      <c r="D79" s="3">
        <v>1036.7</v>
      </c>
      <c r="E79" s="3">
        <f t="shared" si="12"/>
        <v>1.0367</v>
      </c>
      <c r="F79" s="85">
        <f t="shared" si="13"/>
        <v>9.1945165988040571</v>
      </c>
      <c r="G79" s="3">
        <v>3.45</v>
      </c>
      <c r="H79" s="202">
        <f t="shared" si="14"/>
        <v>5.0114140671214109</v>
      </c>
      <c r="I79" s="17"/>
      <c r="J79" s="88"/>
    </row>
    <row r="80" spans="1:11" x14ac:dyDescent="0.3">
      <c r="A80" s="104" t="s">
        <v>218</v>
      </c>
      <c r="B80" s="121">
        <v>45744.604166666664</v>
      </c>
      <c r="C80" s="84">
        <f t="shared" si="15"/>
        <v>68.499999999941792</v>
      </c>
      <c r="D80" s="3">
        <v>1031.8</v>
      </c>
      <c r="E80" s="3">
        <f t="shared" si="12"/>
        <v>1.0318000000000001</v>
      </c>
      <c r="F80" s="85">
        <f t="shared" si="13"/>
        <v>7.9998964360264608</v>
      </c>
      <c r="G80" s="3">
        <v>2.9000000000000004</v>
      </c>
      <c r="H80" s="202">
        <f t="shared" si="14"/>
        <v>5.8036363344199504</v>
      </c>
      <c r="I80" s="17"/>
      <c r="J80" s="88"/>
    </row>
    <row r="81" spans="1:11" x14ac:dyDescent="0.3">
      <c r="A81" s="104" t="s">
        <v>219</v>
      </c>
      <c r="B81" s="121">
        <v>45745.5</v>
      </c>
      <c r="C81" s="84">
        <f t="shared" si="15"/>
        <v>90</v>
      </c>
      <c r="D81" s="3">
        <v>1022.8</v>
      </c>
      <c r="E81" s="3">
        <f t="shared" si="12"/>
        <v>1.0227999999999999</v>
      </c>
      <c r="F81" s="85">
        <f t="shared" si="13"/>
        <v>5.7792195736191161</v>
      </c>
      <c r="G81" s="3">
        <v>5</v>
      </c>
      <c r="H81" s="202">
        <f t="shared" si="14"/>
        <v>7.2762966106229712</v>
      </c>
      <c r="I81" s="87"/>
      <c r="J81" s="88"/>
    </row>
    <row r="82" spans="1:11" x14ac:dyDescent="0.3">
      <c r="A82" s="104" t="s">
        <v>203</v>
      </c>
      <c r="B82" s="121">
        <v>45746.6875</v>
      </c>
      <c r="C82" s="84">
        <f t="shared" si="15"/>
        <v>118.5</v>
      </c>
      <c r="D82" s="3">
        <v>1011.7</v>
      </c>
      <c r="E82" s="3">
        <f t="shared" si="12"/>
        <v>1.0117</v>
      </c>
      <c r="F82" s="85">
        <f t="shared" si="13"/>
        <v>2.9921473470659521</v>
      </c>
      <c r="G82" s="89">
        <v>5</v>
      </c>
      <c r="H82" s="202">
        <f t="shared" si="14"/>
        <v>9.1245666693761969</v>
      </c>
      <c r="I82" s="122">
        <v>10.56</v>
      </c>
      <c r="J82" s="88"/>
    </row>
    <row r="83" spans="1:11" x14ac:dyDescent="0.3">
      <c r="A83" s="104" t="s">
        <v>204</v>
      </c>
      <c r="B83" s="121">
        <v>45747.416666666664</v>
      </c>
      <c r="C83" s="84">
        <f t="shared" si="15"/>
        <v>135.99999999994179</v>
      </c>
      <c r="D83" s="3">
        <v>1006.8</v>
      </c>
      <c r="E83" s="3">
        <f t="shared" si="12"/>
        <v>1.0067999999999999</v>
      </c>
      <c r="F83" s="85">
        <f t="shared" si="13"/>
        <v>1.7445100960620721</v>
      </c>
      <c r="G83" s="89">
        <v>8.6499999999999986</v>
      </c>
      <c r="H83" s="202">
        <f t="shared" si="14"/>
        <v>9.9519476583746425</v>
      </c>
      <c r="I83" s="17">
        <v>11.040000000000001</v>
      </c>
      <c r="J83" s="88"/>
    </row>
    <row r="84" spans="1:11" x14ac:dyDescent="0.3">
      <c r="A84" s="104" t="s">
        <v>205</v>
      </c>
      <c r="B84" s="121">
        <v>45747.680555555555</v>
      </c>
      <c r="C84" s="84">
        <f t="shared" si="15"/>
        <v>142.33333333331393</v>
      </c>
      <c r="D84" s="3">
        <v>1005.1</v>
      </c>
      <c r="E84" s="3">
        <f t="shared" si="12"/>
        <v>1.0051000000000001</v>
      </c>
      <c r="F84" s="85">
        <f t="shared" si="13"/>
        <v>1.3091431236966855</v>
      </c>
      <c r="G84" s="3">
        <v>7.2</v>
      </c>
      <c r="H84" s="202">
        <f t="shared" si="14"/>
        <v>10.240664876366566</v>
      </c>
      <c r="I84" s="17"/>
      <c r="J84" s="88"/>
    </row>
    <row r="85" spans="1:11" x14ac:dyDescent="0.3">
      <c r="A85" s="104" t="s">
        <v>206</v>
      </c>
      <c r="B85" s="121">
        <v>45748.375</v>
      </c>
      <c r="C85" s="84">
        <f t="shared" si="15"/>
        <v>159</v>
      </c>
      <c r="D85" s="3">
        <v>1003.2</v>
      </c>
      <c r="E85" s="3">
        <f t="shared" si="12"/>
        <v>1.0032000000000001</v>
      </c>
      <c r="F85" s="85">
        <f t="shared" si="13"/>
        <v>0.82101376842047102</v>
      </c>
      <c r="G85" s="3">
        <v>8.35</v>
      </c>
      <c r="H85" s="202">
        <f t="shared" si="14"/>
        <v>10.564371906116314</v>
      </c>
      <c r="I85" s="17"/>
      <c r="J85" s="88"/>
    </row>
    <row r="86" spans="1:11" x14ac:dyDescent="0.3">
      <c r="A86" s="104" t="s">
        <v>207</v>
      </c>
      <c r="B86" s="121">
        <v>45748.625</v>
      </c>
      <c r="C86" s="84">
        <f t="shared" si="15"/>
        <v>165</v>
      </c>
      <c r="D86" s="3">
        <v>1001</v>
      </c>
      <c r="E86" s="3">
        <f t="shared" si="12"/>
        <v>1.0009999999999999</v>
      </c>
      <c r="F86" s="85">
        <f t="shared" si="13"/>
        <v>0.2537673806600651</v>
      </c>
      <c r="G86" s="3">
        <v>7.75</v>
      </c>
      <c r="H86" s="202">
        <f t="shared" si="14"/>
        <v>10.940546052033621</v>
      </c>
      <c r="I86" s="17"/>
      <c r="J86" s="88"/>
    </row>
    <row r="87" spans="1:11" x14ac:dyDescent="0.3">
      <c r="A87" s="104" t="s">
        <v>208</v>
      </c>
      <c r="B87" s="121">
        <v>45749.395833333336</v>
      </c>
      <c r="C87" s="84">
        <f t="shared" si="15"/>
        <v>183.50000000005821</v>
      </c>
      <c r="D87" s="3">
        <v>999.8</v>
      </c>
      <c r="E87" s="3">
        <f t="shared" si="12"/>
        <v>0.99979999999999991</v>
      </c>
      <c r="F87" s="85">
        <f t="shared" si="13"/>
        <v>-5.6568233531606893E-2</v>
      </c>
      <c r="G87" s="3">
        <v>10.150000000000002</v>
      </c>
      <c r="H87" s="202">
        <f t="shared" si="14"/>
        <v>11.146347688033785</v>
      </c>
      <c r="I87" s="17"/>
      <c r="J87" s="88"/>
    </row>
    <row r="88" spans="1:11" x14ac:dyDescent="0.3">
      <c r="A88" s="104" t="s">
        <v>209</v>
      </c>
      <c r="B88" s="121">
        <v>45749.666666666664</v>
      </c>
      <c r="C88" s="84">
        <f t="shared" si="15"/>
        <v>189.99999999994179</v>
      </c>
      <c r="D88" s="3">
        <v>997.4</v>
      </c>
      <c r="E88" s="3">
        <f t="shared" si="12"/>
        <v>0.99739999999999995</v>
      </c>
      <c r="F88" s="85">
        <f t="shared" si="13"/>
        <v>-0.67921482708686653</v>
      </c>
      <c r="G88" s="3">
        <v>9.5500000000000007</v>
      </c>
      <c r="H88" s="202">
        <f t="shared" si="14"/>
        <v>11.559260939828526</v>
      </c>
      <c r="I88" s="17"/>
      <c r="J88" s="88"/>
    </row>
    <row r="89" spans="1:11" x14ac:dyDescent="0.3">
      <c r="A89" s="104" t="s">
        <v>210</v>
      </c>
      <c r="B89" s="121">
        <v>45750.416666666664</v>
      </c>
      <c r="C89" s="84">
        <f t="shared" si="15"/>
        <v>207.99999999994179</v>
      </c>
      <c r="D89" s="3">
        <v>996.4</v>
      </c>
      <c r="E89" s="3">
        <f t="shared" si="12"/>
        <v>0.99639999999999995</v>
      </c>
      <c r="F89" s="85">
        <f t="shared" si="13"/>
        <v>-0.93943110418649667</v>
      </c>
      <c r="G89" s="89">
        <v>8.35</v>
      </c>
      <c r="H89" s="202">
        <f t="shared" si="14"/>
        <v>11.731825521822973</v>
      </c>
      <c r="I89" s="122">
        <v>12.040000000000001</v>
      </c>
      <c r="J89" s="88"/>
    </row>
    <row r="90" spans="1:11" x14ac:dyDescent="0.3">
      <c r="A90" s="104" t="s">
        <v>211</v>
      </c>
      <c r="B90" s="121">
        <v>45750.625</v>
      </c>
      <c r="C90" s="84">
        <f t="shared" si="15"/>
        <v>213</v>
      </c>
      <c r="D90" s="3">
        <v>994.8</v>
      </c>
      <c r="E90" s="3">
        <f t="shared" si="12"/>
        <v>0.99479999999999991</v>
      </c>
      <c r="F90" s="85">
        <f t="shared" si="13"/>
        <v>-1.3567355360218016</v>
      </c>
      <c r="G90" s="89">
        <v>6.5</v>
      </c>
      <c r="H90" s="202">
        <f t="shared" si="14"/>
        <v>12.008564416279285</v>
      </c>
      <c r="I90" s="17">
        <v>3.08</v>
      </c>
      <c r="J90" s="88"/>
    </row>
    <row r="91" spans="1:11" ht="15" thickBot="1" x14ac:dyDescent="0.35">
      <c r="A91" s="119" t="s">
        <v>220</v>
      </c>
      <c r="B91" s="123">
        <v>45751.375</v>
      </c>
      <c r="C91" s="94">
        <f t="shared" si="15"/>
        <v>231</v>
      </c>
      <c r="D91" s="95">
        <v>995.1</v>
      </c>
      <c r="E91" s="95">
        <f t="shared" si="12"/>
        <v>0.99509999999999998</v>
      </c>
      <c r="F91" s="96">
        <f t="shared" si="13"/>
        <v>-1.2784009424664191</v>
      </c>
      <c r="G91" s="95">
        <v>11.7</v>
      </c>
      <c r="H91" s="96">
        <f t="shared" si="14"/>
        <v>11.956616180975722</v>
      </c>
      <c r="I91" s="97"/>
      <c r="J91" s="195">
        <v>12.08</v>
      </c>
      <c r="K91" s="91">
        <f>(H91-J91)^2</f>
        <v>1.5223566797015834E-2</v>
      </c>
    </row>
    <row r="92" spans="1:11" x14ac:dyDescent="0.3">
      <c r="A92" s="98" t="s">
        <v>402</v>
      </c>
      <c r="B92" s="124">
        <v>45755.75</v>
      </c>
      <c r="C92" s="100">
        <v>0</v>
      </c>
      <c r="D92" s="101">
        <v>1058.9000000000001</v>
      </c>
      <c r="E92" s="101">
        <f t="shared" si="12"/>
        <v>1.0589000000000002</v>
      </c>
      <c r="F92" s="86">
        <f t="shared" si="13"/>
        <v>14.483511314989414</v>
      </c>
      <c r="G92" s="194">
        <v>0.94</v>
      </c>
      <c r="H92" s="86">
        <f>G92</f>
        <v>0.94</v>
      </c>
      <c r="I92" s="102"/>
      <c r="J92" s="103"/>
    </row>
    <row r="93" spans="1:11" x14ac:dyDescent="0.3">
      <c r="A93" s="104" t="s">
        <v>404</v>
      </c>
      <c r="B93" s="83">
        <v>45756.375</v>
      </c>
      <c r="C93" s="84">
        <f>(B93-B92)*24+C92</f>
        <v>15</v>
      </c>
      <c r="D93" s="3">
        <v>1058.2</v>
      </c>
      <c r="E93" s="3">
        <f t="shared" si="12"/>
        <v>1.0582</v>
      </c>
      <c r="F93" s="85">
        <f t="shared" si="13"/>
        <v>14.319754814846988</v>
      </c>
      <c r="G93" s="3">
        <v>2.1</v>
      </c>
      <c r="H93" s="202">
        <f t="shared" ref="H93:H107" si="16">MAX(0,$G$92+($F$92-F93)*$M$8)</f>
        <v>1.0485964810154127</v>
      </c>
      <c r="I93" s="87"/>
      <c r="J93" s="88"/>
    </row>
    <row r="94" spans="1:11" x14ac:dyDescent="0.3">
      <c r="A94" s="104" t="s">
        <v>406</v>
      </c>
      <c r="B94" s="83">
        <v>45756.625</v>
      </c>
      <c r="C94" s="84">
        <f t="shared" ref="C94:C107" si="17">(B94-B93)*24+C93</f>
        <v>21</v>
      </c>
      <c r="D94" s="3">
        <v>1056.5</v>
      </c>
      <c r="E94" s="3">
        <f t="shared" si="12"/>
        <v>1.0565</v>
      </c>
      <c r="F94" s="85">
        <f t="shared" si="13"/>
        <v>13.921258220313803</v>
      </c>
      <c r="G94" s="3">
        <v>2.25</v>
      </c>
      <c r="H94" s="202">
        <f t="shared" si="16"/>
        <v>1.3128628022013884</v>
      </c>
      <c r="I94" s="87"/>
      <c r="J94" s="88"/>
    </row>
    <row r="95" spans="1:11" x14ac:dyDescent="0.3">
      <c r="A95" s="104" t="s">
        <v>414</v>
      </c>
      <c r="B95" s="83">
        <v>45757.375</v>
      </c>
      <c r="C95" s="84">
        <f t="shared" si="17"/>
        <v>39</v>
      </c>
      <c r="D95" s="3">
        <v>1047.3</v>
      </c>
      <c r="E95" s="3">
        <f t="shared" si="12"/>
        <v>1.0472999999999999</v>
      </c>
      <c r="F95" s="85">
        <f t="shared" si="13"/>
        <v>11.744758440110218</v>
      </c>
      <c r="G95" s="3">
        <v>2.95</v>
      </c>
      <c r="H95" s="202">
        <f t="shared" si="16"/>
        <v>2.7562266800038309</v>
      </c>
      <c r="I95" s="87"/>
      <c r="J95" s="88"/>
    </row>
    <row r="96" spans="1:11" x14ac:dyDescent="0.3">
      <c r="A96" s="104" t="s">
        <v>410</v>
      </c>
      <c r="B96" s="83">
        <v>45757.5</v>
      </c>
      <c r="C96" s="84">
        <f t="shared" si="17"/>
        <v>42</v>
      </c>
      <c r="D96" s="3">
        <v>1044.9000000000001</v>
      </c>
      <c r="E96" s="3">
        <f t="shared" si="12"/>
        <v>1.0449000000000002</v>
      </c>
      <c r="F96" s="85">
        <f t="shared" si="13"/>
        <v>11.171375316422541</v>
      </c>
      <c r="G96" s="3">
        <v>3.0500000000000003</v>
      </c>
      <c r="H96" s="202">
        <f t="shared" si="16"/>
        <v>3.1364704532400087</v>
      </c>
      <c r="I96" s="87"/>
      <c r="J96" s="88"/>
    </row>
    <row r="97" spans="1:11" x14ac:dyDescent="0.3">
      <c r="A97" s="104" t="s">
        <v>412</v>
      </c>
      <c r="B97" s="83">
        <v>45757.645833333336</v>
      </c>
      <c r="C97" s="84">
        <f t="shared" si="17"/>
        <v>45.500000000058208</v>
      </c>
      <c r="D97" s="3">
        <v>1041.7</v>
      </c>
      <c r="E97" s="3">
        <f t="shared" si="12"/>
        <v>1.0417000000000001</v>
      </c>
      <c r="F97" s="85">
        <f t="shared" si="13"/>
        <v>10.403211127403097</v>
      </c>
      <c r="G97" s="3">
        <v>4.3999999999999995</v>
      </c>
      <c r="H97" s="202">
        <f t="shared" si="16"/>
        <v>3.6458849051672058</v>
      </c>
      <c r="I97" s="87"/>
      <c r="J97" s="88"/>
    </row>
    <row r="98" spans="1:11" x14ac:dyDescent="0.3">
      <c r="A98" s="104" t="s">
        <v>415</v>
      </c>
      <c r="B98" s="83">
        <v>45758.375</v>
      </c>
      <c r="C98" s="84">
        <f t="shared" si="17"/>
        <v>63</v>
      </c>
      <c r="D98" s="3">
        <v>1025.9000000000001</v>
      </c>
      <c r="E98" s="3">
        <f t="shared" si="12"/>
        <v>1.0259</v>
      </c>
      <c r="F98" s="85">
        <f t="shared" si="13"/>
        <v>6.5480263774878722</v>
      </c>
      <c r="G98" s="3">
        <v>5.7499999999999991</v>
      </c>
      <c r="H98" s="202">
        <f t="shared" si="16"/>
        <v>6.2024826410796781</v>
      </c>
      <c r="I98" s="87"/>
      <c r="J98" s="88"/>
    </row>
    <row r="99" spans="1:11" x14ac:dyDescent="0.3">
      <c r="A99" s="104" t="s">
        <v>416</v>
      </c>
      <c r="B99" s="83">
        <v>45758.604166666664</v>
      </c>
      <c r="C99" s="84">
        <f t="shared" si="17"/>
        <v>68.499999999941792</v>
      </c>
      <c r="D99" s="3">
        <v>1023.2</v>
      </c>
      <c r="E99" s="3">
        <f t="shared" si="12"/>
        <v>1.0232000000000001</v>
      </c>
      <c r="F99" s="85">
        <f t="shared" si="13"/>
        <v>5.8786528490898036</v>
      </c>
      <c r="G99" s="89">
        <v>6.85</v>
      </c>
      <c r="H99" s="202">
        <f t="shared" si="16"/>
        <v>6.6463832471971607</v>
      </c>
      <c r="I99" s="17">
        <v>8.84</v>
      </c>
      <c r="J99" s="88"/>
    </row>
    <row r="100" spans="1:11" x14ac:dyDescent="0.3">
      <c r="A100" s="104" t="s">
        <v>418</v>
      </c>
      <c r="B100" s="83">
        <v>45759.416666666664</v>
      </c>
      <c r="C100" s="84">
        <f t="shared" si="17"/>
        <v>87.999999999941792</v>
      </c>
      <c r="D100" s="3">
        <v>1013.3</v>
      </c>
      <c r="E100" s="3">
        <f t="shared" si="12"/>
        <v>1.0132999999999999</v>
      </c>
      <c r="F100" s="85">
        <f t="shared" si="13"/>
        <v>3.397225106980045</v>
      </c>
      <c r="G100" s="89">
        <v>5.3999999999999995</v>
      </c>
      <c r="H100" s="202">
        <f t="shared" si="16"/>
        <v>8.2919626315438411</v>
      </c>
      <c r="I100" s="17">
        <v>10.16</v>
      </c>
      <c r="J100" s="88"/>
    </row>
    <row r="101" spans="1:11" x14ac:dyDescent="0.3">
      <c r="A101" s="104" t="s">
        <v>419</v>
      </c>
      <c r="B101" s="83">
        <v>45760.708333333336</v>
      </c>
      <c r="C101" s="84">
        <f t="shared" si="17"/>
        <v>119.00000000005821</v>
      </c>
      <c r="D101" s="3">
        <v>1003.7</v>
      </c>
      <c r="E101" s="3">
        <f t="shared" si="12"/>
        <v>1.0037</v>
      </c>
      <c r="F101" s="85">
        <f t="shared" si="13"/>
        <v>0.94962714050927843</v>
      </c>
      <c r="G101" s="89">
        <v>10.050000000000001</v>
      </c>
      <c r="H101" s="202">
        <f t="shared" si="16"/>
        <v>9.9151075196431044</v>
      </c>
      <c r="I101" s="17">
        <v>11.24</v>
      </c>
      <c r="J101" s="88"/>
    </row>
    <row r="102" spans="1:11" x14ac:dyDescent="0.3">
      <c r="A102" s="104" t="s">
        <v>421</v>
      </c>
      <c r="B102" s="83">
        <v>45761.375</v>
      </c>
      <c r="C102" s="84">
        <f t="shared" si="17"/>
        <v>135</v>
      </c>
      <c r="D102" s="3">
        <v>999.7</v>
      </c>
      <c r="E102" s="3">
        <f t="shared" si="12"/>
        <v>0.99970000000000003</v>
      </c>
      <c r="F102" s="85">
        <f t="shared" si="13"/>
        <v>-8.2459202088443817E-2</v>
      </c>
      <c r="G102" s="3">
        <v>9.7999999999999989</v>
      </c>
      <c r="H102" s="202">
        <f t="shared" si="16"/>
        <v>10.599544136282434</v>
      </c>
      <c r="I102" s="17"/>
      <c r="J102" s="88"/>
    </row>
    <row r="103" spans="1:11" x14ac:dyDescent="0.3">
      <c r="A103" s="104" t="s">
        <v>408</v>
      </c>
      <c r="B103" s="83">
        <v>45761.625</v>
      </c>
      <c r="C103" s="84">
        <f t="shared" si="17"/>
        <v>141</v>
      </c>
      <c r="D103" s="3">
        <v>997.7</v>
      </c>
      <c r="E103" s="3">
        <f t="shared" si="12"/>
        <v>0.99770000000000003</v>
      </c>
      <c r="F103" s="85">
        <f t="shared" si="13"/>
        <v>-0.60123958651411158</v>
      </c>
      <c r="G103" s="89">
        <v>4.7</v>
      </c>
      <c r="H103" s="202">
        <f t="shared" si="16"/>
        <v>10.943577650185402</v>
      </c>
      <c r="I103" s="17">
        <v>9.56</v>
      </c>
      <c r="J103" s="88"/>
    </row>
    <row r="104" spans="1:11" x14ac:dyDescent="0.3">
      <c r="A104" s="104" t="s">
        <v>425</v>
      </c>
      <c r="B104" s="83">
        <v>45762.375</v>
      </c>
      <c r="C104" s="84">
        <f t="shared" si="17"/>
        <v>159</v>
      </c>
      <c r="D104" s="3">
        <v>996.3</v>
      </c>
      <c r="E104" s="3">
        <f t="shared" si="12"/>
        <v>0.99629999999999996</v>
      </c>
      <c r="F104" s="85">
        <f t="shared" si="13"/>
        <v>-0.96547804379338231</v>
      </c>
      <c r="G104" s="3">
        <v>9.4</v>
      </c>
      <c r="H104" s="202">
        <f t="shared" si="16"/>
        <v>11.185125403566847</v>
      </c>
      <c r="I104" s="87"/>
      <c r="J104" s="88"/>
    </row>
    <row r="105" spans="1:11" x14ac:dyDescent="0.3">
      <c r="A105" s="104" t="s">
        <v>409</v>
      </c>
      <c r="B105" s="83">
        <v>45762.625</v>
      </c>
      <c r="C105" s="84">
        <f t="shared" si="17"/>
        <v>165</v>
      </c>
      <c r="D105" s="3">
        <v>994.3</v>
      </c>
      <c r="E105" s="3">
        <f t="shared" si="12"/>
        <v>0.99429999999999996</v>
      </c>
      <c r="F105" s="85">
        <f t="shared" si="13"/>
        <v>-1.4873856658153954</v>
      </c>
      <c r="G105" s="89">
        <v>8.8000000000000007</v>
      </c>
      <c r="H105" s="202">
        <f t="shared" si="16"/>
        <v>11.531232771014356</v>
      </c>
      <c r="I105" s="125">
        <v>-1.2</v>
      </c>
      <c r="J105" s="88"/>
    </row>
    <row r="106" spans="1:11" x14ac:dyDescent="0.3">
      <c r="A106" s="104" t="s">
        <v>429</v>
      </c>
      <c r="B106" s="83">
        <v>45763.375</v>
      </c>
      <c r="C106" s="84">
        <f t="shared" si="17"/>
        <v>183</v>
      </c>
      <c r="D106" s="3">
        <v>993.8</v>
      </c>
      <c r="E106" s="3">
        <f t="shared" si="12"/>
        <v>0.99379999999999991</v>
      </c>
      <c r="F106" s="85">
        <f t="shared" si="13"/>
        <v>-1.6181515065426311</v>
      </c>
      <c r="G106" s="3">
        <v>10.3</v>
      </c>
      <c r="H106" s="202">
        <f t="shared" si="16"/>
        <v>11.617951222664512</v>
      </c>
      <c r="I106" s="87"/>
      <c r="J106" s="88"/>
    </row>
    <row r="107" spans="1:11" ht="15" thickBot="1" x14ac:dyDescent="0.35">
      <c r="A107" s="119" t="s">
        <v>239</v>
      </c>
      <c r="B107" s="93">
        <v>45763.625</v>
      </c>
      <c r="C107" s="94">
        <f t="shared" si="17"/>
        <v>189</v>
      </c>
      <c r="D107" s="95">
        <v>991.8</v>
      </c>
      <c r="E107" s="95">
        <f t="shared" si="12"/>
        <v>0.9917999999999999</v>
      </c>
      <c r="F107" s="96">
        <f t="shared" si="13"/>
        <v>-2.1423747156924264</v>
      </c>
      <c r="G107" s="95">
        <v>11.7</v>
      </c>
      <c r="H107" s="96">
        <f t="shared" si="16"/>
        <v>11.965594190917749</v>
      </c>
      <c r="I107" s="97"/>
      <c r="J107" s="195">
        <v>11.98</v>
      </c>
      <c r="K107" s="91">
        <f>(H107-J107)^2</f>
        <v>2.0752733531429027E-4</v>
      </c>
    </row>
    <row r="108" spans="1:11" x14ac:dyDescent="0.3">
      <c r="A108" s="98" t="s">
        <v>403</v>
      </c>
      <c r="B108" s="99">
        <v>45755.75</v>
      </c>
      <c r="C108" s="100">
        <v>0</v>
      </c>
      <c r="D108" s="101">
        <v>1059.0999999999999</v>
      </c>
      <c r="E108" s="101">
        <f t="shared" si="12"/>
        <v>1.0590999999999999</v>
      </c>
      <c r="F108" s="86">
        <f t="shared" si="13"/>
        <v>14.530263579039115</v>
      </c>
      <c r="G108" s="196">
        <v>0.94</v>
      </c>
      <c r="H108" s="86">
        <f>G108</f>
        <v>0.94</v>
      </c>
      <c r="I108" s="102"/>
      <c r="J108" s="103"/>
    </row>
    <row r="109" spans="1:11" x14ac:dyDescent="0.3">
      <c r="A109" s="104" t="s">
        <v>405</v>
      </c>
      <c r="B109" s="83">
        <v>45756.375</v>
      </c>
      <c r="C109" s="84">
        <f>(B109-B108)*24+C108</f>
        <v>15</v>
      </c>
      <c r="D109" s="3">
        <v>1058.4000000000001</v>
      </c>
      <c r="E109" s="3">
        <f t="shared" si="12"/>
        <v>1.0584</v>
      </c>
      <c r="F109" s="85">
        <f t="shared" si="13"/>
        <v>14.366562014321516</v>
      </c>
      <c r="G109" s="126">
        <v>3.85</v>
      </c>
      <c r="H109" s="202">
        <f t="shared" ref="H109:H123" si="18">MAX(0,$G$108+($F$108-F109)*$M$8)</f>
        <v>1.0485600501328878</v>
      </c>
      <c r="I109" s="17">
        <v>5.28</v>
      </c>
      <c r="J109" s="88"/>
    </row>
    <row r="110" spans="1:11" x14ac:dyDescent="0.3">
      <c r="A110" s="104" t="s">
        <v>407</v>
      </c>
      <c r="B110" s="83">
        <v>45756.625</v>
      </c>
      <c r="C110" s="84">
        <f t="shared" ref="C110:C123" si="19">(B110-B109)*24+C109</f>
        <v>21</v>
      </c>
      <c r="D110" s="3">
        <v>1056.4000000000001</v>
      </c>
      <c r="E110" s="3">
        <f t="shared" si="12"/>
        <v>1.0564</v>
      </c>
      <c r="F110" s="85">
        <f t="shared" si="13"/>
        <v>13.89778176924699</v>
      </c>
      <c r="G110" s="127">
        <v>3.7</v>
      </c>
      <c r="H110" s="202">
        <f t="shared" si="18"/>
        <v>1.3594355570004597</v>
      </c>
      <c r="I110" s="17"/>
      <c r="J110" s="88"/>
    </row>
    <row r="111" spans="1:11" x14ac:dyDescent="0.3">
      <c r="A111" s="104" t="s">
        <v>427</v>
      </c>
      <c r="B111" s="83">
        <v>45757.375</v>
      </c>
      <c r="C111" s="84">
        <f t="shared" si="19"/>
        <v>39</v>
      </c>
      <c r="D111" s="3">
        <v>1046.0999999999999</v>
      </c>
      <c r="E111" s="3">
        <f t="shared" si="12"/>
        <v>1.0460999999999998</v>
      </c>
      <c r="F111" s="85">
        <f t="shared" si="13"/>
        <v>11.458359295564264</v>
      </c>
      <c r="G111" s="126">
        <v>2.65</v>
      </c>
      <c r="H111" s="202">
        <f t="shared" si="18"/>
        <v>2.9771587992622996</v>
      </c>
      <c r="I111" s="17">
        <v>0.48</v>
      </c>
      <c r="J111" s="128"/>
    </row>
    <row r="112" spans="1:11" x14ac:dyDescent="0.3">
      <c r="A112" s="104" t="s">
        <v>411</v>
      </c>
      <c r="B112" s="83">
        <v>45757.5</v>
      </c>
      <c r="C112" s="84">
        <f t="shared" si="19"/>
        <v>42</v>
      </c>
      <c r="D112" s="3">
        <v>1043.5999999999999</v>
      </c>
      <c r="E112" s="3">
        <f t="shared" si="12"/>
        <v>1.0435999999999999</v>
      </c>
      <c r="F112" s="85">
        <f t="shared" si="13"/>
        <v>10.859813842005906</v>
      </c>
      <c r="G112" s="126">
        <v>2.25</v>
      </c>
      <c r="H112" s="202">
        <f t="shared" si="18"/>
        <v>3.3740891802101007</v>
      </c>
      <c r="I112" s="17"/>
      <c r="J112" s="129">
        <v>3.5199999999999996</v>
      </c>
    </row>
    <row r="113" spans="1:11" x14ac:dyDescent="0.3">
      <c r="A113" s="104" t="s">
        <v>413</v>
      </c>
      <c r="B113" s="83">
        <v>45757.645833333336</v>
      </c>
      <c r="C113" s="84">
        <f t="shared" si="19"/>
        <v>45.500000000058208</v>
      </c>
      <c r="D113" s="3">
        <v>1040.5999999999999</v>
      </c>
      <c r="E113" s="3">
        <f t="shared" si="12"/>
        <v>1.0406</v>
      </c>
      <c r="F113" s="85">
        <f t="shared" si="13"/>
        <v>10.138184598127623</v>
      </c>
      <c r="G113" s="126">
        <v>2.65</v>
      </c>
      <c r="H113" s="202">
        <f t="shared" si="18"/>
        <v>3.8526435973772721</v>
      </c>
      <c r="I113" s="17"/>
      <c r="J113" s="130">
        <v>3.96</v>
      </c>
    </row>
    <row r="114" spans="1:11" x14ac:dyDescent="0.3">
      <c r="A114" s="104" t="s">
        <v>428</v>
      </c>
      <c r="B114" s="83">
        <v>45758.375</v>
      </c>
      <c r="C114" s="84">
        <f t="shared" si="19"/>
        <v>63</v>
      </c>
      <c r="D114" s="3">
        <v>1024.8</v>
      </c>
      <c r="E114" s="3">
        <f t="shared" si="12"/>
        <v>1.0247999999999999</v>
      </c>
      <c r="F114" s="85">
        <f t="shared" si="13"/>
        <v>6.275696723373585</v>
      </c>
      <c r="G114" s="127">
        <v>6.5</v>
      </c>
      <c r="H114" s="202">
        <f t="shared" si="18"/>
        <v>6.4140844610875511</v>
      </c>
      <c r="I114" s="17"/>
      <c r="J114" s="129"/>
    </row>
    <row r="115" spans="1:11" x14ac:dyDescent="0.3">
      <c r="A115" s="104" t="s">
        <v>417</v>
      </c>
      <c r="B115" s="83">
        <v>45758.604166666664</v>
      </c>
      <c r="C115" s="84">
        <f t="shared" si="19"/>
        <v>68.499999999941792</v>
      </c>
      <c r="D115" s="3">
        <v>1022.7</v>
      </c>
      <c r="E115" s="3">
        <f t="shared" si="12"/>
        <v>1.0226999999999999</v>
      </c>
      <c r="F115" s="85">
        <f t="shared" si="13"/>
        <v>5.7543504664118927</v>
      </c>
      <c r="G115" s="127">
        <v>5.4499999999999993</v>
      </c>
      <c r="H115" s="202">
        <f t="shared" si="18"/>
        <v>6.759819554640206</v>
      </c>
      <c r="I115" s="17"/>
      <c r="J115" s="129"/>
    </row>
    <row r="116" spans="1:11" x14ac:dyDescent="0.3">
      <c r="A116" s="104" t="s">
        <v>431</v>
      </c>
      <c r="B116" s="83">
        <v>45759.416666666664</v>
      </c>
      <c r="C116" s="84">
        <f t="shared" si="19"/>
        <v>87.999999999941792</v>
      </c>
      <c r="D116" s="3">
        <v>1012.7</v>
      </c>
      <c r="E116" s="3">
        <f t="shared" si="12"/>
        <v>1.0127000000000002</v>
      </c>
      <c r="F116" s="85">
        <f t="shared" si="13"/>
        <v>3.2454538008449845</v>
      </c>
      <c r="G116" s="126">
        <v>2.8500000000000005</v>
      </c>
      <c r="H116" s="202">
        <f t="shared" si="18"/>
        <v>8.4236151833627346</v>
      </c>
      <c r="I116" s="87"/>
      <c r="J116" s="129">
        <v>6.6399999999999988</v>
      </c>
    </row>
    <row r="117" spans="1:11" x14ac:dyDescent="0.3">
      <c r="A117" s="104" t="s">
        <v>420</v>
      </c>
      <c r="B117" s="83">
        <v>45760.708333333336</v>
      </c>
      <c r="C117" s="84">
        <f t="shared" si="19"/>
        <v>119.00000000005821</v>
      </c>
      <c r="D117" s="3">
        <v>1002.4</v>
      </c>
      <c r="E117" s="3">
        <f t="shared" si="12"/>
        <v>1.0024</v>
      </c>
      <c r="F117" s="85">
        <f t="shared" si="13"/>
        <v>0.61499670396017336</v>
      </c>
      <c r="G117" s="127">
        <v>7.05</v>
      </c>
      <c r="H117" s="202">
        <f t="shared" si="18"/>
        <v>10.168024620150033</v>
      </c>
      <c r="I117" s="17"/>
      <c r="J117" s="129"/>
    </row>
    <row r="118" spans="1:11" x14ac:dyDescent="0.3">
      <c r="A118" s="104" t="s">
        <v>422</v>
      </c>
      <c r="B118" s="83">
        <v>45761.375</v>
      </c>
      <c r="C118" s="84">
        <f t="shared" si="19"/>
        <v>135</v>
      </c>
      <c r="D118" s="3">
        <v>998.8</v>
      </c>
      <c r="E118" s="3">
        <f t="shared" si="12"/>
        <v>0.99879999999999991</v>
      </c>
      <c r="F118" s="85">
        <f t="shared" si="13"/>
        <v>-0.31568366988301477</v>
      </c>
      <c r="G118" s="126">
        <v>4.4999999999999991</v>
      </c>
      <c r="H118" s="202">
        <f t="shared" si="18"/>
        <v>10.785213027703781</v>
      </c>
      <c r="I118" s="122">
        <v>11.440000000000001</v>
      </c>
      <c r="J118" s="128"/>
    </row>
    <row r="119" spans="1:11" x14ac:dyDescent="0.3">
      <c r="A119" s="104" t="s">
        <v>423</v>
      </c>
      <c r="B119" s="83">
        <v>45761.625</v>
      </c>
      <c r="C119" s="84">
        <f t="shared" si="19"/>
        <v>141</v>
      </c>
      <c r="D119" s="3">
        <v>997.3</v>
      </c>
      <c r="E119" s="3">
        <f t="shared" si="12"/>
        <v>0.99729999999999996</v>
      </c>
      <c r="F119" s="85">
        <f t="shared" si="13"/>
        <v>-0.70521576148428267</v>
      </c>
      <c r="G119" s="126">
        <v>5.85</v>
      </c>
      <c r="H119" s="202">
        <f t="shared" si="18"/>
        <v>11.043534464432579</v>
      </c>
      <c r="I119" s="122">
        <v>12.16</v>
      </c>
      <c r="J119" s="128"/>
    </row>
    <row r="120" spans="1:11" x14ac:dyDescent="0.3">
      <c r="A120" s="104" t="s">
        <v>426</v>
      </c>
      <c r="B120" s="83">
        <v>45762.375</v>
      </c>
      <c r="C120" s="84">
        <f t="shared" si="19"/>
        <v>159</v>
      </c>
      <c r="D120" s="3">
        <v>996</v>
      </c>
      <c r="E120" s="3">
        <f t="shared" si="12"/>
        <v>0.996</v>
      </c>
      <c r="F120" s="85">
        <f t="shared" si="13"/>
        <v>-1.0436465062464322</v>
      </c>
      <c r="G120" s="127">
        <v>8.1</v>
      </c>
      <c r="H120" s="202">
        <f t="shared" si="18"/>
        <v>11.267967619248598</v>
      </c>
      <c r="I120" s="17"/>
      <c r="J120" s="129"/>
    </row>
    <row r="121" spans="1:11" x14ac:dyDescent="0.3">
      <c r="A121" s="104" t="s">
        <v>424</v>
      </c>
      <c r="B121" s="83">
        <v>45762.625</v>
      </c>
      <c r="C121" s="84">
        <f t="shared" si="19"/>
        <v>165</v>
      </c>
      <c r="D121" s="3">
        <v>993.3</v>
      </c>
      <c r="E121" s="3">
        <f t="shared" si="12"/>
        <v>0.99329999999999996</v>
      </c>
      <c r="F121" s="85">
        <f t="shared" si="13"/>
        <v>-1.7490331950490372</v>
      </c>
      <c r="G121" s="127">
        <v>8.0500000000000007</v>
      </c>
      <c r="H121" s="202">
        <f t="shared" si="18"/>
        <v>11.735750651326423</v>
      </c>
      <c r="I121" s="17"/>
      <c r="J121" s="129"/>
    </row>
    <row r="122" spans="1:11" x14ac:dyDescent="0.3">
      <c r="A122" s="104" t="s">
        <v>430</v>
      </c>
      <c r="B122" s="83">
        <v>45763.375</v>
      </c>
      <c r="C122" s="84">
        <f t="shared" si="19"/>
        <v>183</v>
      </c>
      <c r="D122" s="3">
        <v>993.3</v>
      </c>
      <c r="E122" s="3">
        <f t="shared" si="12"/>
        <v>0.99329999999999996</v>
      </c>
      <c r="F122" s="85">
        <f t="shared" si="13"/>
        <v>-1.7490331950490372</v>
      </c>
      <c r="G122" s="126">
        <v>1.55</v>
      </c>
      <c r="H122" s="202">
        <f t="shared" si="18"/>
        <v>11.735750651326423</v>
      </c>
      <c r="I122" s="17">
        <v>12</v>
      </c>
      <c r="J122" s="129"/>
    </row>
    <row r="123" spans="1:11" ht="15" thickBot="1" x14ac:dyDescent="0.35">
      <c r="A123" s="119" t="s">
        <v>256</v>
      </c>
      <c r="B123" s="93">
        <v>45763.625</v>
      </c>
      <c r="C123" s="94">
        <f t="shared" si="19"/>
        <v>189</v>
      </c>
      <c r="D123" s="95">
        <v>991.1</v>
      </c>
      <c r="E123" s="95">
        <f t="shared" si="12"/>
        <v>0.99109999999999998</v>
      </c>
      <c r="F123" s="96">
        <f t="shared" si="13"/>
        <v>-2.3262923642923852</v>
      </c>
      <c r="G123" s="131">
        <v>11.7</v>
      </c>
      <c r="H123" s="96">
        <f t="shared" si="18"/>
        <v>12.118564856314839</v>
      </c>
      <c r="I123" s="97"/>
      <c r="J123" s="195">
        <v>11.93</v>
      </c>
      <c r="K123" s="91">
        <f>(H123-J123)^2</f>
        <v>3.5556705037035875E-2</v>
      </c>
    </row>
    <row r="124" spans="1:11" x14ac:dyDescent="0.3">
      <c r="A124" s="98" t="s">
        <v>282</v>
      </c>
      <c r="B124" s="99">
        <v>45768.666666666664</v>
      </c>
      <c r="C124" s="100">
        <v>0</v>
      </c>
      <c r="D124" s="101">
        <v>1059</v>
      </c>
      <c r="E124" s="101">
        <f t="shared" si="12"/>
        <v>1.0589999999999999</v>
      </c>
      <c r="F124" s="86">
        <f t="shared" si="13"/>
        <v>14.506889407077892</v>
      </c>
      <c r="G124" s="196">
        <v>0.94</v>
      </c>
      <c r="H124" s="86">
        <f>G124</f>
        <v>0.94</v>
      </c>
      <c r="I124" s="102"/>
      <c r="J124" s="103"/>
    </row>
    <row r="125" spans="1:11" x14ac:dyDescent="0.3">
      <c r="A125" s="104" t="s">
        <v>257</v>
      </c>
      <c r="B125" s="83">
        <v>45768.833333333336</v>
      </c>
      <c r="C125" s="84">
        <f>(B125-B124)*24+C124</f>
        <v>4.0000000001164153</v>
      </c>
      <c r="D125" s="3">
        <v>1059.7</v>
      </c>
      <c r="E125" s="3">
        <f t="shared" si="12"/>
        <v>1.0597000000000001</v>
      </c>
      <c r="F125" s="85">
        <f t="shared" si="13"/>
        <v>14.670426349441072</v>
      </c>
      <c r="G125" s="127">
        <v>1.9</v>
      </c>
      <c r="H125" s="202">
        <f t="shared" ref="H125:H151" si="20">MAX(0,$G$124+($F$124-F125)*$M$8)</f>
        <v>0.83154912054657071</v>
      </c>
      <c r="I125" s="87"/>
      <c r="J125" s="88"/>
    </row>
    <row r="126" spans="1:11" x14ac:dyDescent="0.3">
      <c r="A126" s="104" t="s">
        <v>269</v>
      </c>
      <c r="B126" s="83">
        <v>45769.375</v>
      </c>
      <c r="C126" s="84">
        <f t="shared" ref="C126:C151" si="21">(B126-B125)*24+C125</f>
        <v>17.000000000058208</v>
      </c>
      <c r="D126" s="3">
        <v>1059.3</v>
      </c>
      <c r="E126" s="3">
        <f t="shared" si="12"/>
        <v>1.0592999999999999</v>
      </c>
      <c r="F126" s="85">
        <f t="shared" si="13"/>
        <v>14.57700016695901</v>
      </c>
      <c r="G126" s="127">
        <v>2.1</v>
      </c>
      <c r="H126" s="202">
        <f t="shared" si="20"/>
        <v>0.8935054681934218</v>
      </c>
      <c r="I126" s="87"/>
      <c r="J126" s="88"/>
    </row>
    <row r="127" spans="1:11" x14ac:dyDescent="0.3">
      <c r="A127" s="104" t="s">
        <v>275</v>
      </c>
      <c r="B127" s="83">
        <v>45769.625</v>
      </c>
      <c r="C127" s="84">
        <f t="shared" si="21"/>
        <v>23.000000000058208</v>
      </c>
      <c r="D127" s="3">
        <v>1057.9000000000001</v>
      </c>
      <c r="E127" s="3">
        <f t="shared" si="12"/>
        <v>1.0579000000000001</v>
      </c>
      <c r="F127" s="85">
        <f t="shared" si="13"/>
        <v>14.249514546258297</v>
      </c>
      <c r="G127" s="127">
        <v>1.95</v>
      </c>
      <c r="H127" s="202">
        <f t="shared" si="20"/>
        <v>1.1106802732259808</v>
      </c>
      <c r="I127" s="87"/>
      <c r="J127" s="88"/>
    </row>
    <row r="128" spans="1:11" x14ac:dyDescent="0.3">
      <c r="A128" s="104" t="s">
        <v>276</v>
      </c>
      <c r="B128" s="83">
        <v>45770.395833333336</v>
      </c>
      <c r="C128" s="84">
        <f t="shared" si="21"/>
        <v>41.500000000116415</v>
      </c>
      <c r="D128" s="3">
        <v>1058</v>
      </c>
      <c r="E128" s="3">
        <f t="shared" si="12"/>
        <v>1.0580000000000001</v>
      </c>
      <c r="F128" s="85">
        <f t="shared" si="13"/>
        <v>14.272931899831065</v>
      </c>
      <c r="G128" s="127">
        <v>1.75</v>
      </c>
      <c r="H128" s="202">
        <f t="shared" si="20"/>
        <v>1.095150861016484</v>
      </c>
      <c r="I128" s="87"/>
      <c r="J128" s="88"/>
    </row>
    <row r="129" spans="1:10" x14ac:dyDescent="0.3">
      <c r="A129" s="104" t="s">
        <v>277</v>
      </c>
      <c r="B129" s="83">
        <v>45770.479166666664</v>
      </c>
      <c r="C129" s="84">
        <f t="shared" si="21"/>
        <v>43.5</v>
      </c>
      <c r="D129" s="3">
        <v>1057.5</v>
      </c>
      <c r="E129" s="3">
        <f t="shared" si="12"/>
        <v>1.0575000000000001</v>
      </c>
      <c r="F129" s="85">
        <f t="shared" si="13"/>
        <v>14.155805799323502</v>
      </c>
      <c r="G129" s="127">
        <v>1.35</v>
      </c>
      <c r="H129" s="202">
        <f t="shared" si="20"/>
        <v>1.1728240058328185</v>
      </c>
      <c r="I129" s="87"/>
      <c r="J129" s="129"/>
    </row>
    <row r="130" spans="1:10" x14ac:dyDescent="0.3">
      <c r="A130" s="104" t="s">
        <v>278</v>
      </c>
      <c r="B130" s="83">
        <v>45770.666666666664</v>
      </c>
      <c r="C130" s="84">
        <f t="shared" si="21"/>
        <v>48</v>
      </c>
      <c r="D130" s="3">
        <v>1056.4000000000001</v>
      </c>
      <c r="E130" s="3">
        <f t="shared" si="12"/>
        <v>1.0564</v>
      </c>
      <c r="F130" s="85">
        <f t="shared" si="13"/>
        <v>13.89778176924699</v>
      </c>
      <c r="G130" s="126">
        <v>5.15</v>
      </c>
      <c r="H130" s="202">
        <f t="shared" si="20"/>
        <v>1.3439347810347411</v>
      </c>
      <c r="I130" s="87"/>
      <c r="J130" s="129">
        <v>2.04</v>
      </c>
    </row>
    <row r="131" spans="1:10" x14ac:dyDescent="0.3">
      <c r="A131" s="104" t="s">
        <v>279</v>
      </c>
      <c r="B131" s="83">
        <v>45771.395833333336</v>
      </c>
      <c r="C131" s="84">
        <f t="shared" si="21"/>
        <v>65.500000000116415</v>
      </c>
      <c r="D131" s="3">
        <v>1053.5</v>
      </c>
      <c r="E131" s="3">
        <f t="shared" ref="E131:E180" si="22">D131/1000</f>
        <v>1.0535000000000001</v>
      </c>
      <c r="F131" s="85">
        <f t="shared" ref="F131:F180" si="23">182.4601*E131^3-775.6821*E131^2+1262.7794*E131-669.5622</f>
        <v>13.215242606485617</v>
      </c>
      <c r="G131" s="127">
        <v>1.4</v>
      </c>
      <c r="H131" s="202">
        <f t="shared" si="20"/>
        <v>1.7965662867558851</v>
      </c>
      <c r="I131" s="87"/>
      <c r="J131" s="88"/>
    </row>
    <row r="132" spans="1:10" x14ac:dyDescent="0.3">
      <c r="A132" s="104" t="s">
        <v>280</v>
      </c>
      <c r="B132" s="83">
        <v>45771.625</v>
      </c>
      <c r="C132" s="84">
        <f t="shared" si="21"/>
        <v>71.000000000058208</v>
      </c>
      <c r="D132" s="3">
        <v>1051.9000000000001</v>
      </c>
      <c r="E132" s="3">
        <f t="shared" si="22"/>
        <v>1.0519000000000001</v>
      </c>
      <c r="F132" s="85">
        <f t="shared" si="23"/>
        <v>12.837238061065023</v>
      </c>
      <c r="G132" s="127">
        <v>2.7</v>
      </c>
      <c r="H132" s="202">
        <f t="shared" si="20"/>
        <v>2.0472431356431313</v>
      </c>
      <c r="I132" s="87"/>
      <c r="J132" s="129"/>
    </row>
    <row r="133" spans="1:10" x14ac:dyDescent="0.3">
      <c r="A133" s="104" t="s">
        <v>281</v>
      </c>
      <c r="B133" s="83">
        <v>45772.375</v>
      </c>
      <c r="C133" s="84">
        <f t="shared" si="21"/>
        <v>89.000000000058208</v>
      </c>
      <c r="D133" s="3">
        <v>1047.2</v>
      </c>
      <c r="E133" s="3">
        <f t="shared" si="22"/>
        <v>1.0472000000000001</v>
      </c>
      <c r="F133" s="85">
        <f t="shared" si="23"/>
        <v>11.720914136001625</v>
      </c>
      <c r="G133" s="127">
        <v>1.9</v>
      </c>
      <c r="H133" s="202">
        <f t="shared" si="20"/>
        <v>2.787542603632251</v>
      </c>
      <c r="I133" s="87"/>
      <c r="J133" s="88"/>
    </row>
    <row r="134" spans="1:10" x14ac:dyDescent="0.3">
      <c r="A134" s="104" t="s">
        <v>259</v>
      </c>
      <c r="B134" s="83">
        <v>45773.40625</v>
      </c>
      <c r="C134" s="84">
        <f t="shared" si="21"/>
        <v>113.75000000005821</v>
      </c>
      <c r="D134" s="3">
        <v>1037</v>
      </c>
      <c r="E134" s="3">
        <f t="shared" si="22"/>
        <v>1.0369999999999999</v>
      </c>
      <c r="F134" s="85">
        <f t="shared" si="23"/>
        <v>9.2673304872453173</v>
      </c>
      <c r="G134" s="127">
        <v>2.8</v>
      </c>
      <c r="H134" s="202">
        <f t="shared" si="20"/>
        <v>4.4146569465752652</v>
      </c>
      <c r="I134" s="87"/>
      <c r="J134" s="88"/>
    </row>
    <row r="135" spans="1:10" x14ac:dyDescent="0.3">
      <c r="A135" s="104" t="s">
        <v>260</v>
      </c>
      <c r="B135" s="83">
        <v>45773.6875</v>
      </c>
      <c r="C135" s="84">
        <f t="shared" si="21"/>
        <v>120.50000000005821</v>
      </c>
      <c r="D135" s="3">
        <v>1033.4000000000001</v>
      </c>
      <c r="E135" s="3">
        <f t="shared" si="22"/>
        <v>1.0334000000000001</v>
      </c>
      <c r="F135" s="85">
        <f t="shared" si="23"/>
        <v>8.391083753309772</v>
      </c>
      <c r="G135" s="127">
        <v>3.45</v>
      </c>
      <c r="H135" s="202">
        <f t="shared" si="20"/>
        <v>4.9957472344348997</v>
      </c>
      <c r="I135" s="87"/>
      <c r="J135" s="88"/>
    </row>
    <row r="136" spans="1:10" x14ac:dyDescent="0.3">
      <c r="A136" s="104" t="s">
        <v>261</v>
      </c>
      <c r="B136" s="83">
        <v>45774.5625</v>
      </c>
      <c r="C136" s="84">
        <f t="shared" si="21"/>
        <v>141.50000000005821</v>
      </c>
      <c r="D136" s="3">
        <v>1025.2</v>
      </c>
      <c r="E136" s="3">
        <f t="shared" si="22"/>
        <v>1.0252000000000001</v>
      </c>
      <c r="F136" s="85">
        <f t="shared" si="23"/>
        <v>6.3747857353679365</v>
      </c>
      <c r="G136" s="126">
        <v>2.4</v>
      </c>
      <c r="H136" s="202">
        <f t="shared" si="20"/>
        <v>6.3328719851250597</v>
      </c>
      <c r="I136" s="87"/>
      <c r="J136" s="129">
        <v>4.5199999999999996</v>
      </c>
    </row>
    <row r="137" spans="1:10" x14ac:dyDescent="0.3">
      <c r="A137" s="104" t="s">
        <v>262</v>
      </c>
      <c r="B137" s="83">
        <v>45775.375</v>
      </c>
      <c r="C137" s="84">
        <f t="shared" si="21"/>
        <v>161.00000000005821</v>
      </c>
      <c r="D137" s="3">
        <v>1019.3</v>
      </c>
      <c r="E137" s="3">
        <f t="shared" si="22"/>
        <v>1.0192999999999999</v>
      </c>
      <c r="F137" s="85">
        <f t="shared" si="23"/>
        <v>4.9062247285772855</v>
      </c>
      <c r="G137" s="127">
        <v>5.95</v>
      </c>
      <c r="H137" s="202">
        <f t="shared" si="20"/>
        <v>7.3067603947772515</v>
      </c>
      <c r="I137" s="87"/>
      <c r="J137" s="129"/>
    </row>
    <row r="138" spans="1:10" x14ac:dyDescent="0.3">
      <c r="A138" s="104" t="s">
        <v>263</v>
      </c>
      <c r="B138" s="83">
        <v>45775.625</v>
      </c>
      <c r="C138" s="84">
        <f t="shared" si="21"/>
        <v>167.00000000005821</v>
      </c>
      <c r="D138" s="3">
        <v>1017.3</v>
      </c>
      <c r="E138" s="3">
        <f t="shared" si="22"/>
        <v>1.0172999999999999</v>
      </c>
      <c r="F138" s="85">
        <f t="shared" si="23"/>
        <v>4.4049784310395808</v>
      </c>
      <c r="G138" s="127">
        <v>7.4</v>
      </c>
      <c r="H138" s="202">
        <f t="shared" si="20"/>
        <v>7.6391660335595652</v>
      </c>
      <c r="I138" s="87"/>
      <c r="J138" s="88"/>
    </row>
    <row r="139" spans="1:10" x14ac:dyDescent="0.3">
      <c r="A139" s="104" t="s">
        <v>264</v>
      </c>
      <c r="B139" s="83">
        <v>45776.4375</v>
      </c>
      <c r="C139" s="84">
        <f t="shared" si="21"/>
        <v>186.50000000005821</v>
      </c>
      <c r="D139" s="3">
        <v>1012.9</v>
      </c>
      <c r="E139" s="3">
        <f t="shared" si="22"/>
        <v>1.0128999999999999</v>
      </c>
      <c r="F139" s="85">
        <f t="shared" si="23"/>
        <v>3.2960619325514244</v>
      </c>
      <c r="G139" s="127">
        <v>6.8</v>
      </c>
      <c r="H139" s="202">
        <f t="shared" si="20"/>
        <v>8.3745532051894465</v>
      </c>
      <c r="I139" s="87"/>
      <c r="J139" s="129"/>
    </row>
    <row r="140" spans="1:10" x14ac:dyDescent="0.3">
      <c r="A140" s="104" t="s">
        <v>265</v>
      </c>
      <c r="B140" s="83">
        <v>45776.625</v>
      </c>
      <c r="C140" s="84">
        <f t="shared" si="21"/>
        <v>191.00000000005821</v>
      </c>
      <c r="D140" s="3">
        <v>1010.7</v>
      </c>
      <c r="E140" s="3">
        <f t="shared" si="22"/>
        <v>1.0107000000000002</v>
      </c>
      <c r="F140" s="85">
        <f t="shared" si="23"/>
        <v>2.7383970983863719</v>
      </c>
      <c r="G140" s="127">
        <v>6</v>
      </c>
      <c r="H140" s="202">
        <f t="shared" si="20"/>
        <v>8.7443732643852421</v>
      </c>
      <c r="I140" s="87"/>
      <c r="J140" s="88"/>
    </row>
    <row r="141" spans="1:10" x14ac:dyDescent="0.3">
      <c r="A141" s="104" t="s">
        <v>266</v>
      </c>
      <c r="B141" s="83">
        <v>45777.375</v>
      </c>
      <c r="C141" s="84">
        <f t="shared" si="21"/>
        <v>209.00000000005821</v>
      </c>
      <c r="D141" s="3">
        <v>1008.6</v>
      </c>
      <c r="E141" s="3">
        <f t="shared" si="22"/>
        <v>1.0085999999999999</v>
      </c>
      <c r="F141" s="85">
        <f t="shared" si="23"/>
        <v>2.204072153713355</v>
      </c>
      <c r="G141" s="127">
        <v>7.3</v>
      </c>
      <c r="H141" s="202">
        <f t="shared" si="20"/>
        <v>9.0987152823190467</v>
      </c>
      <c r="I141" s="87"/>
      <c r="J141" s="129"/>
    </row>
    <row r="142" spans="1:10" x14ac:dyDescent="0.3">
      <c r="A142" s="104" t="s">
        <v>267</v>
      </c>
      <c r="B142" s="83">
        <v>45777.625</v>
      </c>
      <c r="C142" s="84">
        <f t="shared" si="21"/>
        <v>215.00000000005821</v>
      </c>
      <c r="D142" s="3">
        <v>1007</v>
      </c>
      <c r="E142" s="3">
        <f t="shared" si="22"/>
        <v>1.0069999999999999</v>
      </c>
      <c r="F142" s="85">
        <f t="shared" si="23"/>
        <v>1.7956442956141245</v>
      </c>
      <c r="G142" s="127">
        <v>6.65</v>
      </c>
      <c r="H142" s="202">
        <f t="shared" si="20"/>
        <v>9.3695676032935555</v>
      </c>
      <c r="I142" s="87"/>
      <c r="J142" s="88"/>
    </row>
    <row r="143" spans="1:10" x14ac:dyDescent="0.3">
      <c r="A143" s="104" t="s">
        <v>268</v>
      </c>
      <c r="B143" s="83">
        <v>45778.729166666664</v>
      </c>
      <c r="C143" s="84">
        <f t="shared" si="21"/>
        <v>241.5</v>
      </c>
      <c r="D143" s="3">
        <v>1003.7</v>
      </c>
      <c r="E143" s="3">
        <f t="shared" si="22"/>
        <v>1.0037</v>
      </c>
      <c r="F143" s="85">
        <f t="shared" si="23"/>
        <v>0.94962714050927843</v>
      </c>
      <c r="G143" s="126">
        <v>1</v>
      </c>
      <c r="H143" s="202">
        <f t="shared" si="20"/>
        <v>9.9306108952737198</v>
      </c>
      <c r="I143" s="87"/>
      <c r="J143" s="129">
        <v>9</v>
      </c>
    </row>
    <row r="144" spans="1:10" x14ac:dyDescent="0.3">
      <c r="A144" s="104" t="s">
        <v>270</v>
      </c>
      <c r="B144" s="83">
        <v>45779.4375</v>
      </c>
      <c r="C144" s="84">
        <f t="shared" si="21"/>
        <v>258.50000000005821</v>
      </c>
      <c r="D144" s="3">
        <v>1002.5</v>
      </c>
      <c r="E144" s="3">
        <f t="shared" si="22"/>
        <v>1.0024999999999999</v>
      </c>
      <c r="F144" s="85">
        <f t="shared" si="23"/>
        <v>0.64076471468899854</v>
      </c>
      <c r="G144" s="127">
        <v>8.35</v>
      </c>
      <c r="H144" s="202">
        <f t="shared" si="20"/>
        <v>10.135435574189023</v>
      </c>
      <c r="I144" s="87"/>
      <c r="J144" s="129"/>
    </row>
    <row r="145" spans="1:11" x14ac:dyDescent="0.3">
      <c r="A145" s="104" t="s">
        <v>271</v>
      </c>
      <c r="B145" s="83">
        <v>45780.5</v>
      </c>
      <c r="C145" s="84">
        <f t="shared" si="21"/>
        <v>284.00000000005821</v>
      </c>
      <c r="D145" s="3">
        <v>998.5</v>
      </c>
      <c r="E145" s="3">
        <f t="shared" si="22"/>
        <v>0.99850000000000005</v>
      </c>
      <c r="F145" s="85">
        <f t="shared" si="23"/>
        <v>-0.39350754485292327</v>
      </c>
      <c r="G145" s="126">
        <v>6.95</v>
      </c>
      <c r="H145" s="202">
        <f t="shared" si="20"/>
        <v>10.821321799776552</v>
      </c>
      <c r="I145" s="87"/>
      <c r="J145" s="129">
        <v>8.9600000000000009</v>
      </c>
    </row>
    <row r="146" spans="1:11" x14ac:dyDescent="0.3">
      <c r="A146" s="104" t="s">
        <v>272</v>
      </c>
      <c r="B146" s="83">
        <v>45781.5</v>
      </c>
      <c r="C146" s="84">
        <f t="shared" si="21"/>
        <v>308.00000000005821</v>
      </c>
      <c r="D146" s="3">
        <v>996</v>
      </c>
      <c r="E146" s="3">
        <f t="shared" si="22"/>
        <v>0.996</v>
      </c>
      <c r="F146" s="85">
        <f t="shared" si="23"/>
        <v>-1.0436465062464322</v>
      </c>
      <c r="G146" s="127">
        <v>10.1</v>
      </c>
      <c r="H146" s="202">
        <f t="shared" si="20"/>
        <v>11.25246684328288</v>
      </c>
      <c r="I146" s="87"/>
      <c r="J146" s="88"/>
    </row>
    <row r="147" spans="1:11" x14ac:dyDescent="0.3">
      <c r="A147" s="104" t="s">
        <v>273</v>
      </c>
      <c r="B147" s="83">
        <v>45782.40625</v>
      </c>
      <c r="C147" s="84">
        <f t="shared" si="21"/>
        <v>329.75000000005821</v>
      </c>
      <c r="D147" s="3">
        <v>996</v>
      </c>
      <c r="E147" s="3">
        <f t="shared" si="22"/>
        <v>0.996</v>
      </c>
      <c r="F147" s="85">
        <f t="shared" si="23"/>
        <v>-1.0436465062464322</v>
      </c>
      <c r="G147" s="127">
        <v>10.25</v>
      </c>
      <c r="H147" s="202">
        <f t="shared" si="20"/>
        <v>11.25246684328288</v>
      </c>
      <c r="I147" s="87"/>
      <c r="J147" s="88"/>
    </row>
    <row r="148" spans="1:11" x14ac:dyDescent="0.3">
      <c r="A148" s="104" t="s">
        <v>274</v>
      </c>
      <c r="B148" s="83">
        <v>45782.625</v>
      </c>
      <c r="C148" s="84">
        <f t="shared" si="21"/>
        <v>335.00000000005821</v>
      </c>
      <c r="D148" s="3">
        <v>993.8</v>
      </c>
      <c r="E148" s="3">
        <f t="shared" si="22"/>
        <v>0.99379999999999991</v>
      </c>
      <c r="F148" s="85">
        <f t="shared" si="23"/>
        <v>-1.6181515065426311</v>
      </c>
      <c r="G148" s="127">
        <v>10.5</v>
      </c>
      <c r="H148" s="202">
        <f t="shared" si="20"/>
        <v>11.633454598295128</v>
      </c>
      <c r="I148" s="87"/>
      <c r="J148" s="88"/>
    </row>
    <row r="149" spans="1:11" x14ac:dyDescent="0.3">
      <c r="A149" s="104" t="s">
        <v>432</v>
      </c>
      <c r="B149" s="83">
        <v>45783.416666666664</v>
      </c>
      <c r="C149" s="84">
        <f t="shared" si="21"/>
        <v>354</v>
      </c>
      <c r="D149" s="3">
        <v>994.4</v>
      </c>
      <c r="E149" s="3">
        <f t="shared" si="22"/>
        <v>0.99439999999999995</v>
      </c>
      <c r="F149" s="85">
        <f t="shared" si="23"/>
        <v>-1.4612463873610295</v>
      </c>
      <c r="G149" s="127">
        <v>11.25</v>
      </c>
      <c r="H149" s="202">
        <f t="shared" si="20"/>
        <v>11.529401667378762</v>
      </c>
      <c r="I149" s="87"/>
      <c r="J149" s="88"/>
    </row>
    <row r="150" spans="1:11" x14ac:dyDescent="0.3">
      <c r="A150" s="104" t="s">
        <v>435</v>
      </c>
      <c r="B150" s="83">
        <v>45783.645833333336</v>
      </c>
      <c r="C150" s="84">
        <f t="shared" si="21"/>
        <v>359.50000000011642</v>
      </c>
      <c r="D150" s="3">
        <v>993.1</v>
      </c>
      <c r="E150" s="3">
        <f t="shared" si="22"/>
        <v>0.99309999999999998</v>
      </c>
      <c r="F150" s="85">
        <f t="shared" si="23"/>
        <v>-1.8014183384831313</v>
      </c>
      <c r="G150" s="127">
        <v>11.3</v>
      </c>
      <c r="H150" s="202">
        <f t="shared" si="20"/>
        <v>11.754989517631286</v>
      </c>
      <c r="I150" s="87"/>
      <c r="J150" s="88"/>
    </row>
    <row r="151" spans="1:11" ht="15" thickBot="1" x14ac:dyDescent="0.35">
      <c r="A151" s="119" t="s">
        <v>433</v>
      </c>
      <c r="B151" s="93">
        <v>45784.4375</v>
      </c>
      <c r="C151" s="94">
        <f t="shared" si="21"/>
        <v>378.50000000005821</v>
      </c>
      <c r="D151" s="95">
        <v>992.3</v>
      </c>
      <c r="E151" s="95">
        <f t="shared" si="22"/>
        <v>0.99229999999999996</v>
      </c>
      <c r="F151" s="96">
        <f t="shared" si="23"/>
        <v>-2.0111446627789746</v>
      </c>
      <c r="G151" s="131">
        <v>10.3</v>
      </c>
      <c r="H151" s="96">
        <f t="shared" si="20"/>
        <v>11.894071268737452</v>
      </c>
      <c r="I151" s="97"/>
      <c r="J151" s="195">
        <v>12.09</v>
      </c>
      <c r="K151" s="91">
        <f>(H151-J151)^2</f>
        <v>3.8388067734151647E-2</v>
      </c>
    </row>
    <row r="152" spans="1:11" x14ac:dyDescent="0.3">
      <c r="A152" s="98" t="s">
        <v>283</v>
      </c>
      <c r="B152" s="99">
        <v>45768.666666666664</v>
      </c>
      <c r="C152" s="100">
        <v>0</v>
      </c>
      <c r="D152" s="101">
        <v>1059</v>
      </c>
      <c r="E152" s="101">
        <f t="shared" si="22"/>
        <v>1.0589999999999999</v>
      </c>
      <c r="F152" s="86">
        <f t="shared" si="23"/>
        <v>14.506889407077892</v>
      </c>
      <c r="G152" s="194">
        <v>0.94</v>
      </c>
      <c r="H152" s="86">
        <f>G152</f>
        <v>0.94</v>
      </c>
      <c r="I152" s="102"/>
      <c r="J152" s="103"/>
    </row>
    <row r="153" spans="1:11" x14ac:dyDescent="0.3">
      <c r="A153" s="104" t="s">
        <v>285</v>
      </c>
      <c r="B153" s="83">
        <v>45768.833333333336</v>
      </c>
      <c r="C153" s="84">
        <f>(B153-B152)*24+C152</f>
        <v>4.0000000001164153</v>
      </c>
      <c r="D153" s="3">
        <v>1059.3</v>
      </c>
      <c r="E153" s="3">
        <f t="shared" si="22"/>
        <v>1.0592999999999999</v>
      </c>
      <c r="F153" s="85">
        <f t="shared" si="23"/>
        <v>14.57700016695901</v>
      </c>
      <c r="G153" s="127">
        <v>2.0499999999999998</v>
      </c>
      <c r="H153" s="202">
        <f t="shared" ref="H153:H180" si="24">MAX(0,$G$152+($F$152-F153)*$M$8)</f>
        <v>0.8935054681934218</v>
      </c>
      <c r="I153" s="87"/>
      <c r="J153" s="88"/>
    </row>
    <row r="154" spans="1:11" x14ac:dyDescent="0.3">
      <c r="A154" s="104" t="s">
        <v>296</v>
      </c>
      <c r="B154" s="83">
        <v>45769.375</v>
      </c>
      <c r="C154" s="84">
        <f t="shared" ref="C154:C180" si="25">(B154-B153)*24+C153</f>
        <v>17.000000000058208</v>
      </c>
      <c r="D154" s="3">
        <v>1059.4000000000001</v>
      </c>
      <c r="E154" s="3">
        <f t="shared" si="22"/>
        <v>1.0594000000000001</v>
      </c>
      <c r="F154" s="85">
        <f t="shared" si="23"/>
        <v>14.600362585107064</v>
      </c>
      <c r="G154" s="127">
        <v>2.1</v>
      </c>
      <c r="H154" s="202">
        <f t="shared" si="24"/>
        <v>0.87801248686637445</v>
      </c>
      <c r="I154" s="87"/>
      <c r="J154" s="88"/>
    </row>
    <row r="155" spans="1:11" x14ac:dyDescent="0.3">
      <c r="A155" s="104" t="s">
        <v>302</v>
      </c>
      <c r="B155" s="83">
        <v>45769.625</v>
      </c>
      <c r="C155" s="84">
        <f t="shared" si="25"/>
        <v>23.000000000058208</v>
      </c>
      <c r="D155" s="3">
        <v>1058.5</v>
      </c>
      <c r="E155" s="3">
        <f t="shared" si="22"/>
        <v>1.0585</v>
      </c>
      <c r="F155" s="85">
        <f t="shared" si="23"/>
        <v>14.389959723467541</v>
      </c>
      <c r="G155" s="127">
        <v>1.9</v>
      </c>
      <c r="H155" s="202">
        <f t="shared" si="24"/>
        <v>1.0175428893221679</v>
      </c>
      <c r="I155" s="87"/>
      <c r="J155" s="88"/>
    </row>
    <row r="156" spans="1:11" x14ac:dyDescent="0.3">
      <c r="A156" s="104" t="s">
        <v>303</v>
      </c>
      <c r="B156" s="83">
        <v>45770.395833333336</v>
      </c>
      <c r="C156" s="84">
        <f t="shared" si="25"/>
        <v>41.500000000116415</v>
      </c>
      <c r="D156" s="3">
        <v>1058.5999999999999</v>
      </c>
      <c r="E156" s="3">
        <f t="shared" si="22"/>
        <v>1.0586</v>
      </c>
      <c r="F156" s="85">
        <f t="shared" si="23"/>
        <v>14.41335350701263</v>
      </c>
      <c r="G156" s="127">
        <v>1.4</v>
      </c>
      <c r="H156" s="202">
        <f t="shared" si="24"/>
        <v>1.0020291077719801</v>
      </c>
      <c r="I156" s="87"/>
      <c r="J156" s="129"/>
    </row>
    <row r="157" spans="1:11" x14ac:dyDescent="0.3">
      <c r="A157" s="104" t="s">
        <v>304</v>
      </c>
      <c r="B157" s="83">
        <v>45770.479166666664</v>
      </c>
      <c r="C157" s="84">
        <f t="shared" si="25"/>
        <v>43.5</v>
      </c>
      <c r="D157" s="3">
        <v>1058.4000000000001</v>
      </c>
      <c r="E157" s="3">
        <f t="shared" si="22"/>
        <v>1.0584</v>
      </c>
      <c r="F157" s="85">
        <f t="shared" si="23"/>
        <v>14.366562014321516</v>
      </c>
      <c r="G157" s="127">
        <v>1.55</v>
      </c>
      <c r="H157" s="202">
        <f t="shared" si="24"/>
        <v>1.0330592741671694</v>
      </c>
      <c r="I157" s="87"/>
      <c r="J157" s="88"/>
    </row>
    <row r="158" spans="1:11" x14ac:dyDescent="0.3">
      <c r="A158" s="104" t="s">
        <v>305</v>
      </c>
      <c r="B158" s="83">
        <v>45770.666666666664</v>
      </c>
      <c r="C158" s="84">
        <f t="shared" si="25"/>
        <v>48</v>
      </c>
      <c r="D158" s="3">
        <v>1055.2</v>
      </c>
      <c r="E158" s="3">
        <f t="shared" si="22"/>
        <v>1.0552000000000001</v>
      </c>
      <c r="F158" s="85">
        <f t="shared" si="23"/>
        <v>13.615756053243445</v>
      </c>
      <c r="G158" s="127">
        <v>1.65</v>
      </c>
      <c r="H158" s="202">
        <f t="shared" si="24"/>
        <v>1.5309624732924503</v>
      </c>
      <c r="I158" s="87"/>
      <c r="J158" s="88"/>
    </row>
    <row r="159" spans="1:11" x14ac:dyDescent="0.3">
      <c r="A159" s="104" t="s">
        <v>306</v>
      </c>
      <c r="B159" s="83">
        <v>45771.395833333336</v>
      </c>
      <c r="C159" s="84">
        <f t="shared" si="25"/>
        <v>65.500000000116415</v>
      </c>
      <c r="D159" s="3">
        <v>1058</v>
      </c>
      <c r="E159" s="3">
        <f t="shared" si="22"/>
        <v>1.0580000000000001</v>
      </c>
      <c r="F159" s="85">
        <f t="shared" si="23"/>
        <v>14.272931899831065</v>
      </c>
      <c r="G159" s="127">
        <v>1.35</v>
      </c>
      <c r="H159" s="202">
        <f t="shared" si="24"/>
        <v>1.095150861016484</v>
      </c>
      <c r="I159" s="87"/>
      <c r="J159" s="129"/>
    </row>
    <row r="160" spans="1:11" x14ac:dyDescent="0.3">
      <c r="A160" s="104" t="s">
        <v>307</v>
      </c>
      <c r="B160" s="83">
        <v>45771.625</v>
      </c>
      <c r="C160" s="84">
        <f t="shared" si="25"/>
        <v>71.000000000058208</v>
      </c>
      <c r="D160" s="3">
        <v>1056.3</v>
      </c>
      <c r="E160" s="3">
        <f t="shared" si="22"/>
        <v>1.0563</v>
      </c>
      <c r="F160" s="85">
        <f t="shared" si="23"/>
        <v>13.874301369588807</v>
      </c>
      <c r="G160" s="127">
        <v>1.5</v>
      </c>
      <c r="H160" s="202">
        <f t="shared" si="24"/>
        <v>1.359506002778589</v>
      </c>
      <c r="I160" s="87"/>
      <c r="J160" s="88"/>
    </row>
    <row r="161" spans="1:10" x14ac:dyDescent="0.3">
      <c r="A161" s="104" t="s">
        <v>308</v>
      </c>
      <c r="B161" s="83">
        <v>45772.375</v>
      </c>
      <c r="C161" s="84">
        <f t="shared" si="25"/>
        <v>89.000000000058208</v>
      </c>
      <c r="D161" s="3">
        <v>1057.2</v>
      </c>
      <c r="E161" s="3">
        <f t="shared" si="22"/>
        <v>1.0572000000000001</v>
      </c>
      <c r="F161" s="85">
        <f t="shared" si="23"/>
        <v>14.085482909193047</v>
      </c>
      <c r="G161" s="127">
        <v>2</v>
      </c>
      <c r="H161" s="202">
        <f t="shared" si="24"/>
        <v>1.2194592135733291</v>
      </c>
      <c r="I161" s="87"/>
      <c r="J161" s="129"/>
    </row>
    <row r="162" spans="1:10" x14ac:dyDescent="0.3">
      <c r="A162" s="104" t="s">
        <v>286</v>
      </c>
      <c r="B162" s="83">
        <v>45773.40625</v>
      </c>
      <c r="C162" s="84">
        <f t="shared" si="25"/>
        <v>113.75000000005821</v>
      </c>
      <c r="D162" s="3">
        <v>1055.0999999999999</v>
      </c>
      <c r="E162" s="3">
        <f t="shared" si="22"/>
        <v>1.0550999999999999</v>
      </c>
      <c r="F162" s="85">
        <f t="shared" si="23"/>
        <v>13.592228185101817</v>
      </c>
      <c r="G162" s="126">
        <v>1.35</v>
      </c>
      <c r="H162" s="202">
        <f t="shared" si="24"/>
        <v>1.5465651741547255</v>
      </c>
      <c r="I162" s="87"/>
      <c r="J162" s="129">
        <v>2.4000000000000004</v>
      </c>
    </row>
    <row r="163" spans="1:10" x14ac:dyDescent="0.3">
      <c r="A163" s="104" t="s">
        <v>309</v>
      </c>
      <c r="B163" s="83">
        <v>45773.652777777781</v>
      </c>
      <c r="C163" s="84">
        <f t="shared" si="25"/>
        <v>119.66666666680248</v>
      </c>
      <c r="D163" s="3">
        <v>1051.8</v>
      </c>
      <c r="E163" s="3">
        <f t="shared" si="22"/>
        <v>1.0517999999999998</v>
      </c>
      <c r="F163" s="85">
        <f t="shared" si="23"/>
        <v>12.813578841733602</v>
      </c>
      <c r="G163" s="3">
        <v>0</v>
      </c>
      <c r="H163" s="202">
        <f t="shared" si="24"/>
        <v>2.0629329431361438</v>
      </c>
      <c r="I163" s="87"/>
      <c r="J163" s="88"/>
    </row>
    <row r="164" spans="1:10" x14ac:dyDescent="0.3">
      <c r="A164" s="104" t="s">
        <v>287</v>
      </c>
      <c r="B164" s="83">
        <v>45773.6875</v>
      </c>
      <c r="C164" s="84">
        <f t="shared" si="25"/>
        <v>120.50000000005821</v>
      </c>
      <c r="D164" s="3">
        <v>1049.9000000000001</v>
      </c>
      <c r="E164" s="3">
        <f t="shared" si="22"/>
        <v>1.0499000000000001</v>
      </c>
      <c r="F164" s="85">
        <f t="shared" si="23"/>
        <v>12.363292625914596</v>
      </c>
      <c r="G164" s="127">
        <v>2.7</v>
      </c>
      <c r="H164" s="202">
        <f t="shared" si="24"/>
        <v>2.3615439811417231</v>
      </c>
      <c r="I164" s="87"/>
      <c r="J164" s="88"/>
    </row>
    <row r="165" spans="1:10" x14ac:dyDescent="0.3">
      <c r="A165" s="104" t="s">
        <v>288</v>
      </c>
      <c r="B165" s="83">
        <v>45774.5625</v>
      </c>
      <c r="C165" s="84">
        <f t="shared" si="25"/>
        <v>141.50000000005821</v>
      </c>
      <c r="D165" s="3">
        <v>1037.5999999999999</v>
      </c>
      <c r="E165" s="3">
        <f t="shared" si="22"/>
        <v>1.0375999999999999</v>
      </c>
      <c r="F165" s="85">
        <f t="shared" si="23"/>
        <v>9.4128459473727162</v>
      </c>
      <c r="G165" s="127">
        <v>4.7</v>
      </c>
      <c r="H165" s="202">
        <f t="shared" si="24"/>
        <v>4.318157162509106</v>
      </c>
      <c r="I165" s="87"/>
      <c r="J165" s="129"/>
    </row>
    <row r="166" spans="1:10" x14ac:dyDescent="0.3">
      <c r="A166" s="104" t="s">
        <v>289</v>
      </c>
      <c r="B166" s="83">
        <v>45775.375</v>
      </c>
      <c r="C166" s="84">
        <f t="shared" si="25"/>
        <v>161.00000000005821</v>
      </c>
      <c r="D166" s="3">
        <v>1024.5</v>
      </c>
      <c r="E166" s="3">
        <f t="shared" si="22"/>
        <v>1.0245</v>
      </c>
      <c r="F166" s="85">
        <f t="shared" si="23"/>
        <v>6.2013348755880315</v>
      </c>
      <c r="G166" s="127">
        <v>5.2</v>
      </c>
      <c r="H166" s="202">
        <f t="shared" si="24"/>
        <v>6.4478973611242587</v>
      </c>
      <c r="I166" s="87"/>
      <c r="J166" s="129"/>
    </row>
    <row r="167" spans="1:10" x14ac:dyDescent="0.3">
      <c r="A167" s="104" t="s">
        <v>290</v>
      </c>
      <c r="B167" s="83">
        <v>45775.625</v>
      </c>
      <c r="C167" s="84">
        <f t="shared" si="25"/>
        <v>167.00000000005821</v>
      </c>
      <c r="D167" s="3">
        <v>1021.2</v>
      </c>
      <c r="E167" s="3">
        <f t="shared" si="22"/>
        <v>1.0212000000000001</v>
      </c>
      <c r="F167" s="85">
        <f t="shared" si="23"/>
        <v>5.3807951421956659</v>
      </c>
      <c r="G167" s="126">
        <v>6.7</v>
      </c>
      <c r="H167" s="202">
        <f t="shared" si="24"/>
        <v>6.9920450896250212</v>
      </c>
      <c r="I167" s="87"/>
      <c r="J167" s="129">
        <v>6.3199999999999994</v>
      </c>
    </row>
    <row r="168" spans="1:10" x14ac:dyDescent="0.3">
      <c r="A168" s="104" t="s">
        <v>291</v>
      </c>
      <c r="B168" s="83">
        <v>45776.4375</v>
      </c>
      <c r="C168" s="84">
        <f t="shared" si="25"/>
        <v>186.50000000005821</v>
      </c>
      <c r="D168" s="3">
        <v>1015.5</v>
      </c>
      <c r="E168" s="3">
        <f t="shared" si="22"/>
        <v>1.0155000000000001</v>
      </c>
      <c r="F168" s="85">
        <f t="shared" si="23"/>
        <v>3.9523602011547609</v>
      </c>
      <c r="G168" s="127">
        <v>5.9</v>
      </c>
      <c r="H168" s="202">
        <f t="shared" si="24"/>
        <v>7.9393235660310477</v>
      </c>
      <c r="I168" s="87"/>
      <c r="J168" s="129"/>
    </row>
    <row r="169" spans="1:10" x14ac:dyDescent="0.3">
      <c r="A169" s="104" t="s">
        <v>292</v>
      </c>
      <c r="B169" s="83">
        <v>45776.625</v>
      </c>
      <c r="C169" s="84">
        <f t="shared" si="25"/>
        <v>191.00000000005821</v>
      </c>
      <c r="D169" s="3">
        <v>1013.7</v>
      </c>
      <c r="E169" s="3">
        <f t="shared" si="22"/>
        <v>1.0137</v>
      </c>
      <c r="F169" s="85">
        <f t="shared" si="23"/>
        <v>3.4983175544836058</v>
      </c>
      <c r="G169" s="126">
        <v>5.5</v>
      </c>
      <c r="H169" s="202">
        <f t="shared" si="24"/>
        <v>8.2404257123063225</v>
      </c>
      <c r="I169" s="87"/>
      <c r="J169" s="129">
        <v>7.3600000000000012</v>
      </c>
    </row>
    <row r="170" spans="1:10" x14ac:dyDescent="0.3">
      <c r="A170" s="104" t="s">
        <v>293</v>
      </c>
      <c r="B170" s="83">
        <v>45777.375</v>
      </c>
      <c r="C170" s="84">
        <f t="shared" si="25"/>
        <v>209.00000000005821</v>
      </c>
      <c r="D170" s="3">
        <v>1010.4</v>
      </c>
      <c r="E170" s="3">
        <f t="shared" si="22"/>
        <v>1.0104</v>
      </c>
      <c r="F170" s="85">
        <f t="shared" si="23"/>
        <v>2.6621853201097565</v>
      </c>
      <c r="G170" s="127">
        <v>6.25</v>
      </c>
      <c r="H170" s="202">
        <f t="shared" si="24"/>
        <v>8.7949137371333101</v>
      </c>
      <c r="I170" s="87"/>
      <c r="J170" s="129"/>
    </row>
    <row r="171" spans="1:10" x14ac:dyDescent="0.3">
      <c r="A171" s="104" t="s">
        <v>294</v>
      </c>
      <c r="B171" s="83">
        <v>45777.625</v>
      </c>
      <c r="C171" s="84">
        <f t="shared" si="25"/>
        <v>215.00000000005821</v>
      </c>
      <c r="D171" s="3">
        <v>1009.4</v>
      </c>
      <c r="E171" s="3">
        <f t="shared" si="22"/>
        <v>1.0094000000000001</v>
      </c>
      <c r="F171" s="85">
        <f t="shared" si="23"/>
        <v>2.4078565013917341</v>
      </c>
      <c r="G171" s="126">
        <v>5.35</v>
      </c>
      <c r="H171" s="202">
        <f t="shared" si="24"/>
        <v>8.9635740022804171</v>
      </c>
      <c r="I171" s="87"/>
      <c r="J171" s="132">
        <v>7.9599999999999991</v>
      </c>
    </row>
    <row r="172" spans="1:10" x14ac:dyDescent="0.3">
      <c r="A172" s="104" t="s">
        <v>295</v>
      </c>
      <c r="B172" s="83">
        <v>45778.729166666664</v>
      </c>
      <c r="C172" s="84">
        <f t="shared" si="25"/>
        <v>241.5</v>
      </c>
      <c r="D172" s="3">
        <v>1006.2</v>
      </c>
      <c r="E172" s="3">
        <f t="shared" si="22"/>
        <v>1.0062</v>
      </c>
      <c r="F172" s="85">
        <f t="shared" si="23"/>
        <v>1.5909996641587441</v>
      </c>
      <c r="G172" s="127">
        <v>7.3</v>
      </c>
      <c r="H172" s="202">
        <f t="shared" si="24"/>
        <v>9.5052793876527808</v>
      </c>
      <c r="I172" s="87"/>
      <c r="J172" s="129"/>
    </row>
    <row r="173" spans="1:10" x14ac:dyDescent="0.3">
      <c r="A173" s="104" t="s">
        <v>297</v>
      </c>
      <c r="B173" s="83">
        <v>45779.4375</v>
      </c>
      <c r="C173" s="84">
        <f t="shared" si="25"/>
        <v>258.50000000005821</v>
      </c>
      <c r="D173" s="3">
        <v>1004.6</v>
      </c>
      <c r="E173" s="3">
        <f t="shared" si="22"/>
        <v>1.0045999999999999</v>
      </c>
      <c r="F173" s="85">
        <f t="shared" si="23"/>
        <v>1.1808461938481969</v>
      </c>
      <c r="G173" s="127">
        <v>8.1999999999999993</v>
      </c>
      <c r="H173" s="202">
        <f t="shared" si="24"/>
        <v>9.7772760626748134</v>
      </c>
      <c r="I173" s="87"/>
      <c r="J173" s="129"/>
    </row>
    <row r="174" spans="1:10" x14ac:dyDescent="0.3">
      <c r="A174" s="104" t="s">
        <v>298</v>
      </c>
      <c r="B174" s="83">
        <v>45780.5</v>
      </c>
      <c r="C174" s="84">
        <f t="shared" si="25"/>
        <v>284.00000000005821</v>
      </c>
      <c r="D174" s="3">
        <v>1000.2</v>
      </c>
      <c r="E174" s="3">
        <f t="shared" si="22"/>
        <v>1.0002</v>
      </c>
      <c r="F174" s="85">
        <f t="shared" si="23"/>
        <v>4.694996938769691E-2</v>
      </c>
      <c r="G174" s="126">
        <v>6.2</v>
      </c>
      <c r="H174" s="202">
        <f t="shared" si="24"/>
        <v>10.529228746726899</v>
      </c>
      <c r="I174" s="87"/>
      <c r="J174" s="132">
        <v>7.4799999999999995</v>
      </c>
    </row>
    <row r="175" spans="1:10" x14ac:dyDescent="0.3">
      <c r="A175" s="104" t="s">
        <v>299</v>
      </c>
      <c r="B175" s="83">
        <v>45781.5</v>
      </c>
      <c r="C175" s="84">
        <f t="shared" si="25"/>
        <v>308.00000000005821</v>
      </c>
      <c r="D175" s="3">
        <v>997.8</v>
      </c>
      <c r="E175" s="3">
        <f t="shared" si="22"/>
        <v>0.99779999999999991</v>
      </c>
      <c r="F175" s="85">
        <f t="shared" si="23"/>
        <v>-0.57525702354712394</v>
      </c>
      <c r="G175" s="127">
        <v>8.6</v>
      </c>
      <c r="H175" s="202">
        <f t="shared" si="24"/>
        <v>10.94185047372482</v>
      </c>
      <c r="I175" s="87"/>
      <c r="J175" s="129"/>
    </row>
    <row r="176" spans="1:10" x14ac:dyDescent="0.3">
      <c r="A176" s="104" t="s">
        <v>300</v>
      </c>
      <c r="B176" s="83">
        <v>45782.40625</v>
      </c>
      <c r="C176" s="84">
        <f t="shared" si="25"/>
        <v>329.75000000005821</v>
      </c>
      <c r="D176" s="3">
        <v>997.1</v>
      </c>
      <c r="E176" s="3">
        <f t="shared" si="22"/>
        <v>0.99709999999999999</v>
      </c>
      <c r="F176" s="85">
        <f t="shared" si="23"/>
        <v>-0.75723141815740291</v>
      </c>
      <c r="G176" s="127">
        <v>9</v>
      </c>
      <c r="H176" s="202">
        <f t="shared" si="24"/>
        <v>11.062528302527943</v>
      </c>
      <c r="I176" s="87"/>
      <c r="J176" s="129"/>
    </row>
    <row r="177" spans="1:11" x14ac:dyDescent="0.3">
      <c r="A177" s="104" t="s">
        <v>301</v>
      </c>
      <c r="B177" s="83">
        <v>45782.625</v>
      </c>
      <c r="C177" s="84">
        <f t="shared" si="25"/>
        <v>335.00000000005821</v>
      </c>
      <c r="D177" s="3">
        <v>996.3</v>
      </c>
      <c r="E177" s="3">
        <f t="shared" si="22"/>
        <v>0.99629999999999996</v>
      </c>
      <c r="F177" s="85">
        <f t="shared" si="23"/>
        <v>-0.96547804379338231</v>
      </c>
      <c r="G177" s="127">
        <v>9.8000000000000007</v>
      </c>
      <c r="H177" s="202">
        <f t="shared" si="24"/>
        <v>11.200628779197464</v>
      </c>
      <c r="I177" s="87"/>
      <c r="J177" s="129"/>
    </row>
    <row r="178" spans="1:11" x14ac:dyDescent="0.3">
      <c r="A178" s="104" t="s">
        <v>434</v>
      </c>
      <c r="B178" s="83">
        <v>45783.416666666664</v>
      </c>
      <c r="C178" s="84">
        <f t="shared" si="25"/>
        <v>354</v>
      </c>
      <c r="D178" s="3">
        <v>995.4</v>
      </c>
      <c r="E178" s="3">
        <f t="shared" si="22"/>
        <v>0.99539999999999995</v>
      </c>
      <c r="F178" s="85">
        <f t="shared" si="23"/>
        <v>-1.2001079260244296</v>
      </c>
      <c r="G178" s="127">
        <v>11.15</v>
      </c>
      <c r="H178" s="202">
        <f t="shared" si="24"/>
        <v>11.356225531260382</v>
      </c>
      <c r="I178" s="87"/>
      <c r="J178" s="129"/>
    </row>
    <row r="179" spans="1:11" x14ac:dyDescent="0.3">
      <c r="A179" s="104" t="s">
        <v>436</v>
      </c>
      <c r="B179" s="83">
        <v>45783.645833333336</v>
      </c>
      <c r="C179" s="84">
        <f t="shared" si="25"/>
        <v>359.50000000011642</v>
      </c>
      <c r="D179" s="3">
        <v>994.1</v>
      </c>
      <c r="E179" s="3">
        <f t="shared" si="22"/>
        <v>0.99409999999999998</v>
      </c>
      <c r="F179" s="85">
        <f t="shared" si="23"/>
        <v>-1.5396781091309322</v>
      </c>
      <c r="G179" s="126">
        <v>11.2</v>
      </c>
      <c r="H179" s="202">
        <f t="shared" si="24"/>
        <v>11.581414314063219</v>
      </c>
      <c r="I179" s="87"/>
      <c r="J179" s="129">
        <v>9.7200000000000006</v>
      </c>
    </row>
    <row r="180" spans="1:11" ht="15" thickBot="1" x14ac:dyDescent="0.35">
      <c r="A180" s="106" t="s">
        <v>437</v>
      </c>
      <c r="B180" s="107">
        <v>45784.4375</v>
      </c>
      <c r="C180" s="108">
        <f t="shared" si="25"/>
        <v>378.50000000005821</v>
      </c>
      <c r="D180" s="109">
        <v>993.5</v>
      </c>
      <c r="E180" s="109">
        <f t="shared" si="22"/>
        <v>0.99350000000000005</v>
      </c>
      <c r="F180" s="110">
        <f t="shared" si="23"/>
        <v>-1.6966666091550451</v>
      </c>
      <c r="G180" s="133">
        <v>9.1999999999999993</v>
      </c>
      <c r="H180" s="110">
        <f t="shared" si="24"/>
        <v>11.685522539676731</v>
      </c>
      <c r="I180" s="111"/>
      <c r="J180" s="193">
        <v>11.9</v>
      </c>
      <c r="K180" s="91">
        <f>(H180-J180)^2</f>
        <v>4.6000580986719754E-2</v>
      </c>
    </row>
    <row r="181" spans="1:11" x14ac:dyDescent="0.3">
      <c r="B181" s="46"/>
      <c r="C181" s="46"/>
      <c r="D181" s="134"/>
      <c r="E181" s="134"/>
      <c r="F181" s="134"/>
      <c r="G181" s="19"/>
      <c r="H181" s="134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5FC41-5F4E-482F-AD9E-BB3EE9104EBC}">
  <dimension ref="A1:K92"/>
  <sheetViews>
    <sheetView topLeftCell="A46" zoomScale="55" zoomScaleNormal="55" workbookViewId="0">
      <pane xSplit="1" topLeftCell="J1" activePane="topRight" state="frozen"/>
      <selection pane="topRight" activeCell="J73" sqref="J73:J74"/>
    </sheetView>
  </sheetViews>
  <sheetFormatPr baseColWidth="10" defaultColWidth="11.44140625" defaultRowHeight="14.4" x14ac:dyDescent="0.3"/>
  <cols>
    <col min="1" max="1" width="35.44140625" bestFit="1" customWidth="1"/>
    <col min="2" max="2" width="12.5546875" bestFit="1" customWidth="1"/>
    <col min="3" max="3" width="19.109375" bestFit="1" customWidth="1"/>
    <col min="4" max="4" width="17.5546875" bestFit="1" customWidth="1"/>
    <col min="5" max="8" width="18.33203125" bestFit="1" customWidth="1"/>
    <col min="9" max="9" width="18" bestFit="1" customWidth="1"/>
    <col min="10" max="11" width="18.33203125" bestFit="1" customWidth="1"/>
    <col min="12" max="14" width="11.44140625" customWidth="1"/>
  </cols>
  <sheetData>
    <row r="1" spans="1:11" x14ac:dyDescent="0.3">
      <c r="A1" s="21" t="s">
        <v>29</v>
      </c>
      <c r="B1" s="21" t="s">
        <v>30</v>
      </c>
      <c r="C1" s="21" t="s">
        <v>31</v>
      </c>
      <c r="D1" s="21" t="s">
        <v>438</v>
      </c>
      <c r="E1" s="21" t="s">
        <v>439</v>
      </c>
      <c r="F1" s="21" t="s">
        <v>440</v>
      </c>
      <c r="G1" s="21" t="s">
        <v>441</v>
      </c>
      <c r="H1" s="21" t="s">
        <v>442</v>
      </c>
      <c r="I1" s="21" t="s">
        <v>443</v>
      </c>
      <c r="J1" s="21" t="s">
        <v>444</v>
      </c>
      <c r="K1" s="21" t="s">
        <v>445</v>
      </c>
    </row>
    <row r="2" spans="1:11" x14ac:dyDescent="0.3">
      <c r="A2" t="s">
        <v>124</v>
      </c>
      <c r="B2" t="s">
        <v>123</v>
      </c>
      <c r="C2" s="46">
        <v>45730.445833333331</v>
      </c>
      <c r="H2" t="s">
        <v>93</v>
      </c>
    </row>
    <row r="3" spans="1:11" x14ac:dyDescent="0.3">
      <c r="A3" t="s">
        <v>125</v>
      </c>
      <c r="B3" t="s">
        <v>123</v>
      </c>
      <c r="C3" s="46">
        <v>45731.458333333336</v>
      </c>
      <c r="D3" t="s">
        <v>446</v>
      </c>
      <c r="E3" t="s">
        <v>447</v>
      </c>
    </row>
    <row r="4" spans="1:11" x14ac:dyDescent="0.3">
      <c r="A4" t="s">
        <v>126</v>
      </c>
      <c r="B4" t="s">
        <v>123</v>
      </c>
      <c r="C4" s="46">
        <v>45731.618055555555</v>
      </c>
      <c r="D4" t="s">
        <v>446</v>
      </c>
      <c r="E4" t="s">
        <v>447</v>
      </c>
      <c r="H4" t="s">
        <v>93</v>
      </c>
    </row>
    <row r="5" spans="1:11" x14ac:dyDescent="0.3">
      <c r="A5" t="s">
        <v>129</v>
      </c>
      <c r="B5" t="s">
        <v>123</v>
      </c>
      <c r="C5" s="46">
        <v>45733.625</v>
      </c>
      <c r="J5" t="s">
        <v>99</v>
      </c>
    </row>
    <row r="6" spans="1:11" x14ac:dyDescent="0.3">
      <c r="A6" t="s">
        <v>130</v>
      </c>
      <c r="B6" t="s">
        <v>123</v>
      </c>
      <c r="C6" s="46">
        <v>45734.430555555555</v>
      </c>
      <c r="J6" t="s">
        <v>99</v>
      </c>
    </row>
    <row r="7" spans="1:11" x14ac:dyDescent="0.3">
      <c r="A7" t="s">
        <v>131</v>
      </c>
      <c r="B7" t="s">
        <v>123</v>
      </c>
      <c r="C7" s="46">
        <v>45734.631944444445</v>
      </c>
      <c r="J7" t="s">
        <v>99</v>
      </c>
    </row>
    <row r="8" spans="1:11" x14ac:dyDescent="0.3">
      <c r="A8" t="s">
        <v>132</v>
      </c>
      <c r="B8" t="s">
        <v>123</v>
      </c>
      <c r="C8" s="46">
        <v>45735.385416666664</v>
      </c>
      <c r="J8" t="s">
        <v>99</v>
      </c>
    </row>
    <row r="9" spans="1:11" x14ac:dyDescent="0.3">
      <c r="A9" t="s">
        <v>137</v>
      </c>
      <c r="B9" t="s">
        <v>135</v>
      </c>
      <c r="C9" s="46">
        <v>45735.618055555555</v>
      </c>
      <c r="J9" t="s">
        <v>99</v>
      </c>
    </row>
    <row r="10" spans="1:11" x14ac:dyDescent="0.3">
      <c r="A10" t="s">
        <v>138</v>
      </c>
      <c r="B10" t="s">
        <v>135</v>
      </c>
      <c r="C10" s="46">
        <v>45736.416666666664</v>
      </c>
      <c r="J10" t="s">
        <v>99</v>
      </c>
    </row>
    <row r="11" spans="1:11" x14ac:dyDescent="0.3">
      <c r="A11" t="s">
        <v>139</v>
      </c>
      <c r="B11" t="s">
        <v>135</v>
      </c>
      <c r="C11" s="46">
        <v>45731.458333333336</v>
      </c>
      <c r="H11" t="s">
        <v>93</v>
      </c>
    </row>
    <row r="12" spans="1:11" x14ac:dyDescent="0.3">
      <c r="A12" t="s">
        <v>140</v>
      </c>
      <c r="B12" t="s">
        <v>135</v>
      </c>
      <c r="C12" s="46">
        <v>45731.618055555555</v>
      </c>
      <c r="H12" t="s">
        <v>93</v>
      </c>
    </row>
    <row r="13" spans="1:11" x14ac:dyDescent="0.3">
      <c r="A13" t="s">
        <v>141</v>
      </c>
      <c r="B13" t="s">
        <v>135</v>
      </c>
      <c r="C13" s="46">
        <v>45732.46875</v>
      </c>
      <c r="H13" t="s">
        <v>93</v>
      </c>
    </row>
    <row r="14" spans="1:11" x14ac:dyDescent="0.3">
      <c r="A14" t="s">
        <v>142</v>
      </c>
      <c r="B14" t="s">
        <v>135</v>
      </c>
      <c r="C14" s="46">
        <v>45733.451388888891</v>
      </c>
      <c r="J14" t="s">
        <v>99</v>
      </c>
    </row>
    <row r="15" spans="1:11" x14ac:dyDescent="0.3">
      <c r="A15" t="s">
        <v>143</v>
      </c>
      <c r="B15" t="s">
        <v>135</v>
      </c>
      <c r="C15" s="46">
        <v>45733.625</v>
      </c>
      <c r="D15" t="s">
        <v>446</v>
      </c>
      <c r="E15" t="s">
        <v>447</v>
      </c>
      <c r="I15" t="s">
        <v>95</v>
      </c>
      <c r="J15" t="s">
        <v>99</v>
      </c>
    </row>
    <row r="16" spans="1:11" x14ac:dyDescent="0.3">
      <c r="A16" t="s">
        <v>144</v>
      </c>
      <c r="B16" t="s">
        <v>135</v>
      </c>
      <c r="C16" s="46">
        <v>45734.430555555555</v>
      </c>
      <c r="D16" t="s">
        <v>446</v>
      </c>
      <c r="E16" t="s">
        <v>447</v>
      </c>
      <c r="J16" t="s">
        <v>99</v>
      </c>
    </row>
    <row r="17" spans="1:10" x14ac:dyDescent="0.3">
      <c r="A17" t="s">
        <v>145</v>
      </c>
      <c r="B17" t="s">
        <v>135</v>
      </c>
      <c r="C17" s="46">
        <v>45734.631944444445</v>
      </c>
      <c r="D17" t="s">
        <v>446</v>
      </c>
      <c r="E17" t="s">
        <v>447</v>
      </c>
      <c r="J17" t="s">
        <v>99</v>
      </c>
    </row>
    <row r="18" spans="1:10" x14ac:dyDescent="0.3">
      <c r="A18" t="s">
        <v>146</v>
      </c>
      <c r="B18" t="s">
        <v>135</v>
      </c>
      <c r="C18" s="46">
        <v>45735.385416666664</v>
      </c>
      <c r="D18" t="s">
        <v>88</v>
      </c>
      <c r="E18" t="s">
        <v>89</v>
      </c>
      <c r="J18" t="s">
        <v>99</v>
      </c>
    </row>
    <row r="19" spans="1:10" x14ac:dyDescent="0.3">
      <c r="A19" t="s">
        <v>150</v>
      </c>
      <c r="B19" t="s">
        <v>149</v>
      </c>
      <c r="C19" s="46">
        <v>45730.445833333331</v>
      </c>
      <c r="D19" t="s">
        <v>446</v>
      </c>
      <c r="E19" t="s">
        <v>447</v>
      </c>
      <c r="H19" t="s">
        <v>93</v>
      </c>
    </row>
    <row r="20" spans="1:10" x14ac:dyDescent="0.3">
      <c r="A20" t="s">
        <v>151</v>
      </c>
      <c r="B20" t="s">
        <v>149</v>
      </c>
      <c r="C20" s="46">
        <v>45731.458333333336</v>
      </c>
      <c r="D20" t="s">
        <v>446</v>
      </c>
      <c r="E20" t="s">
        <v>447</v>
      </c>
    </row>
    <row r="21" spans="1:10" x14ac:dyDescent="0.3">
      <c r="A21" t="s">
        <v>152</v>
      </c>
      <c r="B21" t="s">
        <v>149</v>
      </c>
      <c r="C21" s="46">
        <v>45731.618055555555</v>
      </c>
      <c r="D21" t="s">
        <v>446</v>
      </c>
      <c r="E21" t="s">
        <v>447</v>
      </c>
      <c r="H21" t="s">
        <v>93</v>
      </c>
    </row>
    <row r="22" spans="1:10" x14ac:dyDescent="0.3">
      <c r="A22" t="s">
        <v>153</v>
      </c>
      <c r="B22" t="s">
        <v>149</v>
      </c>
      <c r="C22" s="46">
        <v>45732.46875</v>
      </c>
      <c r="H22" t="s">
        <v>93</v>
      </c>
    </row>
    <row r="23" spans="1:10" x14ac:dyDescent="0.3">
      <c r="A23" t="s">
        <v>155</v>
      </c>
      <c r="B23" t="s">
        <v>149</v>
      </c>
      <c r="C23" s="46">
        <v>45733.625</v>
      </c>
      <c r="H23" t="s">
        <v>93</v>
      </c>
      <c r="I23" t="s">
        <v>95</v>
      </c>
      <c r="J23" t="s">
        <v>99</v>
      </c>
    </row>
    <row r="24" spans="1:10" x14ac:dyDescent="0.3">
      <c r="A24" t="s">
        <v>157</v>
      </c>
      <c r="B24" t="s">
        <v>149</v>
      </c>
      <c r="C24" s="46">
        <v>45734.430555555555</v>
      </c>
      <c r="J24" t="s">
        <v>99</v>
      </c>
    </row>
    <row r="25" spans="1:10" x14ac:dyDescent="0.3">
      <c r="A25" t="s">
        <v>158</v>
      </c>
      <c r="B25" t="s">
        <v>149</v>
      </c>
      <c r="C25" s="46">
        <v>45734.631944444445</v>
      </c>
      <c r="J25" t="s">
        <v>99</v>
      </c>
    </row>
    <row r="26" spans="1:10" x14ac:dyDescent="0.3">
      <c r="A26" t="s">
        <v>159</v>
      </c>
      <c r="B26" t="s">
        <v>149</v>
      </c>
      <c r="C26" s="46">
        <v>45735.385416666664</v>
      </c>
      <c r="J26" t="s">
        <v>99</v>
      </c>
    </row>
    <row r="27" spans="1:10" x14ac:dyDescent="0.3">
      <c r="A27" t="s">
        <v>164</v>
      </c>
      <c r="B27" t="s">
        <v>162</v>
      </c>
      <c r="C27" s="46">
        <v>45735.618055555555</v>
      </c>
      <c r="J27" t="s">
        <v>99</v>
      </c>
    </row>
    <row r="28" spans="1:10" x14ac:dyDescent="0.3">
      <c r="A28" t="s">
        <v>165</v>
      </c>
      <c r="B28" t="s">
        <v>162</v>
      </c>
      <c r="C28" s="46">
        <v>45736.416666666664</v>
      </c>
      <c r="I28" t="s">
        <v>95</v>
      </c>
      <c r="J28" t="s">
        <v>99</v>
      </c>
    </row>
    <row r="29" spans="1:10" x14ac:dyDescent="0.3">
      <c r="A29" t="s">
        <v>166</v>
      </c>
      <c r="B29" t="s">
        <v>162</v>
      </c>
      <c r="C29" s="46">
        <v>45731.458333333336</v>
      </c>
      <c r="H29" t="s">
        <v>93</v>
      </c>
    </row>
    <row r="30" spans="1:10" x14ac:dyDescent="0.3">
      <c r="A30" t="s">
        <v>167</v>
      </c>
      <c r="B30" t="s">
        <v>162</v>
      </c>
      <c r="C30" s="46">
        <v>45731.618055555555</v>
      </c>
      <c r="D30" t="s">
        <v>446</v>
      </c>
      <c r="E30" t="s">
        <v>447</v>
      </c>
      <c r="H30" t="s">
        <v>93</v>
      </c>
    </row>
    <row r="31" spans="1:10" x14ac:dyDescent="0.3">
      <c r="A31" t="s">
        <v>168</v>
      </c>
      <c r="B31" t="s">
        <v>162</v>
      </c>
      <c r="C31" s="46">
        <v>45732.46875</v>
      </c>
      <c r="H31" t="s">
        <v>93</v>
      </c>
    </row>
    <row r="32" spans="1:10" x14ac:dyDescent="0.3">
      <c r="A32" t="s">
        <v>171</v>
      </c>
      <c r="B32" t="s">
        <v>162</v>
      </c>
      <c r="C32" s="46">
        <v>45733.625</v>
      </c>
      <c r="J32" t="s">
        <v>99</v>
      </c>
    </row>
    <row r="33" spans="1:11" x14ac:dyDescent="0.3">
      <c r="A33" t="s">
        <v>173</v>
      </c>
      <c r="B33" t="s">
        <v>162</v>
      </c>
      <c r="C33" s="46">
        <v>45734.430555555555</v>
      </c>
      <c r="D33" t="s">
        <v>446</v>
      </c>
      <c r="E33" t="s">
        <v>447</v>
      </c>
      <c r="J33" t="s">
        <v>99</v>
      </c>
    </row>
    <row r="34" spans="1:11" x14ac:dyDescent="0.3">
      <c r="A34" t="s">
        <v>174</v>
      </c>
      <c r="B34" t="s">
        <v>162</v>
      </c>
      <c r="C34" s="46">
        <v>45734.631944444445</v>
      </c>
      <c r="D34" t="s">
        <v>446</v>
      </c>
      <c r="E34" t="s">
        <v>447</v>
      </c>
      <c r="J34" t="s">
        <v>99</v>
      </c>
    </row>
    <row r="35" spans="1:11" x14ac:dyDescent="0.3">
      <c r="A35" t="s">
        <v>175</v>
      </c>
      <c r="B35" t="s">
        <v>162</v>
      </c>
      <c r="C35" s="46">
        <v>45735.385416666664</v>
      </c>
      <c r="J35" t="s">
        <v>99</v>
      </c>
    </row>
    <row r="36" spans="1:11" x14ac:dyDescent="0.3">
      <c r="A36" t="s">
        <v>179</v>
      </c>
      <c r="B36" t="s">
        <v>178</v>
      </c>
      <c r="C36" s="46">
        <v>45742.375</v>
      </c>
      <c r="D36" t="s">
        <v>446</v>
      </c>
      <c r="E36" t="s">
        <v>447</v>
      </c>
      <c r="K36" t="s">
        <v>180</v>
      </c>
    </row>
    <row r="37" spans="1:11" x14ac:dyDescent="0.3">
      <c r="A37" t="s">
        <v>184</v>
      </c>
      <c r="B37" t="s">
        <v>178</v>
      </c>
      <c r="C37" s="46">
        <v>45748.375</v>
      </c>
      <c r="D37" t="s">
        <v>446</v>
      </c>
      <c r="E37" t="s">
        <v>447</v>
      </c>
    </row>
    <row r="38" spans="1:11" x14ac:dyDescent="0.3">
      <c r="A38" t="s">
        <v>188</v>
      </c>
      <c r="B38" t="s">
        <v>178</v>
      </c>
      <c r="C38" s="46">
        <v>45750.416666666664</v>
      </c>
      <c r="J38" t="s">
        <v>99</v>
      </c>
    </row>
    <row r="39" spans="1:11" x14ac:dyDescent="0.3">
      <c r="A39" t="s">
        <v>189</v>
      </c>
      <c r="B39" t="s">
        <v>178</v>
      </c>
      <c r="C39" s="46">
        <v>45750.625</v>
      </c>
      <c r="J39" t="s">
        <v>99</v>
      </c>
    </row>
    <row r="40" spans="1:11" x14ac:dyDescent="0.3">
      <c r="A40" t="s">
        <v>190</v>
      </c>
      <c r="B40" t="s">
        <v>178</v>
      </c>
      <c r="C40" s="46">
        <v>45742.625</v>
      </c>
      <c r="D40" t="s">
        <v>446</v>
      </c>
      <c r="E40" t="s">
        <v>447</v>
      </c>
      <c r="J40" t="s">
        <v>99</v>
      </c>
    </row>
    <row r="41" spans="1:11" x14ac:dyDescent="0.3">
      <c r="A41" t="s">
        <v>191</v>
      </c>
      <c r="B41" t="s">
        <v>178</v>
      </c>
      <c r="C41" s="46">
        <v>45742.75</v>
      </c>
      <c r="D41" t="s">
        <v>446</v>
      </c>
      <c r="E41" t="s">
        <v>447</v>
      </c>
    </row>
    <row r="42" spans="1:11" x14ac:dyDescent="0.3">
      <c r="A42" t="s">
        <v>192</v>
      </c>
      <c r="B42" t="s">
        <v>178</v>
      </c>
      <c r="C42" s="46">
        <v>45743.416666666664</v>
      </c>
      <c r="D42" t="s">
        <v>446</v>
      </c>
      <c r="E42" t="s">
        <v>447</v>
      </c>
      <c r="K42" t="s">
        <v>180</v>
      </c>
    </row>
    <row r="43" spans="1:11" x14ac:dyDescent="0.3">
      <c r="A43" t="s">
        <v>193</v>
      </c>
      <c r="B43" t="s">
        <v>178</v>
      </c>
      <c r="C43" s="46">
        <v>45743.604166666664</v>
      </c>
      <c r="D43" t="s">
        <v>446</v>
      </c>
      <c r="E43" t="s">
        <v>447</v>
      </c>
    </row>
    <row r="44" spans="1:11" x14ac:dyDescent="0.3">
      <c r="A44" t="s">
        <v>194</v>
      </c>
      <c r="B44" t="s">
        <v>178</v>
      </c>
      <c r="C44" s="46">
        <v>45743.694444444445</v>
      </c>
      <c r="K44" t="s">
        <v>180</v>
      </c>
    </row>
    <row r="45" spans="1:11" x14ac:dyDescent="0.3">
      <c r="A45" t="s">
        <v>195</v>
      </c>
      <c r="B45" t="s">
        <v>178</v>
      </c>
      <c r="C45" s="46">
        <v>45744.416666666664</v>
      </c>
      <c r="J45" t="s">
        <v>99</v>
      </c>
    </row>
    <row r="46" spans="1:11" x14ac:dyDescent="0.3">
      <c r="A46" t="s">
        <v>196</v>
      </c>
      <c r="B46" t="s">
        <v>178</v>
      </c>
      <c r="C46" s="46">
        <v>45744.604166666664</v>
      </c>
      <c r="I46" t="s">
        <v>95</v>
      </c>
      <c r="J46" t="s">
        <v>99</v>
      </c>
    </row>
    <row r="47" spans="1:11" x14ac:dyDescent="0.3">
      <c r="A47" t="s">
        <v>197</v>
      </c>
      <c r="B47" t="s">
        <v>178</v>
      </c>
      <c r="C47" s="46">
        <v>45745.5</v>
      </c>
      <c r="J47" t="s">
        <v>99</v>
      </c>
    </row>
    <row r="48" spans="1:11" x14ac:dyDescent="0.3">
      <c r="A48" t="s">
        <v>202</v>
      </c>
      <c r="B48" t="s">
        <v>201</v>
      </c>
      <c r="C48" s="46">
        <v>45742.375</v>
      </c>
      <c r="K48" t="s">
        <v>180</v>
      </c>
    </row>
    <row r="49" spans="1:11" x14ac:dyDescent="0.3">
      <c r="A49" t="s">
        <v>203</v>
      </c>
      <c r="B49" t="s">
        <v>201</v>
      </c>
      <c r="C49" s="46">
        <v>45746.6875</v>
      </c>
      <c r="J49" t="s">
        <v>99</v>
      </c>
    </row>
    <row r="50" spans="1:11" x14ac:dyDescent="0.3">
      <c r="A50" t="s">
        <v>204</v>
      </c>
      <c r="B50" t="s">
        <v>201</v>
      </c>
      <c r="C50" s="46">
        <v>45747.416666666664</v>
      </c>
      <c r="J50" t="s">
        <v>99</v>
      </c>
    </row>
    <row r="51" spans="1:11" x14ac:dyDescent="0.3">
      <c r="A51" t="s">
        <v>210</v>
      </c>
      <c r="B51" t="s">
        <v>201</v>
      </c>
      <c r="C51" s="46">
        <v>45750.416666666664</v>
      </c>
      <c r="J51" t="s">
        <v>99</v>
      </c>
    </row>
    <row r="52" spans="1:11" x14ac:dyDescent="0.3">
      <c r="A52" t="s">
        <v>211</v>
      </c>
      <c r="B52" t="s">
        <v>201</v>
      </c>
      <c r="C52" s="46">
        <v>45750.625</v>
      </c>
      <c r="J52" t="s">
        <v>99</v>
      </c>
    </row>
    <row r="53" spans="1:11" x14ac:dyDescent="0.3">
      <c r="A53" t="s">
        <v>212</v>
      </c>
      <c r="B53" t="s">
        <v>201</v>
      </c>
      <c r="C53" s="46">
        <v>45742.625</v>
      </c>
      <c r="D53" t="s">
        <v>446</v>
      </c>
      <c r="E53" t="s">
        <v>447</v>
      </c>
    </row>
    <row r="54" spans="1:11" x14ac:dyDescent="0.3">
      <c r="A54" t="s">
        <v>214</v>
      </c>
      <c r="B54" t="s">
        <v>201</v>
      </c>
      <c r="C54" s="46">
        <v>45743.416666666664</v>
      </c>
      <c r="K54" t="s">
        <v>180</v>
      </c>
    </row>
    <row r="55" spans="1:11" x14ac:dyDescent="0.3">
      <c r="A55" t="s">
        <v>215</v>
      </c>
      <c r="B55" t="s">
        <v>201</v>
      </c>
      <c r="C55" s="46">
        <v>45743.604166666664</v>
      </c>
      <c r="J55" t="s">
        <v>99</v>
      </c>
    </row>
    <row r="56" spans="1:11" x14ac:dyDescent="0.3">
      <c r="A56" t="s">
        <v>421</v>
      </c>
      <c r="B56" t="s">
        <v>223</v>
      </c>
      <c r="C56" s="46">
        <v>45761.375</v>
      </c>
      <c r="F56" t="s">
        <v>91</v>
      </c>
      <c r="G56" t="s">
        <v>92</v>
      </c>
      <c r="H56" t="s">
        <v>93</v>
      </c>
    </row>
    <row r="57" spans="1:11" x14ac:dyDescent="0.3">
      <c r="A57" t="s">
        <v>408</v>
      </c>
      <c r="B57" t="s">
        <v>223</v>
      </c>
      <c r="C57" s="46">
        <v>45761.625</v>
      </c>
      <c r="F57" t="s">
        <v>91</v>
      </c>
      <c r="G57" t="s">
        <v>92</v>
      </c>
      <c r="H57" t="s">
        <v>93</v>
      </c>
      <c r="J57" t="s">
        <v>99</v>
      </c>
    </row>
    <row r="58" spans="1:11" x14ac:dyDescent="0.3">
      <c r="A58" t="s">
        <v>425</v>
      </c>
      <c r="B58" t="s">
        <v>223</v>
      </c>
      <c r="C58" s="46">
        <v>45762.375</v>
      </c>
      <c r="F58" t="s">
        <v>91</v>
      </c>
      <c r="G58" t="s">
        <v>92</v>
      </c>
      <c r="H58" t="s">
        <v>93</v>
      </c>
    </row>
    <row r="59" spans="1:11" x14ac:dyDescent="0.3">
      <c r="A59" t="s">
        <v>409</v>
      </c>
      <c r="B59" t="s">
        <v>223</v>
      </c>
      <c r="C59" s="46">
        <v>45762.625</v>
      </c>
      <c r="F59" t="s">
        <v>91</v>
      </c>
      <c r="G59" t="s">
        <v>92</v>
      </c>
      <c r="H59" t="s">
        <v>93</v>
      </c>
      <c r="J59" t="s">
        <v>99</v>
      </c>
    </row>
    <row r="60" spans="1:11" x14ac:dyDescent="0.3">
      <c r="A60" t="s">
        <v>429</v>
      </c>
      <c r="B60" t="s">
        <v>223</v>
      </c>
      <c r="C60" s="46">
        <v>45763.375</v>
      </c>
      <c r="F60" t="s">
        <v>91</v>
      </c>
      <c r="G60" t="s">
        <v>92</v>
      </c>
      <c r="H60" t="s">
        <v>93</v>
      </c>
    </row>
    <row r="61" spans="1:11" x14ac:dyDescent="0.3">
      <c r="A61" t="s">
        <v>416</v>
      </c>
      <c r="B61" t="s">
        <v>223</v>
      </c>
      <c r="C61" s="46">
        <v>45758.604166666664</v>
      </c>
      <c r="J61" t="s">
        <v>99</v>
      </c>
    </row>
    <row r="62" spans="1:11" x14ac:dyDescent="0.3">
      <c r="A62" t="s">
        <v>418</v>
      </c>
      <c r="B62" t="s">
        <v>223</v>
      </c>
      <c r="C62" s="46">
        <v>45759.416666666664</v>
      </c>
      <c r="J62" t="s">
        <v>99</v>
      </c>
    </row>
    <row r="63" spans="1:11" x14ac:dyDescent="0.3">
      <c r="A63" t="s">
        <v>419</v>
      </c>
      <c r="B63" t="s">
        <v>223</v>
      </c>
      <c r="C63" s="46">
        <v>45760.708333333336</v>
      </c>
      <c r="J63" t="s">
        <v>99</v>
      </c>
    </row>
    <row r="64" spans="1:11" x14ac:dyDescent="0.3">
      <c r="A64" t="s">
        <v>239</v>
      </c>
      <c r="B64" t="s">
        <v>223</v>
      </c>
      <c r="C64" s="46">
        <v>45763.625</v>
      </c>
      <c r="F64" t="s">
        <v>91</v>
      </c>
      <c r="G64" t="s">
        <v>92</v>
      </c>
      <c r="H64" t="s">
        <v>93</v>
      </c>
    </row>
    <row r="65" spans="1:10" x14ac:dyDescent="0.3">
      <c r="A65" t="s">
        <v>405</v>
      </c>
      <c r="B65" t="s">
        <v>241</v>
      </c>
      <c r="C65" s="46">
        <v>45756.375</v>
      </c>
      <c r="J65" t="s">
        <v>99</v>
      </c>
    </row>
    <row r="66" spans="1:10" x14ac:dyDescent="0.3">
      <c r="A66" t="s">
        <v>422</v>
      </c>
      <c r="B66" t="s">
        <v>241</v>
      </c>
      <c r="C66" s="46">
        <v>45761.625</v>
      </c>
      <c r="F66" t="s">
        <v>91</v>
      </c>
      <c r="G66" t="s">
        <v>92</v>
      </c>
      <c r="H66" t="s">
        <v>93</v>
      </c>
      <c r="J66" t="s">
        <v>99</v>
      </c>
    </row>
    <row r="67" spans="1:10" x14ac:dyDescent="0.3">
      <c r="A67" t="s">
        <v>423</v>
      </c>
      <c r="B67" t="s">
        <v>241</v>
      </c>
      <c r="C67" s="46">
        <v>45761.625</v>
      </c>
      <c r="F67" t="s">
        <v>91</v>
      </c>
      <c r="G67" t="s">
        <v>92</v>
      </c>
      <c r="H67" t="s">
        <v>93</v>
      </c>
      <c r="J67" t="s">
        <v>99</v>
      </c>
    </row>
    <row r="68" spans="1:10" x14ac:dyDescent="0.3">
      <c r="A68" t="s">
        <v>426</v>
      </c>
      <c r="B68" t="s">
        <v>241</v>
      </c>
      <c r="C68" s="46">
        <v>45762.375</v>
      </c>
      <c r="F68" t="s">
        <v>91</v>
      </c>
      <c r="G68" t="s">
        <v>92</v>
      </c>
      <c r="H68" t="s">
        <v>93</v>
      </c>
    </row>
    <row r="69" spans="1:10" x14ac:dyDescent="0.3">
      <c r="A69" t="s">
        <v>424</v>
      </c>
      <c r="B69" t="s">
        <v>241</v>
      </c>
      <c r="C69" s="46">
        <v>45762.625</v>
      </c>
      <c r="F69" t="s">
        <v>91</v>
      </c>
      <c r="G69" t="s">
        <v>92</v>
      </c>
      <c r="H69" t="s">
        <v>93</v>
      </c>
    </row>
    <row r="70" spans="1:10" x14ac:dyDescent="0.3">
      <c r="A70" t="s">
        <v>430</v>
      </c>
      <c r="B70" t="s">
        <v>241</v>
      </c>
      <c r="C70" s="46">
        <v>45763.375</v>
      </c>
      <c r="F70" t="s">
        <v>91</v>
      </c>
      <c r="G70" t="s">
        <v>92</v>
      </c>
      <c r="H70" t="s">
        <v>93</v>
      </c>
      <c r="J70" t="s">
        <v>99</v>
      </c>
    </row>
    <row r="71" spans="1:10" x14ac:dyDescent="0.3">
      <c r="A71" t="s">
        <v>427</v>
      </c>
      <c r="B71" t="s">
        <v>241</v>
      </c>
      <c r="C71" s="46">
        <v>45757.375</v>
      </c>
      <c r="J71" t="s">
        <v>99</v>
      </c>
    </row>
    <row r="72" spans="1:10" x14ac:dyDescent="0.3">
      <c r="A72" t="s">
        <v>411</v>
      </c>
      <c r="B72" t="s">
        <v>241</v>
      </c>
      <c r="C72" s="46">
        <v>45757.5</v>
      </c>
      <c r="J72" t="s">
        <v>99</v>
      </c>
    </row>
    <row r="73" spans="1:10" x14ac:dyDescent="0.3">
      <c r="A73" t="s">
        <v>413</v>
      </c>
      <c r="B73" t="s">
        <v>241</v>
      </c>
      <c r="C73" s="46">
        <v>45757.645833333336</v>
      </c>
      <c r="J73" t="s">
        <v>99</v>
      </c>
    </row>
    <row r="74" spans="1:10" x14ac:dyDescent="0.3">
      <c r="A74" t="s">
        <v>431</v>
      </c>
      <c r="B74" t="s">
        <v>241</v>
      </c>
      <c r="C74" s="46">
        <v>45759.416666666664</v>
      </c>
      <c r="J74" t="s">
        <v>99</v>
      </c>
    </row>
    <row r="75" spans="1:10" x14ac:dyDescent="0.3">
      <c r="A75" t="s">
        <v>256</v>
      </c>
      <c r="B75" t="s">
        <v>241</v>
      </c>
      <c r="C75" s="46">
        <v>45763.625</v>
      </c>
      <c r="F75" t="s">
        <v>91</v>
      </c>
      <c r="G75" t="s">
        <v>92</v>
      </c>
      <c r="H75" t="s">
        <v>93</v>
      </c>
    </row>
    <row r="76" spans="1:10" x14ac:dyDescent="0.3">
      <c r="A76" s="75" t="s">
        <v>257</v>
      </c>
      <c r="B76" t="s">
        <v>258</v>
      </c>
      <c r="C76" s="46">
        <v>45768.833333333336</v>
      </c>
      <c r="D76" t="s">
        <v>446</v>
      </c>
      <c r="E76" t="s">
        <v>447</v>
      </c>
    </row>
    <row r="77" spans="1:10" x14ac:dyDescent="0.3">
      <c r="A77" s="75" t="s">
        <v>259</v>
      </c>
      <c r="B77" t="s">
        <v>258</v>
      </c>
      <c r="C77" s="46">
        <v>45773.40625</v>
      </c>
      <c r="D77" t="s">
        <v>446</v>
      </c>
      <c r="E77" t="s">
        <v>447</v>
      </c>
      <c r="F77" t="s">
        <v>91</v>
      </c>
      <c r="G77" t="s">
        <v>92</v>
      </c>
      <c r="H77" t="s">
        <v>93</v>
      </c>
    </row>
    <row r="78" spans="1:10" x14ac:dyDescent="0.3">
      <c r="A78" t="s">
        <v>261</v>
      </c>
      <c r="B78" t="s">
        <v>258</v>
      </c>
      <c r="C78" s="46">
        <v>45774.5625</v>
      </c>
      <c r="J78" t="s">
        <v>99</v>
      </c>
    </row>
    <row r="79" spans="1:10" x14ac:dyDescent="0.3">
      <c r="A79" t="s">
        <v>268</v>
      </c>
      <c r="B79" t="s">
        <v>258</v>
      </c>
      <c r="C79" s="46">
        <v>45778.729166666664</v>
      </c>
      <c r="J79" t="s">
        <v>99</v>
      </c>
    </row>
    <row r="80" spans="1:10" x14ac:dyDescent="0.3">
      <c r="A80" s="75" t="s">
        <v>271</v>
      </c>
      <c r="B80" t="s">
        <v>258</v>
      </c>
      <c r="C80" s="46">
        <v>45780.5</v>
      </c>
      <c r="F80" t="s">
        <v>91</v>
      </c>
      <c r="G80" t="s">
        <v>92</v>
      </c>
      <c r="H80" t="s">
        <v>93</v>
      </c>
      <c r="J80" t="s">
        <v>99</v>
      </c>
    </row>
    <row r="81" spans="1:11" x14ac:dyDescent="0.3">
      <c r="A81" s="75" t="s">
        <v>277</v>
      </c>
      <c r="B81" t="s">
        <v>258</v>
      </c>
      <c r="C81" s="46">
        <v>45770.479166666664</v>
      </c>
      <c r="D81" t="s">
        <v>446</v>
      </c>
      <c r="E81" t="s">
        <v>447</v>
      </c>
    </row>
    <row r="82" spans="1:11" x14ac:dyDescent="0.3">
      <c r="A82" s="75" t="s">
        <v>278</v>
      </c>
      <c r="B82" t="s">
        <v>258</v>
      </c>
      <c r="C82" s="46">
        <v>45770.666666666664</v>
      </c>
      <c r="J82" t="s">
        <v>99</v>
      </c>
    </row>
    <row r="83" spans="1:11" x14ac:dyDescent="0.3">
      <c r="A83" s="75" t="s">
        <v>282</v>
      </c>
      <c r="B83" t="s">
        <v>258</v>
      </c>
      <c r="C83" s="46">
        <v>45768.666666666664</v>
      </c>
      <c r="F83" t="s">
        <v>91</v>
      </c>
      <c r="G83" t="s">
        <v>92</v>
      </c>
      <c r="H83" t="s">
        <v>93</v>
      </c>
    </row>
    <row r="84" spans="1:11" x14ac:dyDescent="0.3">
      <c r="A84" s="75" t="s">
        <v>286</v>
      </c>
      <c r="B84" t="s">
        <v>284</v>
      </c>
      <c r="C84" s="46">
        <v>45773.40625</v>
      </c>
      <c r="D84" t="s">
        <v>446</v>
      </c>
      <c r="E84" t="s">
        <v>447</v>
      </c>
      <c r="J84" t="s">
        <v>99</v>
      </c>
    </row>
    <row r="85" spans="1:11" x14ac:dyDescent="0.3">
      <c r="A85" s="75" t="s">
        <v>287</v>
      </c>
      <c r="B85" t="s">
        <v>284</v>
      </c>
      <c r="C85" s="46">
        <v>45773.6875</v>
      </c>
      <c r="D85" t="s">
        <v>446</v>
      </c>
      <c r="E85" t="s">
        <v>447</v>
      </c>
    </row>
    <row r="86" spans="1:11" x14ac:dyDescent="0.3">
      <c r="A86" s="75" t="s">
        <v>290</v>
      </c>
      <c r="B86" t="s">
        <v>284</v>
      </c>
      <c r="C86" s="46">
        <v>45775.625</v>
      </c>
      <c r="J86" t="s">
        <v>99</v>
      </c>
    </row>
    <row r="87" spans="1:11" x14ac:dyDescent="0.3">
      <c r="A87" s="75" t="s">
        <v>292</v>
      </c>
      <c r="B87" t="s">
        <v>284</v>
      </c>
      <c r="C87" s="46">
        <v>45776.625</v>
      </c>
      <c r="J87" t="s">
        <v>99</v>
      </c>
    </row>
    <row r="88" spans="1:11" x14ac:dyDescent="0.3">
      <c r="A88" s="75" t="s">
        <v>294</v>
      </c>
      <c r="B88" t="s">
        <v>284</v>
      </c>
      <c r="C88" s="46">
        <v>45777.625</v>
      </c>
      <c r="J88" t="s">
        <v>99</v>
      </c>
    </row>
    <row r="89" spans="1:11" x14ac:dyDescent="0.3">
      <c r="A89" s="75" t="s">
        <v>298</v>
      </c>
      <c r="B89" t="s">
        <v>284</v>
      </c>
      <c r="C89" s="46">
        <v>45780.5</v>
      </c>
      <c r="J89" t="s">
        <v>99</v>
      </c>
      <c r="K89" t="s">
        <v>180</v>
      </c>
    </row>
    <row r="90" spans="1:11" x14ac:dyDescent="0.3">
      <c r="A90" s="75" t="s">
        <v>436</v>
      </c>
      <c r="B90" t="s">
        <v>284</v>
      </c>
      <c r="C90" s="46">
        <v>45783.645833333336</v>
      </c>
      <c r="J90" t="s">
        <v>99</v>
      </c>
    </row>
    <row r="91" spans="1:11" x14ac:dyDescent="0.3">
      <c r="A91" s="75" t="s">
        <v>437</v>
      </c>
      <c r="B91" t="s">
        <v>284</v>
      </c>
      <c r="C91" s="46">
        <v>45784.4375</v>
      </c>
      <c r="D91" t="s">
        <v>88</v>
      </c>
      <c r="E91" t="s">
        <v>89</v>
      </c>
      <c r="J91" t="s">
        <v>99</v>
      </c>
    </row>
    <row r="92" spans="1:11" x14ac:dyDescent="0.3">
      <c r="A92" s="75" t="s">
        <v>309</v>
      </c>
      <c r="B92" t="s">
        <v>284</v>
      </c>
      <c r="C92" s="46">
        <v>45773.652777777781</v>
      </c>
      <c r="D92" t="s">
        <v>446</v>
      </c>
      <c r="E92" t="s">
        <v>447</v>
      </c>
    </row>
  </sheetData>
  <autoFilter ref="A1:K92" xr:uid="{21E5FC41-5F4E-482F-AD9E-BB3EE9104EBC}">
    <sortState xmlns:xlrd2="http://schemas.microsoft.com/office/spreadsheetml/2017/richdata2" ref="A2:K92">
      <sortCondition ref="A1:A92"/>
    </sortState>
  </autoFilter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0F106-442B-4259-A17A-D0447ED38AA8}">
  <dimension ref="A1:O61"/>
  <sheetViews>
    <sheetView zoomScale="70" zoomScaleNormal="70" workbookViewId="0">
      <pane xSplit="1" topLeftCell="B1" activePane="topRight" state="frozen"/>
      <selection pane="topRight" activeCell="Q34" sqref="Q34"/>
    </sheetView>
  </sheetViews>
  <sheetFormatPr baseColWidth="10" defaultColWidth="11.5546875" defaultRowHeight="14.4" x14ac:dyDescent="0.3"/>
  <cols>
    <col min="1" max="1" width="39.33203125" style="19" customWidth="1"/>
    <col min="2" max="2" width="11.44140625" customWidth="1"/>
    <col min="3" max="3" width="20.109375" style="19" customWidth="1"/>
    <col min="4" max="4" width="16.6640625" style="1" bestFit="1" customWidth="1"/>
    <col min="5" max="5" width="15" style="1" customWidth="1"/>
    <col min="6" max="6" width="20.33203125" style="1" customWidth="1"/>
    <col min="7" max="7" width="19.88671875" style="1" customWidth="1"/>
    <col min="8" max="8" width="11.33203125" style="1" hidden="1" customWidth="1"/>
    <col min="9" max="9" width="18.33203125" style="1" hidden="1" customWidth="1"/>
    <col min="10" max="10" width="23.6640625" style="1" bestFit="1" customWidth="1"/>
    <col min="11" max="11" width="17.33203125" style="1" customWidth="1"/>
    <col min="12" max="12" width="16.33203125" customWidth="1"/>
    <col min="13" max="13" width="15.109375" bestFit="1" customWidth="1"/>
    <col min="14" max="14" width="13.6640625" bestFit="1" customWidth="1"/>
    <col min="15" max="15" width="14.6640625" bestFit="1" customWidth="1"/>
  </cols>
  <sheetData>
    <row r="1" spans="1:15" ht="18.600000000000001" thickBot="1" x14ac:dyDescent="0.4">
      <c r="A1" s="206" t="s">
        <v>448</v>
      </c>
      <c r="B1" s="207"/>
      <c r="C1" s="207"/>
      <c r="D1" s="208" t="s">
        <v>449</v>
      </c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10"/>
    </row>
    <row r="2" spans="1:15" s="21" customFormat="1" ht="15" thickBot="1" x14ac:dyDescent="0.35">
      <c r="A2" s="146" t="s">
        <v>29</v>
      </c>
      <c r="B2" s="145" t="s">
        <v>30</v>
      </c>
      <c r="C2" s="147" t="s">
        <v>31</v>
      </c>
      <c r="D2" s="158" t="s">
        <v>450</v>
      </c>
      <c r="E2" s="145" t="s">
        <v>451</v>
      </c>
      <c r="F2" s="145" t="s">
        <v>452</v>
      </c>
      <c r="G2" s="145" t="s">
        <v>453</v>
      </c>
      <c r="H2" s="145" t="s">
        <v>454</v>
      </c>
      <c r="I2" s="145" t="s">
        <v>455</v>
      </c>
      <c r="J2" s="145" t="s">
        <v>456</v>
      </c>
      <c r="K2" s="145" t="s">
        <v>457</v>
      </c>
      <c r="L2" s="145" t="s">
        <v>458</v>
      </c>
      <c r="M2" s="145" t="s">
        <v>459</v>
      </c>
      <c r="N2" s="145" t="s">
        <v>460</v>
      </c>
      <c r="O2" s="147" t="s">
        <v>461</v>
      </c>
    </row>
    <row r="3" spans="1:15" x14ac:dyDescent="0.3">
      <c r="A3" s="185" t="s">
        <v>462</v>
      </c>
      <c r="B3" s="148">
        <v>25026</v>
      </c>
      <c r="C3" s="166">
        <v>45729.916666666664</v>
      </c>
      <c r="D3" s="148">
        <v>10</v>
      </c>
      <c r="E3" s="148">
        <v>2</v>
      </c>
      <c r="F3" s="148">
        <f t="shared" ref="F3" si="0">D3/E3</f>
        <v>5</v>
      </c>
      <c r="G3" s="179">
        <v>0.78</v>
      </c>
      <c r="H3" s="148">
        <v>0</v>
      </c>
      <c r="I3" s="148">
        <v>0</v>
      </c>
      <c r="J3" s="150">
        <v>12.5</v>
      </c>
      <c r="K3" s="150">
        <f t="shared" ref="K3" si="1">($D3/E3*$F3/($F3+$H3))*1000</f>
        <v>5000</v>
      </c>
      <c r="L3" s="150">
        <v>0</v>
      </c>
      <c r="M3" s="151">
        <f t="shared" ref="M3" si="2">(($J3*$D3*10)-($G3/100*$K3)-($I3/100*$L3))/0.99</f>
        <v>1223.2323232323233</v>
      </c>
      <c r="N3" s="151">
        <f t="shared" ref="N3" si="3">$D3*1000-K3-L3-M3</f>
        <v>3776.7676767676767</v>
      </c>
      <c r="O3" s="152">
        <f t="shared" ref="O3" si="4">($I3/100*L3+$G3/100*K3+M3*0.99)/SUM(K3:N3)</f>
        <v>0.125</v>
      </c>
    </row>
    <row r="4" spans="1:15" x14ac:dyDescent="0.3">
      <c r="A4" s="186" t="s">
        <v>463</v>
      </c>
      <c r="B4" s="24">
        <v>25026</v>
      </c>
      <c r="C4" s="45">
        <v>45731.458333333336</v>
      </c>
      <c r="D4" s="24">
        <v>10</v>
      </c>
      <c r="E4" s="24">
        <v>2</v>
      </c>
      <c r="F4" s="24">
        <f>D4/E4</f>
        <v>5</v>
      </c>
      <c r="G4" s="180">
        <v>4.3751515600064224</v>
      </c>
      <c r="H4" s="24">
        <v>0</v>
      </c>
      <c r="I4" s="24">
        <v>0</v>
      </c>
      <c r="J4" s="38">
        <v>12.5</v>
      </c>
      <c r="K4" s="38">
        <f>($D4/E4*$F4/($F4+$H4))*1000</f>
        <v>5000</v>
      </c>
      <c r="L4" s="38">
        <v>0</v>
      </c>
      <c r="M4" s="48">
        <f>(($J4*$D4*10)-($G4/100*$K4)-($I4/100*$L4))/0.99</f>
        <v>1041.6590121208876</v>
      </c>
      <c r="N4" s="48">
        <f>$D4*1000-K4-L4-M4</f>
        <v>3958.3409878791126</v>
      </c>
      <c r="O4" s="138">
        <f>($I4/100*L4+$G4/100*K4+M4*0.99)/SUM(K4:N4)</f>
        <v>0.125</v>
      </c>
    </row>
    <row r="5" spans="1:15" x14ac:dyDescent="0.3">
      <c r="A5" s="186" t="s">
        <v>464</v>
      </c>
      <c r="B5" s="24">
        <v>25026</v>
      </c>
      <c r="C5" s="45">
        <v>45732.46875</v>
      </c>
      <c r="D5" s="24">
        <v>10</v>
      </c>
      <c r="E5" s="24">
        <v>2</v>
      </c>
      <c r="F5" s="24">
        <f t="shared" ref="F5:F58" si="5">D5/E5</f>
        <v>5</v>
      </c>
      <c r="G5" s="180">
        <v>8.2804946630559151</v>
      </c>
      <c r="H5" s="24">
        <v>0</v>
      </c>
      <c r="I5" s="24">
        <v>0</v>
      </c>
      <c r="J5" s="38">
        <v>12.5</v>
      </c>
      <c r="K5" s="38">
        <f t="shared" ref="K5:K58" si="6">($D5/E5*$F5/($F5+$H5))*1000</f>
        <v>5000</v>
      </c>
      <c r="L5" s="38">
        <v>0</v>
      </c>
      <c r="M5" s="48">
        <f t="shared" ref="M5:M58" si="7">(($J5*$D5*10)-($G5/100*$K5)-($I5/100*$L5))/0.99</f>
        <v>844.41946146182249</v>
      </c>
      <c r="N5" s="48">
        <f t="shared" ref="N5:N58" si="8">$D5*1000-K5-L5-M5</f>
        <v>4155.5805385381773</v>
      </c>
      <c r="O5" s="138">
        <f t="shared" ref="O5:O58" si="9">($I5/100*L5+$G5/100*K5+M5*0.99)/SUM(K5:N5)</f>
        <v>0.125</v>
      </c>
    </row>
    <row r="6" spans="1:15" x14ac:dyDescent="0.3">
      <c r="A6" s="186" t="s">
        <v>465</v>
      </c>
      <c r="B6" s="24">
        <v>25026</v>
      </c>
      <c r="C6" s="45">
        <v>45733.625</v>
      </c>
      <c r="D6" s="24">
        <v>10</v>
      </c>
      <c r="E6" s="24">
        <v>2.5</v>
      </c>
      <c r="F6" s="24">
        <f t="shared" si="5"/>
        <v>4</v>
      </c>
      <c r="G6" s="180">
        <v>11.227723290908671</v>
      </c>
      <c r="H6" s="24">
        <v>0</v>
      </c>
      <c r="I6" s="24">
        <v>0</v>
      </c>
      <c r="J6" s="38">
        <v>12.5</v>
      </c>
      <c r="K6" s="38">
        <f t="shared" si="6"/>
        <v>4000</v>
      </c>
      <c r="L6" s="38">
        <v>0</v>
      </c>
      <c r="M6" s="48">
        <f t="shared" si="7"/>
        <v>808.9808771350032</v>
      </c>
      <c r="N6" s="48">
        <f t="shared" si="8"/>
        <v>5191.0191228649965</v>
      </c>
      <c r="O6" s="138">
        <f t="shared" si="9"/>
        <v>0.125</v>
      </c>
    </row>
    <row r="7" spans="1:15" ht="15" thickBot="1" x14ac:dyDescent="0.35">
      <c r="A7" s="187" t="s">
        <v>466</v>
      </c>
      <c r="B7" s="139">
        <v>25026</v>
      </c>
      <c r="C7" s="144">
        <v>45735.618055555555</v>
      </c>
      <c r="D7" s="139">
        <v>10</v>
      </c>
      <c r="E7" s="139">
        <v>2</v>
      </c>
      <c r="F7" s="139">
        <f t="shared" si="5"/>
        <v>5</v>
      </c>
      <c r="G7" s="181">
        <v>12.63</v>
      </c>
      <c r="H7" s="139">
        <v>0</v>
      </c>
      <c r="I7" s="139">
        <v>0</v>
      </c>
      <c r="J7" s="141">
        <v>12.5</v>
      </c>
      <c r="K7" s="141">
        <f t="shared" si="6"/>
        <v>5000</v>
      </c>
      <c r="L7" s="141">
        <v>0</v>
      </c>
      <c r="M7" s="142">
        <f t="shared" si="7"/>
        <v>624.74747474747471</v>
      </c>
      <c r="N7" s="142">
        <f t="shared" si="8"/>
        <v>4375.2525252525256</v>
      </c>
      <c r="O7" s="143">
        <f t="shared" si="9"/>
        <v>0.125</v>
      </c>
    </row>
    <row r="8" spans="1:15" x14ac:dyDescent="0.3">
      <c r="A8" s="188" t="s">
        <v>467</v>
      </c>
      <c r="B8" s="148">
        <v>25027</v>
      </c>
      <c r="C8" s="164">
        <v>45729.916666666664</v>
      </c>
      <c r="D8" s="165">
        <v>10</v>
      </c>
      <c r="E8" s="148">
        <v>2</v>
      </c>
      <c r="F8" s="148">
        <f t="shared" si="5"/>
        <v>5</v>
      </c>
      <c r="G8" s="179">
        <v>0.78</v>
      </c>
      <c r="H8" s="148">
        <v>0</v>
      </c>
      <c r="I8" s="148">
        <v>0</v>
      </c>
      <c r="J8" s="150">
        <v>12.5</v>
      </c>
      <c r="K8" s="150">
        <f t="shared" si="6"/>
        <v>5000</v>
      </c>
      <c r="L8" s="150">
        <v>0</v>
      </c>
      <c r="M8" s="151">
        <f t="shared" si="7"/>
        <v>1223.2323232323233</v>
      </c>
      <c r="N8" s="151">
        <f t="shared" si="8"/>
        <v>3776.7676767676767</v>
      </c>
      <c r="O8" s="152">
        <f t="shared" si="9"/>
        <v>0.125</v>
      </c>
    </row>
    <row r="9" spans="1:15" x14ac:dyDescent="0.3">
      <c r="A9" s="186" t="s">
        <v>468</v>
      </c>
      <c r="B9" s="24">
        <v>25027</v>
      </c>
      <c r="C9" s="160">
        <v>45731.458333333336</v>
      </c>
      <c r="D9" s="54">
        <v>10</v>
      </c>
      <c r="E9" s="24">
        <v>2</v>
      </c>
      <c r="F9" s="24">
        <f t="shared" si="5"/>
        <v>5</v>
      </c>
      <c r="G9" s="180">
        <v>2.7562774555950904</v>
      </c>
      <c r="H9" s="24">
        <v>0</v>
      </c>
      <c r="I9" s="24">
        <v>0</v>
      </c>
      <c r="J9" s="38">
        <v>12.5</v>
      </c>
      <c r="K9" s="38">
        <f t="shared" si="6"/>
        <v>5000</v>
      </c>
      <c r="L9" s="38">
        <v>0</v>
      </c>
      <c r="M9" s="48">
        <f t="shared" si="7"/>
        <v>1123.4203305255005</v>
      </c>
      <c r="N9" s="48">
        <f t="shared" si="8"/>
        <v>3876.5796694744995</v>
      </c>
      <c r="O9" s="138">
        <f t="shared" si="9"/>
        <v>0.125</v>
      </c>
    </row>
    <row r="10" spans="1:15" x14ac:dyDescent="0.3">
      <c r="A10" s="186" t="s">
        <v>469</v>
      </c>
      <c r="B10" s="24">
        <v>25027</v>
      </c>
      <c r="C10" s="160">
        <v>45733.451388888891</v>
      </c>
      <c r="D10" s="54">
        <v>10</v>
      </c>
      <c r="E10" s="24">
        <v>2.5</v>
      </c>
      <c r="F10" s="24">
        <f t="shared" si="5"/>
        <v>4</v>
      </c>
      <c r="G10" s="180">
        <v>8.6803315628927713</v>
      </c>
      <c r="H10" s="24">
        <v>0</v>
      </c>
      <c r="I10" s="24">
        <v>0</v>
      </c>
      <c r="J10" s="38">
        <v>12.5</v>
      </c>
      <c r="K10" s="38">
        <f t="shared" si="6"/>
        <v>4000</v>
      </c>
      <c r="L10" s="38">
        <v>0</v>
      </c>
      <c r="M10" s="48">
        <f t="shared" si="7"/>
        <v>911.90579543867602</v>
      </c>
      <c r="N10" s="48">
        <f t="shared" si="8"/>
        <v>5088.0942045613237</v>
      </c>
      <c r="O10" s="138">
        <f t="shared" si="9"/>
        <v>0.125</v>
      </c>
    </row>
    <row r="11" spans="1:15" x14ac:dyDescent="0.3">
      <c r="A11" s="186" t="s">
        <v>470</v>
      </c>
      <c r="B11" s="24">
        <v>25027</v>
      </c>
      <c r="C11" s="160">
        <v>45734.631944444445</v>
      </c>
      <c r="D11" s="54">
        <v>10</v>
      </c>
      <c r="E11" s="24">
        <v>2.5</v>
      </c>
      <c r="F11" s="24">
        <f t="shared" si="5"/>
        <v>4</v>
      </c>
      <c r="G11" s="180">
        <v>10.985482500111823</v>
      </c>
      <c r="H11" s="24">
        <v>0</v>
      </c>
      <c r="I11" s="24">
        <v>0</v>
      </c>
      <c r="J11" s="38">
        <v>12.5</v>
      </c>
      <c r="K11" s="38">
        <f t="shared" si="6"/>
        <v>4000</v>
      </c>
      <c r="L11" s="38">
        <v>0</v>
      </c>
      <c r="M11" s="48">
        <f t="shared" si="7"/>
        <v>818.76838383386576</v>
      </c>
      <c r="N11" s="48">
        <f t="shared" si="8"/>
        <v>5181.2316161661347</v>
      </c>
      <c r="O11" s="138">
        <f t="shared" si="9"/>
        <v>0.125</v>
      </c>
    </row>
    <row r="12" spans="1:15" ht="15" thickBot="1" x14ac:dyDescent="0.35">
      <c r="A12" s="189" t="s">
        <v>471</v>
      </c>
      <c r="B12" s="170">
        <v>25027</v>
      </c>
      <c r="C12" s="171">
        <v>45737.416666666664</v>
      </c>
      <c r="D12" s="172">
        <v>10</v>
      </c>
      <c r="E12" s="170">
        <v>2</v>
      </c>
      <c r="F12" s="170">
        <f t="shared" si="5"/>
        <v>5</v>
      </c>
      <c r="G12" s="182">
        <v>12.24</v>
      </c>
      <c r="H12" s="170">
        <v>0</v>
      </c>
      <c r="I12" s="170">
        <v>0</v>
      </c>
      <c r="J12" s="173">
        <v>12.5</v>
      </c>
      <c r="K12" s="173">
        <f t="shared" si="6"/>
        <v>5000</v>
      </c>
      <c r="L12" s="173">
        <v>0</v>
      </c>
      <c r="M12" s="174">
        <f t="shared" si="7"/>
        <v>644.44444444444446</v>
      </c>
      <c r="N12" s="174">
        <f t="shared" si="8"/>
        <v>4355.5555555555557</v>
      </c>
      <c r="O12" s="175">
        <f t="shared" si="9"/>
        <v>0.125</v>
      </c>
    </row>
    <row r="13" spans="1:15" x14ac:dyDescent="0.3">
      <c r="A13" s="190" t="s">
        <v>472</v>
      </c>
      <c r="B13" s="148">
        <v>25028</v>
      </c>
      <c r="C13" s="149">
        <v>45729.916666666664</v>
      </c>
      <c r="D13" s="148">
        <v>10</v>
      </c>
      <c r="E13" s="148">
        <v>5</v>
      </c>
      <c r="F13" s="148">
        <f t="shared" si="5"/>
        <v>2</v>
      </c>
      <c r="G13" s="169">
        <v>0.78</v>
      </c>
      <c r="H13" s="148">
        <v>0</v>
      </c>
      <c r="I13" s="148">
        <v>0</v>
      </c>
      <c r="J13" s="150">
        <v>12.5</v>
      </c>
      <c r="K13" s="150">
        <f t="shared" si="6"/>
        <v>2000</v>
      </c>
      <c r="L13" s="150">
        <v>0</v>
      </c>
      <c r="M13" s="151">
        <f>(($J13*$D13*10)-($G13/100*$K13)-($I13/100*$L13))/0.99</f>
        <v>1246.8686868686871</v>
      </c>
      <c r="N13" s="151">
        <f t="shared" si="8"/>
        <v>6753.1313131313127</v>
      </c>
      <c r="O13" s="152">
        <f t="shared" si="9"/>
        <v>0.125</v>
      </c>
    </row>
    <row r="14" spans="1:15" ht="15" thickBot="1" x14ac:dyDescent="0.35">
      <c r="A14" s="187" t="s">
        <v>473</v>
      </c>
      <c r="B14" s="139">
        <v>25028</v>
      </c>
      <c r="C14" s="144">
        <v>45735.618055555555</v>
      </c>
      <c r="D14" s="139">
        <v>10</v>
      </c>
      <c r="E14" s="139">
        <v>2</v>
      </c>
      <c r="F14" s="139">
        <f t="shared" si="5"/>
        <v>5</v>
      </c>
      <c r="G14" s="140">
        <v>12.19</v>
      </c>
      <c r="H14" s="139">
        <v>0</v>
      </c>
      <c r="I14" s="139">
        <v>0</v>
      </c>
      <c r="J14" s="141">
        <v>12.5</v>
      </c>
      <c r="K14" s="141">
        <f t="shared" si="6"/>
        <v>5000</v>
      </c>
      <c r="L14" s="141">
        <v>0</v>
      </c>
      <c r="M14" s="142">
        <f t="shared" si="7"/>
        <v>646.969696969697</v>
      </c>
      <c r="N14" s="142">
        <f t="shared" si="8"/>
        <v>4353.030303030303</v>
      </c>
      <c r="O14" s="143">
        <f t="shared" si="9"/>
        <v>0.125</v>
      </c>
    </row>
    <row r="15" spans="1:15" x14ac:dyDescent="0.3">
      <c r="A15" s="191" t="s">
        <v>474</v>
      </c>
      <c r="B15" s="153">
        <v>25029</v>
      </c>
      <c r="C15" s="154">
        <v>45729.916666666664</v>
      </c>
      <c r="D15" s="153">
        <v>10</v>
      </c>
      <c r="E15" s="153">
        <v>5</v>
      </c>
      <c r="F15" s="153">
        <f t="shared" si="5"/>
        <v>2</v>
      </c>
      <c r="G15" s="168">
        <v>0.78</v>
      </c>
      <c r="H15" s="153">
        <v>0</v>
      </c>
      <c r="I15" s="153">
        <v>0</v>
      </c>
      <c r="J15" s="155">
        <v>12.5</v>
      </c>
      <c r="K15" s="155">
        <f t="shared" si="6"/>
        <v>2000</v>
      </c>
      <c r="L15" s="155">
        <v>0</v>
      </c>
      <c r="M15" s="156">
        <f t="shared" si="7"/>
        <v>1246.8686868686871</v>
      </c>
      <c r="N15" s="156">
        <f t="shared" si="8"/>
        <v>6753.1313131313127</v>
      </c>
      <c r="O15" s="157">
        <f t="shared" si="9"/>
        <v>0.125</v>
      </c>
    </row>
    <row r="16" spans="1:15" ht="15" thickBot="1" x14ac:dyDescent="0.35">
      <c r="A16" s="187" t="s">
        <v>475</v>
      </c>
      <c r="B16" s="139">
        <v>25029</v>
      </c>
      <c r="C16" s="144">
        <v>45737.416666666664</v>
      </c>
      <c r="D16" s="139">
        <v>10</v>
      </c>
      <c r="E16" s="139">
        <v>2</v>
      </c>
      <c r="F16" s="139">
        <f t="shared" si="5"/>
        <v>5</v>
      </c>
      <c r="G16" s="140">
        <v>12.27</v>
      </c>
      <c r="H16" s="139">
        <v>0</v>
      </c>
      <c r="I16" s="139">
        <v>0</v>
      </c>
      <c r="J16" s="141">
        <v>12.5</v>
      </c>
      <c r="K16" s="141">
        <f t="shared" si="6"/>
        <v>5000</v>
      </c>
      <c r="L16" s="141">
        <v>0</v>
      </c>
      <c r="M16" s="142">
        <f t="shared" si="7"/>
        <v>642.92929292929296</v>
      </c>
      <c r="N16" s="142">
        <f t="shared" si="8"/>
        <v>4357.0707070707067</v>
      </c>
      <c r="O16" s="143">
        <f t="shared" si="9"/>
        <v>0.125</v>
      </c>
    </row>
    <row r="17" spans="1:15" x14ac:dyDescent="0.3">
      <c r="A17" s="192" t="s">
        <v>608</v>
      </c>
      <c r="B17" s="153">
        <v>25085</v>
      </c>
      <c r="C17" s="162">
        <v>45741.770833333336</v>
      </c>
      <c r="D17" s="163">
        <v>10</v>
      </c>
      <c r="E17" s="153">
        <v>2</v>
      </c>
      <c r="F17" s="153">
        <f t="shared" si="5"/>
        <v>5</v>
      </c>
      <c r="G17" s="184">
        <v>1.04</v>
      </c>
      <c r="H17" s="153">
        <v>0</v>
      </c>
      <c r="I17" s="153">
        <v>0</v>
      </c>
      <c r="J17" s="155">
        <v>12.5</v>
      </c>
      <c r="K17" s="155">
        <f t="shared" si="6"/>
        <v>5000</v>
      </c>
      <c r="L17" s="155">
        <v>0</v>
      </c>
      <c r="M17" s="156">
        <f t="shared" si="7"/>
        <v>1210.1010101010102</v>
      </c>
      <c r="N17" s="156">
        <f t="shared" si="8"/>
        <v>3789.8989898989898</v>
      </c>
      <c r="O17" s="157">
        <f t="shared" si="9"/>
        <v>0.125</v>
      </c>
    </row>
    <row r="18" spans="1:15" x14ac:dyDescent="0.3">
      <c r="A18" s="186" t="s">
        <v>476</v>
      </c>
      <c r="B18" s="24">
        <v>25085</v>
      </c>
      <c r="C18" s="160">
        <v>45744.416666666664</v>
      </c>
      <c r="D18" s="54">
        <v>10</v>
      </c>
      <c r="E18" s="24">
        <v>5</v>
      </c>
      <c r="F18" s="24">
        <f t="shared" si="5"/>
        <v>2</v>
      </c>
      <c r="G18" s="180">
        <v>4.8074508057842005</v>
      </c>
      <c r="H18" s="24">
        <v>0</v>
      </c>
      <c r="I18" s="24">
        <v>0</v>
      </c>
      <c r="J18" s="38">
        <v>12.5</v>
      </c>
      <c r="K18" s="38">
        <f t="shared" si="6"/>
        <v>2000</v>
      </c>
      <c r="L18" s="38">
        <v>0</v>
      </c>
      <c r="M18" s="48">
        <f t="shared" si="7"/>
        <v>1165.506044327592</v>
      </c>
      <c r="N18" s="48">
        <f t="shared" si="8"/>
        <v>6834.4939556724075</v>
      </c>
      <c r="O18" s="138">
        <f t="shared" si="9"/>
        <v>0.125</v>
      </c>
    </row>
    <row r="19" spans="1:15" x14ac:dyDescent="0.3">
      <c r="A19" s="186" t="s">
        <v>477</v>
      </c>
      <c r="B19" s="24">
        <v>25085</v>
      </c>
      <c r="C19" s="160">
        <v>45745.5</v>
      </c>
      <c r="D19" s="54">
        <v>10</v>
      </c>
      <c r="E19" s="24">
        <v>5</v>
      </c>
      <c r="F19" s="24">
        <f t="shared" si="5"/>
        <v>2</v>
      </c>
      <c r="G19" s="180">
        <v>7.1198223850590994</v>
      </c>
      <c r="H19" s="24">
        <v>0</v>
      </c>
      <c r="I19" s="24">
        <v>0</v>
      </c>
      <c r="J19" s="38">
        <v>12.5</v>
      </c>
      <c r="K19" s="38">
        <f t="shared" si="6"/>
        <v>2000</v>
      </c>
      <c r="L19" s="38">
        <v>0</v>
      </c>
      <c r="M19" s="48">
        <f t="shared" si="7"/>
        <v>1118.7914669685031</v>
      </c>
      <c r="N19" s="48">
        <f t="shared" si="8"/>
        <v>6881.2085330314967</v>
      </c>
      <c r="O19" s="138">
        <f t="shared" si="9"/>
        <v>0.125</v>
      </c>
    </row>
    <row r="20" spans="1:15" x14ac:dyDescent="0.3">
      <c r="A20" s="186" t="s">
        <v>478</v>
      </c>
      <c r="B20" s="24">
        <v>25085</v>
      </c>
      <c r="C20" s="160">
        <v>45747.680555555555</v>
      </c>
      <c r="D20" s="54">
        <v>10</v>
      </c>
      <c r="E20" s="24">
        <v>2</v>
      </c>
      <c r="F20" s="24">
        <f t="shared" si="5"/>
        <v>5</v>
      </c>
      <c r="G20" s="180">
        <v>10.321486982357719</v>
      </c>
      <c r="H20" s="24">
        <v>0</v>
      </c>
      <c r="I20" s="24">
        <v>0</v>
      </c>
      <c r="J20" s="38">
        <v>12.5</v>
      </c>
      <c r="K20" s="38">
        <f t="shared" si="6"/>
        <v>5000</v>
      </c>
      <c r="L20" s="38">
        <v>0</v>
      </c>
      <c r="M20" s="48">
        <f t="shared" si="7"/>
        <v>741.3390412950647</v>
      </c>
      <c r="N20" s="48">
        <f t="shared" si="8"/>
        <v>4258.6609587049352</v>
      </c>
      <c r="O20" s="138">
        <f t="shared" si="9"/>
        <v>0.125</v>
      </c>
    </row>
    <row r="21" spans="1:15" ht="15" thickBot="1" x14ac:dyDescent="0.35">
      <c r="A21" s="187" t="s">
        <v>479</v>
      </c>
      <c r="B21" s="139">
        <v>25085</v>
      </c>
      <c r="C21" s="161">
        <v>45751.375</v>
      </c>
      <c r="D21" s="159">
        <v>10</v>
      </c>
      <c r="E21" s="139">
        <v>2</v>
      </c>
      <c r="F21" s="139">
        <f t="shared" si="5"/>
        <v>5</v>
      </c>
      <c r="G21" s="181">
        <v>12.006385797756149</v>
      </c>
      <c r="H21" s="139">
        <v>0</v>
      </c>
      <c r="I21" s="139">
        <v>0</v>
      </c>
      <c r="J21" s="141">
        <v>12.5</v>
      </c>
      <c r="K21" s="141">
        <f t="shared" si="6"/>
        <v>5000</v>
      </c>
      <c r="L21" s="141">
        <v>0</v>
      </c>
      <c r="M21" s="142">
        <f t="shared" si="7"/>
        <v>656.24314152746717</v>
      </c>
      <c r="N21" s="142">
        <f t="shared" si="8"/>
        <v>4343.7568584725332</v>
      </c>
      <c r="O21" s="143">
        <f t="shared" si="9"/>
        <v>0.125</v>
      </c>
    </row>
    <row r="22" spans="1:15" x14ac:dyDescent="0.3">
      <c r="A22" s="188" t="s">
        <v>609</v>
      </c>
      <c r="B22" s="148">
        <v>25086</v>
      </c>
      <c r="C22" s="167">
        <v>45741.770833333336</v>
      </c>
      <c r="D22" s="165">
        <v>10</v>
      </c>
      <c r="E22" s="148">
        <v>2</v>
      </c>
      <c r="F22" s="148">
        <f t="shared" si="5"/>
        <v>5</v>
      </c>
      <c r="G22" s="183">
        <v>1.04</v>
      </c>
      <c r="H22" s="148">
        <v>0</v>
      </c>
      <c r="I22" s="148">
        <v>0</v>
      </c>
      <c r="J22" s="150">
        <v>12.5</v>
      </c>
      <c r="K22" s="150">
        <f t="shared" si="6"/>
        <v>5000</v>
      </c>
      <c r="L22" s="150">
        <v>0</v>
      </c>
      <c r="M22" s="151">
        <f t="shared" si="7"/>
        <v>1210.1010101010102</v>
      </c>
      <c r="N22" s="151">
        <f t="shared" si="8"/>
        <v>3789.8989898989898</v>
      </c>
      <c r="O22" s="152">
        <f t="shared" si="9"/>
        <v>0.125</v>
      </c>
    </row>
    <row r="23" spans="1:15" x14ac:dyDescent="0.3">
      <c r="A23" s="186" t="s">
        <v>480</v>
      </c>
      <c r="B23" s="24">
        <v>25086</v>
      </c>
      <c r="C23" s="160">
        <v>45744.416666666664</v>
      </c>
      <c r="D23" s="54">
        <v>10</v>
      </c>
      <c r="E23" s="24">
        <v>2</v>
      </c>
      <c r="F23" s="24">
        <f t="shared" si="5"/>
        <v>5</v>
      </c>
      <c r="G23" s="177">
        <v>5.0114140671214109</v>
      </c>
      <c r="H23" s="24">
        <v>0</v>
      </c>
      <c r="I23" s="24">
        <v>0</v>
      </c>
      <c r="J23" s="38">
        <v>12.5</v>
      </c>
      <c r="K23" s="38">
        <f t="shared" si="6"/>
        <v>5000</v>
      </c>
      <c r="L23" s="38">
        <v>0</v>
      </c>
      <c r="M23" s="48">
        <f t="shared" si="7"/>
        <v>1009.5245420645751</v>
      </c>
      <c r="N23" s="48">
        <f t="shared" si="8"/>
        <v>3990.4754579354249</v>
      </c>
      <c r="O23" s="138">
        <f t="shared" si="9"/>
        <v>0.125</v>
      </c>
    </row>
    <row r="24" spans="1:15" x14ac:dyDescent="0.3">
      <c r="A24" s="186" t="s">
        <v>481</v>
      </c>
      <c r="B24" s="24">
        <v>25086</v>
      </c>
      <c r="C24" s="160">
        <v>45745.5</v>
      </c>
      <c r="D24" s="54">
        <v>10</v>
      </c>
      <c r="E24" s="24">
        <v>2</v>
      </c>
      <c r="F24" s="24">
        <f t="shared" si="5"/>
        <v>5</v>
      </c>
      <c r="G24" s="177">
        <v>7.2762966106229712</v>
      </c>
      <c r="H24" s="24">
        <v>0</v>
      </c>
      <c r="I24" s="24">
        <v>0</v>
      </c>
      <c r="J24" s="38">
        <v>12.5</v>
      </c>
      <c r="K24" s="38">
        <f t="shared" si="6"/>
        <v>5000</v>
      </c>
      <c r="L24" s="38">
        <v>0</v>
      </c>
      <c r="M24" s="48">
        <f t="shared" si="7"/>
        <v>895.1365348170217</v>
      </c>
      <c r="N24" s="48">
        <f t="shared" si="8"/>
        <v>4104.863465182978</v>
      </c>
      <c r="O24" s="138">
        <f t="shared" si="9"/>
        <v>0.125</v>
      </c>
    </row>
    <row r="25" spans="1:15" x14ac:dyDescent="0.3">
      <c r="A25" s="186" t="s">
        <v>482</v>
      </c>
      <c r="B25" s="24">
        <v>25086</v>
      </c>
      <c r="C25" s="160">
        <v>45747.680555555555</v>
      </c>
      <c r="D25" s="54">
        <v>10</v>
      </c>
      <c r="E25" s="24">
        <v>2</v>
      </c>
      <c r="F25" s="24">
        <f t="shared" si="5"/>
        <v>5</v>
      </c>
      <c r="G25" s="177">
        <v>10.240664876366566</v>
      </c>
      <c r="H25" s="24">
        <v>0</v>
      </c>
      <c r="I25" s="24">
        <v>0</v>
      </c>
      <c r="J25" s="38">
        <v>12.5</v>
      </c>
      <c r="K25" s="38">
        <f t="shared" si="6"/>
        <v>5000</v>
      </c>
      <c r="L25" s="38">
        <v>0</v>
      </c>
      <c r="M25" s="48">
        <f t="shared" si="7"/>
        <v>745.42096584007243</v>
      </c>
      <c r="N25" s="48">
        <f t="shared" si="8"/>
        <v>4254.5790341599277</v>
      </c>
      <c r="O25" s="138">
        <f t="shared" si="9"/>
        <v>0.125</v>
      </c>
    </row>
    <row r="26" spans="1:15" ht="15" thickBot="1" x14ac:dyDescent="0.35">
      <c r="A26" s="187" t="s">
        <v>483</v>
      </c>
      <c r="B26" s="139">
        <v>25086</v>
      </c>
      <c r="C26" s="161">
        <v>45751.375</v>
      </c>
      <c r="D26" s="159">
        <v>10</v>
      </c>
      <c r="E26" s="139">
        <v>2</v>
      </c>
      <c r="F26" s="139">
        <f t="shared" si="5"/>
        <v>5</v>
      </c>
      <c r="G26" s="178">
        <v>11.956616180975722</v>
      </c>
      <c r="H26" s="139">
        <v>0</v>
      </c>
      <c r="I26" s="139">
        <v>0</v>
      </c>
      <c r="J26" s="141">
        <v>12.5</v>
      </c>
      <c r="K26" s="141">
        <f t="shared" si="6"/>
        <v>5000</v>
      </c>
      <c r="L26" s="141">
        <v>0</v>
      </c>
      <c r="M26" s="142">
        <f t="shared" si="7"/>
        <v>658.7567585365797</v>
      </c>
      <c r="N26" s="142">
        <f t="shared" si="8"/>
        <v>4341.2432414634204</v>
      </c>
      <c r="O26" s="143">
        <f t="shared" si="9"/>
        <v>0.125</v>
      </c>
    </row>
    <row r="27" spans="1:15" x14ac:dyDescent="0.3">
      <c r="A27" s="188" t="s">
        <v>484</v>
      </c>
      <c r="B27" s="148">
        <v>25150</v>
      </c>
      <c r="C27" s="167">
        <v>45755.75</v>
      </c>
      <c r="D27" s="165">
        <v>10</v>
      </c>
      <c r="E27" s="148">
        <v>2</v>
      </c>
      <c r="F27" s="148">
        <f t="shared" si="5"/>
        <v>5</v>
      </c>
      <c r="G27" s="179">
        <v>0.94</v>
      </c>
      <c r="H27" s="148">
        <v>0</v>
      </c>
      <c r="I27" s="148">
        <v>0</v>
      </c>
      <c r="J27" s="150">
        <v>12.5</v>
      </c>
      <c r="K27" s="150">
        <f t="shared" si="6"/>
        <v>5000</v>
      </c>
      <c r="L27" s="150">
        <v>0</v>
      </c>
      <c r="M27" s="151">
        <f t="shared" si="7"/>
        <v>1215.1515151515152</v>
      </c>
      <c r="N27" s="151">
        <f t="shared" si="8"/>
        <v>3784.848484848485</v>
      </c>
      <c r="O27" s="152">
        <f t="shared" si="9"/>
        <v>0.125</v>
      </c>
    </row>
    <row r="28" spans="1:15" x14ac:dyDescent="0.3">
      <c r="A28" s="186" t="s">
        <v>414</v>
      </c>
      <c r="B28" s="24">
        <v>25150</v>
      </c>
      <c r="C28" s="160">
        <v>45757.375</v>
      </c>
      <c r="D28" s="54">
        <v>10</v>
      </c>
      <c r="E28" s="24">
        <v>2</v>
      </c>
      <c r="F28" s="24">
        <f t="shared" si="5"/>
        <v>5</v>
      </c>
      <c r="G28" s="180">
        <v>2.7562266800038309</v>
      </c>
      <c r="H28" s="137">
        <v>0</v>
      </c>
      <c r="I28" s="137">
        <v>0</v>
      </c>
      <c r="J28" s="38">
        <v>12.5</v>
      </c>
      <c r="K28" s="38">
        <f t="shared" si="6"/>
        <v>5000</v>
      </c>
      <c r="L28" s="38">
        <v>0</v>
      </c>
      <c r="M28" s="48">
        <f t="shared" si="7"/>
        <v>1123.4228949493015</v>
      </c>
      <c r="N28" s="48">
        <f t="shared" si="8"/>
        <v>3876.5771050506983</v>
      </c>
      <c r="O28" s="138">
        <f t="shared" si="9"/>
        <v>0.125</v>
      </c>
    </row>
    <row r="29" spans="1:15" x14ac:dyDescent="0.3">
      <c r="A29" s="186" t="s">
        <v>415</v>
      </c>
      <c r="B29" s="24">
        <v>25150</v>
      </c>
      <c r="C29" s="160">
        <v>45758.375</v>
      </c>
      <c r="D29" s="54">
        <v>10</v>
      </c>
      <c r="E29" s="24">
        <v>2</v>
      </c>
      <c r="F29" s="24">
        <f t="shared" si="5"/>
        <v>5</v>
      </c>
      <c r="G29" s="180">
        <v>6.2024826410796781</v>
      </c>
      <c r="H29" s="137">
        <v>0</v>
      </c>
      <c r="I29" s="137">
        <v>0</v>
      </c>
      <c r="J29" s="38">
        <v>12.5</v>
      </c>
      <c r="K29" s="38">
        <f t="shared" si="6"/>
        <v>5000</v>
      </c>
      <c r="L29" s="38">
        <v>0</v>
      </c>
      <c r="M29" s="48">
        <f t="shared" si="7"/>
        <v>949.36956358183443</v>
      </c>
      <c r="N29" s="48">
        <f t="shared" si="8"/>
        <v>4050.6304364181656</v>
      </c>
      <c r="O29" s="138">
        <f t="shared" si="9"/>
        <v>0.125</v>
      </c>
    </row>
    <row r="30" spans="1:15" x14ac:dyDescent="0.3">
      <c r="A30" s="186" t="s">
        <v>418</v>
      </c>
      <c r="B30" s="24">
        <v>25150</v>
      </c>
      <c r="C30" s="160">
        <v>45759.416666666664</v>
      </c>
      <c r="D30" s="54">
        <v>10</v>
      </c>
      <c r="E30" s="24">
        <v>2.5</v>
      </c>
      <c r="F30" s="24">
        <f t="shared" si="5"/>
        <v>4</v>
      </c>
      <c r="G30" s="180">
        <v>8.2919626315438411</v>
      </c>
      <c r="H30" s="137">
        <v>0</v>
      </c>
      <c r="I30" s="137">
        <v>0</v>
      </c>
      <c r="J30" s="38">
        <v>12.5</v>
      </c>
      <c r="K30" s="38">
        <f t="shared" si="6"/>
        <v>4000</v>
      </c>
      <c r="L30" s="38">
        <v>0</v>
      </c>
      <c r="M30" s="48">
        <f t="shared" si="7"/>
        <v>927.59746943257221</v>
      </c>
      <c r="N30" s="48">
        <f t="shared" si="8"/>
        <v>5072.4025305674277</v>
      </c>
      <c r="O30" s="138">
        <f t="shared" si="9"/>
        <v>0.125</v>
      </c>
    </row>
    <row r="31" spans="1:15" x14ac:dyDescent="0.3">
      <c r="A31" s="186" t="s">
        <v>408</v>
      </c>
      <c r="B31" s="24">
        <v>25150</v>
      </c>
      <c r="C31" s="160">
        <v>45761.625</v>
      </c>
      <c r="D31" s="54">
        <v>10</v>
      </c>
      <c r="E31" s="24">
        <v>5</v>
      </c>
      <c r="F31" s="24">
        <f t="shared" si="5"/>
        <v>2</v>
      </c>
      <c r="G31" s="180">
        <v>10.943577650185402</v>
      </c>
      <c r="H31" s="24">
        <v>0</v>
      </c>
      <c r="I31" s="24">
        <v>0</v>
      </c>
      <c r="J31" s="38">
        <v>12.5</v>
      </c>
      <c r="K31" s="38">
        <f t="shared" si="6"/>
        <v>2000</v>
      </c>
      <c r="L31" s="38">
        <v>0</v>
      </c>
      <c r="M31" s="48">
        <f t="shared" si="7"/>
        <v>1041.5438858548405</v>
      </c>
      <c r="N31" s="48">
        <f t="shared" si="8"/>
        <v>6958.4561141451595</v>
      </c>
      <c r="O31" s="138">
        <f t="shared" si="9"/>
        <v>0.125</v>
      </c>
    </row>
    <row r="32" spans="1:15" ht="15" thickBot="1" x14ac:dyDescent="0.35">
      <c r="A32" s="187" t="s">
        <v>485</v>
      </c>
      <c r="B32" s="139">
        <v>25150</v>
      </c>
      <c r="C32" s="161">
        <v>45763.625</v>
      </c>
      <c r="D32" s="159">
        <v>10</v>
      </c>
      <c r="E32" s="139">
        <v>2</v>
      </c>
      <c r="F32" s="139">
        <f t="shared" si="5"/>
        <v>5</v>
      </c>
      <c r="G32" s="181">
        <v>11.965594190917749</v>
      </c>
      <c r="H32" s="140">
        <v>0</v>
      </c>
      <c r="I32" s="140">
        <v>0</v>
      </c>
      <c r="J32" s="141">
        <v>12.5</v>
      </c>
      <c r="K32" s="141">
        <f t="shared" si="6"/>
        <v>5000</v>
      </c>
      <c r="L32" s="141">
        <v>0</v>
      </c>
      <c r="M32" s="142">
        <f t="shared" si="7"/>
        <v>658.3033236910228</v>
      </c>
      <c r="N32" s="142">
        <f t="shared" si="8"/>
        <v>4341.6966763089767</v>
      </c>
      <c r="O32" s="143">
        <f t="shared" si="9"/>
        <v>0.125</v>
      </c>
    </row>
    <row r="33" spans="1:15" x14ac:dyDescent="0.3">
      <c r="A33" s="188" t="s">
        <v>403</v>
      </c>
      <c r="B33" s="148">
        <v>25151</v>
      </c>
      <c r="C33" s="167">
        <v>45755.75</v>
      </c>
      <c r="D33" s="165">
        <v>10</v>
      </c>
      <c r="E33" s="148">
        <v>2</v>
      </c>
      <c r="F33" s="148">
        <f t="shared" si="5"/>
        <v>5</v>
      </c>
      <c r="G33" s="179">
        <v>0.94</v>
      </c>
      <c r="H33" s="169">
        <v>0</v>
      </c>
      <c r="I33" s="169">
        <v>0</v>
      </c>
      <c r="J33" s="150">
        <v>12.5</v>
      </c>
      <c r="K33" s="150">
        <f t="shared" si="6"/>
        <v>5000</v>
      </c>
      <c r="L33" s="150">
        <v>0</v>
      </c>
      <c r="M33" s="151">
        <f t="shared" si="7"/>
        <v>1215.1515151515152</v>
      </c>
      <c r="N33" s="151">
        <f t="shared" si="8"/>
        <v>3784.848484848485</v>
      </c>
      <c r="O33" s="152">
        <f t="shared" si="9"/>
        <v>0.125</v>
      </c>
    </row>
    <row r="34" spans="1:15" x14ac:dyDescent="0.3">
      <c r="A34" s="186" t="s">
        <v>427</v>
      </c>
      <c r="B34" s="24">
        <v>25151</v>
      </c>
      <c r="C34" s="160">
        <v>45757.375</v>
      </c>
      <c r="D34" s="54">
        <v>10</v>
      </c>
      <c r="E34" s="24">
        <v>2</v>
      </c>
      <c r="F34" s="24">
        <f t="shared" si="5"/>
        <v>5</v>
      </c>
      <c r="G34" s="180">
        <v>2.9771587992622996</v>
      </c>
      <c r="H34" s="137">
        <v>0</v>
      </c>
      <c r="I34" s="137">
        <v>0</v>
      </c>
      <c r="J34" s="38">
        <v>12.5</v>
      </c>
      <c r="K34" s="38">
        <f t="shared" si="6"/>
        <v>5000</v>
      </c>
      <c r="L34" s="38">
        <v>0</v>
      </c>
      <c r="M34" s="48">
        <f t="shared" si="7"/>
        <v>1112.2647071079648</v>
      </c>
      <c r="N34" s="48">
        <f t="shared" si="8"/>
        <v>3887.7352928920354</v>
      </c>
      <c r="O34" s="138">
        <f t="shared" si="9"/>
        <v>0.125</v>
      </c>
    </row>
    <row r="35" spans="1:15" x14ac:dyDescent="0.3">
      <c r="A35" s="186" t="s">
        <v>428</v>
      </c>
      <c r="B35" s="24">
        <v>25151</v>
      </c>
      <c r="C35" s="160">
        <v>45758.375</v>
      </c>
      <c r="D35" s="54">
        <v>10</v>
      </c>
      <c r="E35" s="24">
        <v>2</v>
      </c>
      <c r="F35" s="24">
        <f t="shared" si="5"/>
        <v>5</v>
      </c>
      <c r="G35" s="180">
        <v>6.4140844610875511</v>
      </c>
      <c r="H35" s="137">
        <v>0</v>
      </c>
      <c r="I35" s="137">
        <v>0</v>
      </c>
      <c r="J35" s="38">
        <v>12.5</v>
      </c>
      <c r="K35" s="38">
        <f t="shared" si="6"/>
        <v>5000</v>
      </c>
      <c r="L35" s="38">
        <v>0</v>
      </c>
      <c r="M35" s="48">
        <f t="shared" si="7"/>
        <v>938.68260297537631</v>
      </c>
      <c r="N35" s="48">
        <f t="shared" si="8"/>
        <v>4061.3173970246235</v>
      </c>
      <c r="O35" s="138">
        <f t="shared" si="9"/>
        <v>0.125</v>
      </c>
    </row>
    <row r="36" spans="1:15" x14ac:dyDescent="0.3">
      <c r="A36" s="186" t="s">
        <v>431</v>
      </c>
      <c r="B36" s="24">
        <v>25151</v>
      </c>
      <c r="C36" s="160">
        <v>45759.416666666664</v>
      </c>
      <c r="D36" s="54">
        <v>10</v>
      </c>
      <c r="E36" s="24">
        <v>2.5</v>
      </c>
      <c r="F36" s="24">
        <f t="shared" si="5"/>
        <v>4</v>
      </c>
      <c r="G36" s="180">
        <v>8.4236151833627346</v>
      </c>
      <c r="H36" s="137">
        <v>0</v>
      </c>
      <c r="I36" s="137">
        <v>0</v>
      </c>
      <c r="J36" s="38">
        <v>12.5</v>
      </c>
      <c r="K36" s="38">
        <f t="shared" si="6"/>
        <v>4000</v>
      </c>
      <c r="L36" s="38">
        <v>0</v>
      </c>
      <c r="M36" s="48">
        <f t="shared" si="7"/>
        <v>922.27817440958654</v>
      </c>
      <c r="N36" s="48">
        <f t="shared" si="8"/>
        <v>5077.7218255904136</v>
      </c>
      <c r="O36" s="138">
        <f t="shared" si="9"/>
        <v>0.125</v>
      </c>
    </row>
    <row r="37" spans="1:15" x14ac:dyDescent="0.3">
      <c r="A37" s="186" t="s">
        <v>423</v>
      </c>
      <c r="B37" s="24">
        <v>25151</v>
      </c>
      <c r="C37" s="160">
        <v>45761.625</v>
      </c>
      <c r="D37" s="54">
        <v>10</v>
      </c>
      <c r="E37" s="24">
        <v>5</v>
      </c>
      <c r="F37" s="24">
        <f t="shared" si="5"/>
        <v>2</v>
      </c>
      <c r="G37" s="180">
        <v>11.043534464432579</v>
      </c>
      <c r="H37" s="137">
        <v>0</v>
      </c>
      <c r="I37" s="137">
        <v>0</v>
      </c>
      <c r="J37" s="38">
        <v>12.5</v>
      </c>
      <c r="K37" s="38">
        <f t="shared" si="6"/>
        <v>2000</v>
      </c>
      <c r="L37" s="38">
        <v>0</v>
      </c>
      <c r="M37" s="48">
        <f t="shared" si="7"/>
        <v>1039.5245562740893</v>
      </c>
      <c r="N37" s="48">
        <f t="shared" si="8"/>
        <v>6960.4754437259107</v>
      </c>
      <c r="O37" s="138">
        <f t="shared" si="9"/>
        <v>0.125</v>
      </c>
    </row>
    <row r="38" spans="1:15" ht="15" thickBot="1" x14ac:dyDescent="0.35">
      <c r="A38" s="187" t="s">
        <v>486</v>
      </c>
      <c r="B38" s="139">
        <v>25151</v>
      </c>
      <c r="C38" s="161">
        <v>45763.625</v>
      </c>
      <c r="D38" s="159">
        <v>10</v>
      </c>
      <c r="E38" s="139">
        <v>2</v>
      </c>
      <c r="F38" s="139">
        <f t="shared" si="5"/>
        <v>5</v>
      </c>
      <c r="G38" s="181">
        <v>12.118564856314839</v>
      </c>
      <c r="H38" s="140">
        <v>0</v>
      </c>
      <c r="I38" s="140">
        <v>0</v>
      </c>
      <c r="J38" s="141">
        <v>12.5</v>
      </c>
      <c r="K38" s="141">
        <f t="shared" si="6"/>
        <v>5000</v>
      </c>
      <c r="L38" s="141">
        <v>0</v>
      </c>
      <c r="M38" s="142">
        <f t="shared" si="7"/>
        <v>650.57753250935161</v>
      </c>
      <c r="N38" s="142">
        <f t="shared" si="8"/>
        <v>4349.4224674906482</v>
      </c>
      <c r="O38" s="143">
        <f t="shared" si="9"/>
        <v>0.125</v>
      </c>
    </row>
    <row r="39" spans="1:15" x14ac:dyDescent="0.3">
      <c r="A39" s="188" t="s">
        <v>487</v>
      </c>
      <c r="B39" s="148">
        <v>25170</v>
      </c>
      <c r="C39" s="167">
        <v>45768.666666666664</v>
      </c>
      <c r="D39" s="165">
        <v>10</v>
      </c>
      <c r="E39" s="148">
        <v>2</v>
      </c>
      <c r="F39" s="148">
        <f t="shared" si="5"/>
        <v>5</v>
      </c>
      <c r="G39" s="179">
        <v>0.94</v>
      </c>
      <c r="H39" s="169">
        <v>0</v>
      </c>
      <c r="I39" s="169">
        <v>0</v>
      </c>
      <c r="J39" s="150">
        <v>12.5</v>
      </c>
      <c r="K39" s="150">
        <f t="shared" si="6"/>
        <v>5000</v>
      </c>
      <c r="L39" s="150">
        <v>0</v>
      </c>
      <c r="M39" s="151">
        <f t="shared" si="7"/>
        <v>1215.1515151515152</v>
      </c>
      <c r="N39" s="151">
        <f t="shared" si="8"/>
        <v>3784.848484848485</v>
      </c>
      <c r="O39" s="152">
        <f t="shared" si="9"/>
        <v>0.125</v>
      </c>
    </row>
    <row r="40" spans="1:15" x14ac:dyDescent="0.3">
      <c r="A40" s="186" t="s">
        <v>488</v>
      </c>
      <c r="B40" s="24">
        <v>25170</v>
      </c>
      <c r="C40" s="160">
        <v>45772.375</v>
      </c>
      <c r="D40" s="54">
        <v>10</v>
      </c>
      <c r="E40" s="24">
        <v>2</v>
      </c>
      <c r="F40" s="24">
        <f t="shared" si="5"/>
        <v>5</v>
      </c>
      <c r="G40" s="180">
        <v>2.787542603632251</v>
      </c>
      <c r="H40" s="137">
        <v>0</v>
      </c>
      <c r="I40" s="137">
        <v>0</v>
      </c>
      <c r="J40" s="38">
        <v>12.5</v>
      </c>
      <c r="K40" s="38">
        <f t="shared" si="6"/>
        <v>5000</v>
      </c>
      <c r="L40" s="38">
        <v>0</v>
      </c>
      <c r="M40" s="48">
        <f t="shared" si="7"/>
        <v>1121.8412826448359</v>
      </c>
      <c r="N40" s="48">
        <f t="shared" si="8"/>
        <v>3878.1587173551643</v>
      </c>
      <c r="O40" s="138">
        <f t="shared" si="9"/>
        <v>0.125</v>
      </c>
    </row>
    <row r="41" spans="1:15" x14ac:dyDescent="0.3">
      <c r="A41" s="186" t="s">
        <v>489</v>
      </c>
      <c r="B41" s="24">
        <v>25170</v>
      </c>
      <c r="C41" s="160">
        <v>45773.40625</v>
      </c>
      <c r="D41" s="54">
        <v>10</v>
      </c>
      <c r="E41" s="24">
        <v>2</v>
      </c>
      <c r="F41" s="24">
        <f t="shared" si="5"/>
        <v>5</v>
      </c>
      <c r="G41" s="180">
        <v>4.4146569465752652</v>
      </c>
      <c r="H41" s="137">
        <v>0</v>
      </c>
      <c r="I41" s="137">
        <v>0</v>
      </c>
      <c r="J41" s="38">
        <v>12.5</v>
      </c>
      <c r="K41" s="38">
        <f t="shared" si="6"/>
        <v>5000</v>
      </c>
      <c r="L41" s="38">
        <v>0</v>
      </c>
      <c r="M41" s="48">
        <f t="shared" si="7"/>
        <v>1039.6637905770069</v>
      </c>
      <c r="N41" s="48">
        <f t="shared" si="8"/>
        <v>3960.3362094229933</v>
      </c>
      <c r="O41" s="138">
        <f t="shared" si="9"/>
        <v>0.125</v>
      </c>
    </row>
    <row r="42" spans="1:15" x14ac:dyDescent="0.3">
      <c r="A42" s="186" t="s">
        <v>490</v>
      </c>
      <c r="B42" s="24">
        <v>25170</v>
      </c>
      <c r="C42" s="160">
        <v>45774.5625</v>
      </c>
      <c r="D42" s="54">
        <v>10</v>
      </c>
      <c r="E42" s="24">
        <v>5</v>
      </c>
      <c r="F42" s="24">
        <f t="shared" si="5"/>
        <v>2</v>
      </c>
      <c r="G42" s="180">
        <v>6.3328719851250597</v>
      </c>
      <c r="H42" s="137">
        <v>0</v>
      </c>
      <c r="I42" s="137">
        <v>0</v>
      </c>
      <c r="J42" s="38">
        <v>12.5</v>
      </c>
      <c r="K42" s="38">
        <f t="shared" si="6"/>
        <v>2000</v>
      </c>
      <c r="L42" s="38">
        <v>0</v>
      </c>
      <c r="M42" s="48">
        <f t="shared" si="7"/>
        <v>1134.6894548459584</v>
      </c>
      <c r="N42" s="48">
        <f t="shared" si="8"/>
        <v>6865.3105451540414</v>
      </c>
      <c r="O42" s="138">
        <f t="shared" si="9"/>
        <v>0.125</v>
      </c>
    </row>
    <row r="43" spans="1:15" x14ac:dyDescent="0.3">
      <c r="A43" s="186" t="s">
        <v>491</v>
      </c>
      <c r="B43" s="24">
        <v>25170</v>
      </c>
      <c r="C43" s="160">
        <v>45775.375</v>
      </c>
      <c r="D43" s="54">
        <v>10</v>
      </c>
      <c r="E43" s="24">
        <v>2</v>
      </c>
      <c r="F43" s="24">
        <f t="shared" si="5"/>
        <v>5</v>
      </c>
      <c r="G43" s="180">
        <v>7.3067603947772515</v>
      </c>
      <c r="H43" s="137">
        <v>0</v>
      </c>
      <c r="I43" s="137">
        <v>0</v>
      </c>
      <c r="J43" s="38">
        <v>12.5</v>
      </c>
      <c r="K43" s="38">
        <f t="shared" si="6"/>
        <v>5000</v>
      </c>
      <c r="L43" s="38">
        <v>0</v>
      </c>
      <c r="M43" s="48">
        <f t="shared" si="7"/>
        <v>893.59795985973471</v>
      </c>
      <c r="N43" s="48">
        <f t="shared" si="8"/>
        <v>4106.4020401402649</v>
      </c>
      <c r="O43" s="138">
        <f t="shared" si="9"/>
        <v>0.125</v>
      </c>
    </row>
    <row r="44" spans="1:15" x14ac:dyDescent="0.3">
      <c r="A44" s="186" t="s">
        <v>492</v>
      </c>
      <c r="B44" s="24">
        <v>25170</v>
      </c>
      <c r="C44" s="160">
        <v>45776.4375</v>
      </c>
      <c r="D44" s="54">
        <v>10</v>
      </c>
      <c r="E44" s="24">
        <v>2</v>
      </c>
      <c r="F44" s="24">
        <f t="shared" si="5"/>
        <v>5</v>
      </c>
      <c r="G44" s="180">
        <v>8.3745532051894465</v>
      </c>
      <c r="H44" s="137">
        <v>0</v>
      </c>
      <c r="I44" s="137">
        <v>0</v>
      </c>
      <c r="J44" s="38">
        <v>12.5</v>
      </c>
      <c r="K44" s="38">
        <f t="shared" si="6"/>
        <v>5000</v>
      </c>
      <c r="L44" s="38">
        <v>0</v>
      </c>
      <c r="M44" s="48">
        <f t="shared" si="7"/>
        <v>839.66903004093717</v>
      </c>
      <c r="N44" s="48">
        <f t="shared" si="8"/>
        <v>4160.3309699590627</v>
      </c>
      <c r="O44" s="138">
        <f t="shared" si="9"/>
        <v>0.125</v>
      </c>
    </row>
    <row r="45" spans="1:15" x14ac:dyDescent="0.3">
      <c r="A45" s="186" t="s">
        <v>493</v>
      </c>
      <c r="B45" s="24">
        <v>25170</v>
      </c>
      <c r="C45" s="160">
        <v>45777.375</v>
      </c>
      <c r="D45" s="54">
        <v>10</v>
      </c>
      <c r="E45" s="24">
        <v>2</v>
      </c>
      <c r="F45" s="24">
        <f t="shared" si="5"/>
        <v>5</v>
      </c>
      <c r="G45" s="180">
        <v>9.0987152823190467</v>
      </c>
      <c r="H45" s="137">
        <v>0</v>
      </c>
      <c r="I45" s="137">
        <v>0</v>
      </c>
      <c r="J45" s="38">
        <v>12.5</v>
      </c>
      <c r="K45" s="38">
        <f t="shared" si="6"/>
        <v>5000</v>
      </c>
      <c r="L45" s="38">
        <v>0</v>
      </c>
      <c r="M45" s="48">
        <f t="shared" si="7"/>
        <v>803.09518776166442</v>
      </c>
      <c r="N45" s="48">
        <f t="shared" si="8"/>
        <v>4196.9048122383356</v>
      </c>
      <c r="O45" s="138">
        <f t="shared" si="9"/>
        <v>0.125</v>
      </c>
    </row>
    <row r="46" spans="1:15" x14ac:dyDescent="0.3">
      <c r="A46" s="186" t="s">
        <v>494</v>
      </c>
      <c r="B46" s="24">
        <v>25170</v>
      </c>
      <c r="C46" s="160">
        <v>45778.729166666664</v>
      </c>
      <c r="D46" s="54">
        <v>10</v>
      </c>
      <c r="E46" s="24">
        <v>2.5</v>
      </c>
      <c r="F46" s="24">
        <f t="shared" si="5"/>
        <v>4</v>
      </c>
      <c r="G46" s="180">
        <v>9.9306108952737198</v>
      </c>
      <c r="H46" s="137">
        <v>0</v>
      </c>
      <c r="I46" s="137">
        <v>0</v>
      </c>
      <c r="J46" s="38">
        <v>12.5</v>
      </c>
      <c r="K46" s="38">
        <f t="shared" si="6"/>
        <v>4000</v>
      </c>
      <c r="L46" s="38">
        <v>0</v>
      </c>
      <c r="M46" s="48">
        <f t="shared" si="7"/>
        <v>861.38945877681942</v>
      </c>
      <c r="N46" s="48">
        <f t="shared" si="8"/>
        <v>5138.6105412231809</v>
      </c>
      <c r="O46" s="138">
        <f t="shared" si="9"/>
        <v>0.125</v>
      </c>
    </row>
    <row r="47" spans="1:15" x14ac:dyDescent="0.3">
      <c r="A47" s="186" t="s">
        <v>495</v>
      </c>
      <c r="B47" s="24">
        <v>25170</v>
      </c>
      <c r="C47" s="160">
        <v>45780.5</v>
      </c>
      <c r="D47" s="54">
        <v>10</v>
      </c>
      <c r="E47" s="24">
        <v>5</v>
      </c>
      <c r="F47" s="24">
        <f t="shared" si="5"/>
        <v>2</v>
      </c>
      <c r="G47" s="180">
        <v>10.821321799776552</v>
      </c>
      <c r="H47" s="137">
        <v>0</v>
      </c>
      <c r="I47" s="137">
        <v>0</v>
      </c>
      <c r="J47" s="38">
        <v>12.5</v>
      </c>
      <c r="K47" s="38">
        <f t="shared" si="6"/>
        <v>2000</v>
      </c>
      <c r="L47" s="38">
        <v>0</v>
      </c>
      <c r="M47" s="48">
        <f t="shared" si="7"/>
        <v>1044.0137010146152</v>
      </c>
      <c r="N47" s="48">
        <f t="shared" si="8"/>
        <v>6955.9862989853846</v>
      </c>
      <c r="O47" s="138">
        <f t="shared" si="9"/>
        <v>0.125</v>
      </c>
    </row>
    <row r="48" spans="1:15" x14ac:dyDescent="0.3">
      <c r="A48" s="186" t="s">
        <v>496</v>
      </c>
      <c r="B48" s="24">
        <v>25170</v>
      </c>
      <c r="C48" s="160">
        <v>45782.40625</v>
      </c>
      <c r="D48" s="54">
        <v>10</v>
      </c>
      <c r="E48" s="24">
        <v>2</v>
      </c>
      <c r="F48" s="24">
        <f t="shared" si="5"/>
        <v>5</v>
      </c>
      <c r="G48" s="180">
        <v>11.25246684328288</v>
      </c>
      <c r="H48" s="137">
        <v>0</v>
      </c>
      <c r="I48" s="137">
        <v>0</v>
      </c>
      <c r="J48" s="38">
        <v>12.5</v>
      </c>
      <c r="K48" s="38">
        <f t="shared" si="6"/>
        <v>5000</v>
      </c>
      <c r="L48" s="38">
        <v>0</v>
      </c>
      <c r="M48" s="48">
        <f t="shared" si="7"/>
        <v>694.31985639985453</v>
      </c>
      <c r="N48" s="48">
        <f t="shared" si="8"/>
        <v>4305.6801436001451</v>
      </c>
      <c r="O48" s="138">
        <f t="shared" si="9"/>
        <v>0.125</v>
      </c>
    </row>
    <row r="49" spans="1:15" ht="15" thickBot="1" x14ac:dyDescent="0.35">
      <c r="A49" s="187" t="s">
        <v>497</v>
      </c>
      <c r="B49" s="139">
        <v>25170</v>
      </c>
      <c r="C49" s="161">
        <v>45784.4375</v>
      </c>
      <c r="D49" s="159">
        <v>10</v>
      </c>
      <c r="E49" s="139">
        <v>2</v>
      </c>
      <c r="F49" s="139">
        <f t="shared" si="5"/>
        <v>5</v>
      </c>
      <c r="G49" s="181">
        <v>11.894071268737452</v>
      </c>
      <c r="H49" s="140">
        <v>0</v>
      </c>
      <c r="I49" s="140">
        <v>0</v>
      </c>
      <c r="J49" s="141">
        <v>12.5</v>
      </c>
      <c r="K49" s="141">
        <f t="shared" si="6"/>
        <v>5000</v>
      </c>
      <c r="L49" s="141">
        <v>0</v>
      </c>
      <c r="M49" s="142">
        <f t="shared" si="7"/>
        <v>661.91559248800741</v>
      </c>
      <c r="N49" s="142">
        <f t="shared" si="8"/>
        <v>4338.084407511993</v>
      </c>
      <c r="O49" s="143">
        <f t="shared" si="9"/>
        <v>0.125</v>
      </c>
    </row>
    <row r="50" spans="1:15" x14ac:dyDescent="0.3">
      <c r="A50" s="192" t="s">
        <v>498</v>
      </c>
      <c r="B50" s="153">
        <v>25171</v>
      </c>
      <c r="C50" s="162">
        <v>45768.666666666664</v>
      </c>
      <c r="D50" s="163">
        <v>10</v>
      </c>
      <c r="E50" s="153">
        <v>2</v>
      </c>
      <c r="F50" s="153">
        <f t="shared" si="5"/>
        <v>5</v>
      </c>
      <c r="G50" s="184">
        <v>0.94</v>
      </c>
      <c r="H50" s="168">
        <v>0</v>
      </c>
      <c r="I50" s="168">
        <v>0</v>
      </c>
      <c r="J50" s="155">
        <v>12.5</v>
      </c>
      <c r="K50" s="155">
        <f t="shared" si="6"/>
        <v>5000</v>
      </c>
      <c r="L50" s="155">
        <v>0</v>
      </c>
      <c r="M50" s="156">
        <f t="shared" si="7"/>
        <v>1215.1515151515152</v>
      </c>
      <c r="N50" s="156">
        <f t="shared" si="8"/>
        <v>3784.848484848485</v>
      </c>
      <c r="O50" s="157">
        <f t="shared" si="9"/>
        <v>0.125</v>
      </c>
    </row>
    <row r="51" spans="1:15" x14ac:dyDescent="0.3">
      <c r="A51" s="186" t="s">
        <v>499</v>
      </c>
      <c r="B51" s="24">
        <v>25171</v>
      </c>
      <c r="C51" s="160">
        <v>45773.40625</v>
      </c>
      <c r="D51" s="54">
        <v>10</v>
      </c>
      <c r="E51" s="24">
        <v>5</v>
      </c>
      <c r="F51" s="24">
        <f t="shared" si="5"/>
        <v>2</v>
      </c>
      <c r="G51" s="180">
        <v>1.5465651741547255</v>
      </c>
      <c r="H51" s="137">
        <v>0</v>
      </c>
      <c r="I51" s="137">
        <v>0</v>
      </c>
      <c r="J51" s="38">
        <v>12.5</v>
      </c>
      <c r="K51" s="38">
        <f t="shared" si="6"/>
        <v>2000</v>
      </c>
      <c r="L51" s="38">
        <v>0</v>
      </c>
      <c r="M51" s="48">
        <f t="shared" si="7"/>
        <v>1231.382521734248</v>
      </c>
      <c r="N51" s="48">
        <f t="shared" si="8"/>
        <v>6768.6174782657517</v>
      </c>
      <c r="O51" s="138">
        <f t="shared" si="9"/>
        <v>0.125</v>
      </c>
    </row>
    <row r="52" spans="1:15" x14ac:dyDescent="0.3">
      <c r="A52" s="186" t="s">
        <v>500</v>
      </c>
      <c r="B52" s="24">
        <v>25171</v>
      </c>
      <c r="C52" s="160">
        <v>45774.5625</v>
      </c>
      <c r="D52" s="54">
        <v>10</v>
      </c>
      <c r="E52" s="24">
        <v>2</v>
      </c>
      <c r="F52" s="24">
        <f t="shared" si="5"/>
        <v>5</v>
      </c>
      <c r="G52" s="180">
        <v>4.318157162509106</v>
      </c>
      <c r="H52" s="137">
        <v>0</v>
      </c>
      <c r="I52" s="137">
        <v>0</v>
      </c>
      <c r="J52" s="38">
        <v>12.5</v>
      </c>
      <c r="K52" s="38">
        <f t="shared" si="6"/>
        <v>5000</v>
      </c>
      <c r="L52" s="38">
        <v>0</v>
      </c>
      <c r="M52" s="48">
        <f t="shared" si="7"/>
        <v>1044.5375170449947</v>
      </c>
      <c r="N52" s="48">
        <f t="shared" si="8"/>
        <v>3955.4624829550053</v>
      </c>
      <c r="O52" s="138">
        <f t="shared" si="9"/>
        <v>0.125</v>
      </c>
    </row>
    <row r="53" spans="1:15" x14ac:dyDescent="0.3">
      <c r="A53" s="186" t="s">
        <v>501</v>
      </c>
      <c r="B53" s="24">
        <v>25171</v>
      </c>
      <c r="C53" s="160">
        <v>45775.375</v>
      </c>
      <c r="D53" s="54">
        <v>10</v>
      </c>
      <c r="E53" s="24">
        <v>2</v>
      </c>
      <c r="F53" s="24">
        <f t="shared" si="5"/>
        <v>5</v>
      </c>
      <c r="G53" s="180">
        <v>6.4478973611242587</v>
      </c>
      <c r="H53" s="137">
        <v>0</v>
      </c>
      <c r="I53" s="137">
        <v>0</v>
      </c>
      <c r="J53" s="38">
        <v>12.5</v>
      </c>
      <c r="K53" s="38">
        <f t="shared" si="6"/>
        <v>5000</v>
      </c>
      <c r="L53" s="38">
        <v>0</v>
      </c>
      <c r="M53" s="48">
        <f t="shared" si="7"/>
        <v>936.97488075130002</v>
      </c>
      <c r="N53" s="48">
        <f t="shared" si="8"/>
        <v>4063.0251192486999</v>
      </c>
      <c r="O53" s="138">
        <f t="shared" si="9"/>
        <v>0.125</v>
      </c>
    </row>
    <row r="54" spans="1:15" x14ac:dyDescent="0.3">
      <c r="A54" s="186" t="s">
        <v>502</v>
      </c>
      <c r="B54" s="24">
        <v>25171</v>
      </c>
      <c r="C54" s="160">
        <v>45776.4375</v>
      </c>
      <c r="D54" s="54">
        <v>10</v>
      </c>
      <c r="E54" s="24">
        <v>2</v>
      </c>
      <c r="F54" s="24">
        <f t="shared" si="5"/>
        <v>5</v>
      </c>
      <c r="G54" s="180">
        <v>7.9393235660310477</v>
      </c>
      <c r="H54" s="137">
        <v>0</v>
      </c>
      <c r="I54" s="137">
        <v>0</v>
      </c>
      <c r="J54" s="38">
        <v>12.5</v>
      </c>
      <c r="K54" s="38">
        <f t="shared" si="6"/>
        <v>5000</v>
      </c>
      <c r="L54" s="38">
        <v>0</v>
      </c>
      <c r="M54" s="48">
        <f t="shared" si="7"/>
        <v>861.65032494792683</v>
      </c>
      <c r="N54" s="48">
        <f t="shared" si="8"/>
        <v>4138.3496750520735</v>
      </c>
      <c r="O54" s="138">
        <f t="shared" si="9"/>
        <v>0.125</v>
      </c>
    </row>
    <row r="55" spans="1:15" x14ac:dyDescent="0.3">
      <c r="A55" s="186" t="s">
        <v>503</v>
      </c>
      <c r="B55" s="24">
        <v>25171</v>
      </c>
      <c r="C55" s="160">
        <v>45777.375</v>
      </c>
      <c r="D55" s="54">
        <v>10</v>
      </c>
      <c r="E55" s="24">
        <v>2</v>
      </c>
      <c r="F55" s="24">
        <f t="shared" si="5"/>
        <v>5</v>
      </c>
      <c r="G55" s="180">
        <v>8.7949137371333101</v>
      </c>
      <c r="H55" s="137">
        <v>0</v>
      </c>
      <c r="I55" s="137">
        <v>0</v>
      </c>
      <c r="J55" s="38">
        <v>12.5</v>
      </c>
      <c r="K55" s="38">
        <f t="shared" si="6"/>
        <v>5000</v>
      </c>
      <c r="L55" s="38">
        <v>0</v>
      </c>
      <c r="M55" s="48">
        <f t="shared" si="7"/>
        <v>818.43870014478227</v>
      </c>
      <c r="N55" s="48">
        <f t="shared" si="8"/>
        <v>4181.5612998552178</v>
      </c>
      <c r="O55" s="138">
        <f t="shared" si="9"/>
        <v>0.125</v>
      </c>
    </row>
    <row r="56" spans="1:15" x14ac:dyDescent="0.3">
      <c r="A56" s="186" t="s">
        <v>504</v>
      </c>
      <c r="B56" s="24">
        <v>25171</v>
      </c>
      <c r="C56" s="160">
        <v>45778.729166666664</v>
      </c>
      <c r="D56" s="54">
        <v>10</v>
      </c>
      <c r="E56" s="24">
        <v>2</v>
      </c>
      <c r="F56" s="24">
        <f t="shared" si="5"/>
        <v>5</v>
      </c>
      <c r="G56" s="180">
        <v>9.5052793876527808</v>
      </c>
      <c r="H56" s="137">
        <v>0</v>
      </c>
      <c r="I56" s="137">
        <v>0</v>
      </c>
      <c r="J56" s="38">
        <v>12.5</v>
      </c>
      <c r="K56" s="38">
        <f t="shared" si="6"/>
        <v>5000</v>
      </c>
      <c r="L56" s="38">
        <v>0</v>
      </c>
      <c r="M56" s="48">
        <f t="shared" si="7"/>
        <v>782.56164708824338</v>
      </c>
      <c r="N56" s="48">
        <f t="shared" si="8"/>
        <v>4217.4383529117567</v>
      </c>
      <c r="O56" s="138">
        <f t="shared" si="9"/>
        <v>0.125</v>
      </c>
    </row>
    <row r="57" spans="1:15" x14ac:dyDescent="0.3">
      <c r="A57" s="186" t="s">
        <v>505</v>
      </c>
      <c r="B57" s="24">
        <v>25171</v>
      </c>
      <c r="C57" s="160">
        <v>45780.5</v>
      </c>
      <c r="D57" s="54">
        <v>10</v>
      </c>
      <c r="E57" s="24">
        <v>2</v>
      </c>
      <c r="F57" s="24">
        <f t="shared" si="5"/>
        <v>5</v>
      </c>
      <c r="G57" s="180">
        <v>10.529228746726899</v>
      </c>
      <c r="H57" s="137">
        <v>0</v>
      </c>
      <c r="I57" s="137">
        <v>0</v>
      </c>
      <c r="J57" s="38">
        <v>12.5</v>
      </c>
      <c r="K57" s="38">
        <f t="shared" si="6"/>
        <v>5000</v>
      </c>
      <c r="L57" s="38">
        <v>0</v>
      </c>
      <c r="M57" s="48">
        <f t="shared" si="7"/>
        <v>730.84703299359103</v>
      </c>
      <c r="N57" s="48">
        <f t="shared" si="8"/>
        <v>4269.1529670064092</v>
      </c>
      <c r="O57" s="138">
        <f t="shared" si="9"/>
        <v>0.125</v>
      </c>
    </row>
    <row r="58" spans="1:15" ht="15" thickBot="1" x14ac:dyDescent="0.35">
      <c r="A58" s="187" t="s">
        <v>506</v>
      </c>
      <c r="B58" s="139">
        <v>25171</v>
      </c>
      <c r="C58" s="161">
        <v>45784.4375</v>
      </c>
      <c r="D58" s="159">
        <v>10</v>
      </c>
      <c r="E58" s="139">
        <v>5</v>
      </c>
      <c r="F58" s="139">
        <f t="shared" si="5"/>
        <v>2</v>
      </c>
      <c r="G58" s="181">
        <v>11.685522539676731</v>
      </c>
      <c r="H58" s="140">
        <v>0</v>
      </c>
      <c r="I58" s="140">
        <v>0</v>
      </c>
      <c r="J58" s="141">
        <v>12.5</v>
      </c>
      <c r="K58" s="141">
        <f t="shared" si="6"/>
        <v>2000</v>
      </c>
      <c r="L58" s="141">
        <f t="shared" ref="L58" si="10">($D58/E58*$H58/($F58+$H58))*1000</f>
        <v>0</v>
      </c>
      <c r="M58" s="142">
        <f t="shared" si="7"/>
        <v>1026.5551002085508</v>
      </c>
      <c r="N58" s="142">
        <f t="shared" si="8"/>
        <v>6973.4448997914496</v>
      </c>
      <c r="O58" s="143">
        <f t="shared" si="9"/>
        <v>0.125</v>
      </c>
    </row>
    <row r="61" spans="1:15" x14ac:dyDescent="0.3">
      <c r="A61" s="176" t="s">
        <v>507</v>
      </c>
    </row>
  </sheetData>
  <mergeCells count="2">
    <mergeCell ref="A1:C1"/>
    <mergeCell ref="D1:O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BC30B22CED8494C9A94322E7ACAEB53" ma:contentTypeVersion="11" ma:contentTypeDescription="Crear nuevo documento." ma:contentTypeScope="" ma:versionID="9a1ad76cb4bdbbfccbe5650c9e5fda24">
  <xsd:schema xmlns:xsd="http://www.w3.org/2001/XMLSchema" xmlns:xs="http://www.w3.org/2001/XMLSchema" xmlns:p="http://schemas.microsoft.com/office/2006/metadata/properties" xmlns:ns2="cb5dc170-cf45-42fa-90c0-4f0d1117fb58" xmlns:ns3="2dfff58c-345c-425d-accc-53546c36baa2" targetNamespace="http://schemas.microsoft.com/office/2006/metadata/properties" ma:root="true" ma:fieldsID="07cd15cfa6e463e8c16af15a7cf1473f" ns2:_="" ns3:_="">
    <xsd:import namespace="cb5dc170-cf45-42fa-90c0-4f0d1117fb58"/>
    <xsd:import namespace="2dfff58c-345c-425d-accc-53546c36baa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5dc170-cf45-42fa-90c0-4f0d1117fb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a433408e-f44f-44d9-98e6-facb173d55c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dfff58c-345c-425d-accc-53546c36baa2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0676f665-dc58-4df4-9baa-4e8fa99bb5e3}" ma:internalName="TaxCatchAll" ma:showField="CatchAllData" ma:web="2dfff58c-345c-425d-accc-53546c36baa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2dfff58c-345c-425d-accc-53546c36baa2" xsi:nil="true"/>
    <lcf76f155ced4ddcb4097134ff3c332f xmlns="cb5dc170-cf45-42fa-90c0-4f0d1117fb58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0BF9737C-7850-4712-88B6-75A7E36C2D6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b5dc170-cf45-42fa-90c0-4f0d1117fb58"/>
    <ds:schemaRef ds:uri="2dfff58c-345c-425d-accc-53546c36baa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30AAB88-F19A-48C5-98D8-47D261476C2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E4670A1-30FE-48CC-B8A3-2D67BBB6B059}">
  <ds:schemaRefs>
    <ds:schemaRef ds:uri="http://schemas.microsoft.com/office/2006/metadata/properties"/>
    <ds:schemaRef ds:uri="http://schemas.microsoft.com/office/infopath/2007/PartnerControls"/>
    <ds:schemaRef ds:uri="2dfff58c-345c-425d-accc-53546c36baa2"/>
    <ds:schemaRef ds:uri="cb5dc170-cf45-42fa-90c0-4f0d1117fb58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Datos de proceso</vt:lpstr>
      <vt:lpstr>Productos y nutrientes</vt:lpstr>
      <vt:lpstr>Análisis Laboratorio</vt:lpstr>
      <vt:lpstr>Resumen resultados °Alcohol</vt:lpstr>
      <vt:lpstr>Aromas Capturador 2025</vt:lpstr>
      <vt:lpstr>BDD_Maestra</vt:lpstr>
      <vt:lpstr>Etanol (ajuste)</vt:lpstr>
      <vt:lpstr>Re-análisis</vt:lpstr>
      <vt:lpstr>Analisis Aromas (MEF)</vt:lpstr>
      <vt:lpstr>Analisis Aromas (Cond)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Cristóbal Luis Torrealba Vásquez</dc:creator>
  <cp:keywords/>
  <dc:description/>
  <cp:lastModifiedBy>Cristobal Luis Torrealba Vasquez</cp:lastModifiedBy>
  <cp:revision/>
  <dcterms:created xsi:type="dcterms:W3CDTF">2025-03-05T14:05:02Z</dcterms:created>
  <dcterms:modified xsi:type="dcterms:W3CDTF">2025-09-18T13:42:40Z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0x0101009BC30B22CED8494C9A94322E7ACAEB53</vt:lpwstr>
  </property>
  <property fmtid="{D5CDD505-2E9C-101B-9397-08002B2CF9AE}" pid="3" name="MediaServiceImageTags">
    <vt:lpwstr/>
  </property>
</Properties>
</file>