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798B4C-5BF6-4288-98B4-5882471743B2}" xr6:coauthVersionLast="45" xr6:coauthVersionMax="45" xr10:uidLastSave="{00000000-0000-0000-0000-000000000000}"/>
  <bookViews>
    <workbookView xWindow="28680" yWindow="-120" windowWidth="29040" windowHeight="15840" activeTab="8" xr2:uid="{0D61BA1D-EEFA-4F72-AD52-EE8B3B4144CD}"/>
  </bookViews>
  <sheets>
    <sheet name="master" sheetId="1" r:id="rId1"/>
    <sheet name="expense" sheetId="2" r:id="rId2"/>
    <sheet name="income" sheetId="5" r:id="rId3"/>
    <sheet name="bank" sheetId="6" r:id="rId4"/>
    <sheet name="table" sheetId="7" r:id="rId5"/>
    <sheet name="fields" sheetId="8" r:id="rId6"/>
    <sheet name="lang" sheetId="9" r:id="rId7"/>
    <sheet name="selectList" sheetId="10" r:id="rId8"/>
    <sheet name="chartOfAcct" sheetId="11" r:id="rId9"/>
  </sheets>
  <definedNames>
    <definedName name="select_lang_code">_xlfn.ANCHORARRAY(selectList!$C$7)</definedName>
    <definedName name="selectTransType">selectList!$D$7:$D$9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8" i="5"/>
  <c r="C9" i="5"/>
  <c r="C10" i="5"/>
  <c r="C11" i="5"/>
  <c r="C12" i="5"/>
  <c r="C8" i="6"/>
  <c r="C9" i="6"/>
  <c r="C10" i="6"/>
  <c r="C11" i="6"/>
  <c r="C12" i="6"/>
  <c r="C13" i="6"/>
  <c r="C14" i="6"/>
  <c r="C15" i="6"/>
  <c r="C16" i="6"/>
  <c r="C17" i="6"/>
  <c r="I6" i="2" l="1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Q6" i="6" a="1"/>
  <c r="Q6" i="6" s="1"/>
  <c r="P6" i="6" a="1"/>
  <c r="P6" i="6" s="1"/>
  <c r="O6" i="6" a="1"/>
  <c r="O6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G6" i="7" a="1"/>
  <c r="G6" i="7" s="1"/>
  <c r="F6" i="7" a="1"/>
  <c r="F6" i="7" s="1"/>
  <c r="E6" i="7" a="1"/>
  <c r="E6" i="7" s="1"/>
  <c r="D6" i="7" a="1"/>
  <c r="D6" i="7" s="1"/>
  <c r="C6" i="7" a="1"/>
  <c r="C6" i="7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F6" i="8" a="1"/>
  <c r="F6" i="8" s="1"/>
  <c r="E6" i="8" a="1"/>
  <c r="E6" i="8" s="1"/>
  <c r="D6" i="8" a="1"/>
  <c r="D6" i="8" s="1"/>
  <c r="C6" i="8" a="1"/>
  <c r="C6" i="8" s="1"/>
  <c r="C38" i="8"/>
  <c r="C39" i="8"/>
  <c r="C35" i="8"/>
  <c r="C36" i="8"/>
  <c r="C37" i="8"/>
  <c r="A19" i="11" l="1" a="1"/>
  <c r="A19" i="11" s="1"/>
  <c r="A18" i="11" a="1"/>
  <c r="A18" i="11" s="1"/>
  <c r="A17" i="11" a="1"/>
  <c r="A17" i="11" s="1"/>
  <c r="A16" i="11" a="1"/>
  <c r="A16" i="11" s="1"/>
  <c r="A15" i="11" a="1"/>
  <c r="A15" i="11" s="1"/>
  <c r="A14" i="11" a="1"/>
  <c r="A14" i="11" s="1"/>
  <c r="A13" i="11" a="1"/>
  <c r="A13" i="11" s="1"/>
  <c r="A12" i="11" a="1"/>
  <c r="A12" i="11" s="1"/>
  <c r="A11" i="11" a="1"/>
  <c r="A11" i="11" s="1"/>
  <c r="A10" i="11" a="1"/>
  <c r="A10" i="11" s="1"/>
  <c r="A9" i="11" a="1"/>
  <c r="A9" i="11" s="1"/>
  <c r="A8" i="11" a="1"/>
  <c r="A8" i="11" s="1"/>
  <c r="A1" i="11" a="1"/>
  <c r="A1" i="11" s="1"/>
  <c r="D1" i="11" a="1"/>
  <c r="D1" i="11" s="1"/>
  <c r="A2" i="11" l="1" a="1"/>
  <c r="A2" i="11" s="1"/>
  <c r="F2" i="11" a="1"/>
  <c r="F2" i="11" s="1"/>
  <c r="L8" i="2"/>
  <c r="L9" i="2"/>
  <c r="L10" i="2"/>
  <c r="L11" i="2"/>
  <c r="L12" i="2"/>
  <c r="L8" i="5"/>
  <c r="L9" i="5"/>
  <c r="L10" i="5"/>
  <c r="L11" i="5"/>
  <c r="L12" i="5"/>
  <c r="E14" i="6" l="1"/>
  <c r="E15" i="6"/>
  <c r="E16" i="6"/>
  <c r="N16" i="6" s="1"/>
  <c r="Q16" i="6" s="1"/>
  <c r="E17" i="6"/>
  <c r="I14" i="6"/>
  <c r="I15" i="6"/>
  <c r="I16" i="6"/>
  <c r="I17" i="6"/>
  <c r="J14" i="6"/>
  <c r="M14" i="6" s="1"/>
  <c r="J15" i="6"/>
  <c r="M15" i="6" s="1"/>
  <c r="J16" i="6"/>
  <c r="J17" i="6"/>
  <c r="M17" i="6" s="1"/>
  <c r="M16" i="6"/>
  <c r="E9" i="6"/>
  <c r="E10" i="6"/>
  <c r="E11" i="6"/>
  <c r="E12" i="6"/>
  <c r="E13" i="6"/>
  <c r="E8" i="6"/>
  <c r="I13" i="6"/>
  <c r="T11" i="6" l="1"/>
  <c r="W11" i="6"/>
  <c r="U11" i="6"/>
  <c r="V11" i="6"/>
  <c r="T14" i="6"/>
  <c r="W14" i="6"/>
  <c r="U14" i="6"/>
  <c r="V14" i="6"/>
  <c r="U17" i="6"/>
  <c r="V17" i="6"/>
  <c r="T17" i="6"/>
  <c r="W17" i="6"/>
  <c r="U13" i="6"/>
  <c r="V13" i="6"/>
  <c r="T13" i="6"/>
  <c r="W13" i="6"/>
  <c r="U12" i="6"/>
  <c r="V12" i="6"/>
  <c r="T12" i="6"/>
  <c r="W12" i="6"/>
  <c r="T15" i="6"/>
  <c r="W15" i="6"/>
  <c r="U15" i="6"/>
  <c r="V15" i="6"/>
  <c r="U8" i="6"/>
  <c r="T8" i="6"/>
  <c r="W8" i="6"/>
  <c r="T10" i="6"/>
  <c r="W10" i="6"/>
  <c r="U10" i="6"/>
  <c r="V10" i="6"/>
  <c r="U9" i="6"/>
  <c r="T9" i="6"/>
  <c r="W9" i="6"/>
  <c r="U16" i="6"/>
  <c r="V16" i="6"/>
  <c r="T16" i="6"/>
  <c r="W16" i="6"/>
  <c r="N15" i="6"/>
  <c r="Q15" i="6" s="1"/>
  <c r="N14" i="6"/>
  <c r="Q14" i="6" s="1"/>
  <c r="N17" i="6"/>
  <c r="Q17" i="6" s="1"/>
  <c r="J13" i="6"/>
  <c r="M13" i="6" s="1"/>
  <c r="N13" i="6"/>
  <c r="Q13" i="6" s="1"/>
  <c r="F6" i="9" a="1"/>
  <c r="F6" i="9" s="1"/>
  <c r="E6" i="9" a="1"/>
  <c r="E6" i="9" s="1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A19" i="10" a="1"/>
  <c r="A19" i="10" s="1"/>
  <c r="A18" i="10" a="1"/>
  <c r="A18" i="10" s="1"/>
  <c r="A17" i="10" a="1"/>
  <c r="A17" i="10" s="1"/>
  <c r="A15" i="10" a="1"/>
  <c r="A15" i="10" s="1"/>
  <c r="A14" i="10" a="1"/>
  <c r="A14" i="10" s="1"/>
  <c r="A13" i="10" a="1"/>
  <c r="A13" i="10" s="1"/>
  <c r="A12" i="10" a="1"/>
  <c r="A12" i="10" s="1"/>
  <c r="A11" i="10" a="1"/>
  <c r="A11" i="10" s="1"/>
  <c r="A10" i="10" a="1"/>
  <c r="A10" i="10" s="1"/>
  <c r="A9" i="10" a="1"/>
  <c r="A9" i="10" s="1"/>
  <c r="A8" i="10" a="1"/>
  <c r="A8" i="10" s="1"/>
  <c r="A1" i="10" a="1"/>
  <c r="A1" i="10" s="1"/>
  <c r="D6" i="9" a="1"/>
  <c r="D6" i="9" s="1"/>
  <c r="C6" i="9" a="1"/>
  <c r="C6" i="9" s="1"/>
  <c r="A19" i="9" a="1"/>
  <c r="A19" i="9" s="1"/>
  <c r="A18" i="9" a="1"/>
  <c r="A18" i="9" s="1"/>
  <c r="A17" i="9" a="1"/>
  <c r="A17" i="9" s="1"/>
  <c r="A15" i="9" a="1"/>
  <c r="A15" i="9" s="1"/>
  <c r="A14" i="9" a="1"/>
  <c r="A14" i="9" s="1"/>
  <c r="A13" i="9" a="1"/>
  <c r="A13" i="9" s="1"/>
  <c r="A12" i="9" a="1"/>
  <c r="A12" i="9" s="1"/>
  <c r="A11" i="9" a="1"/>
  <c r="A11" i="9" s="1"/>
  <c r="A10" i="9" a="1"/>
  <c r="A10" i="9" s="1"/>
  <c r="A9" i="9" a="1"/>
  <c r="A9" i="9" s="1"/>
  <c r="A8" i="9" a="1"/>
  <c r="A8" i="9" s="1"/>
  <c r="A1" i="9" a="1"/>
  <c r="A1" i="9" s="1"/>
  <c r="D1" i="10" a="1"/>
  <c r="D1" i="10" s="1"/>
  <c r="A19" i="8" a="1"/>
  <c r="A19" i="8" s="1"/>
  <c r="A18" i="8" a="1"/>
  <c r="A18" i="8" s="1"/>
  <c r="A17" i="8" a="1"/>
  <c r="A17" i="8" s="1"/>
  <c r="A13" i="8" a="1"/>
  <c r="A13" i="8" s="1"/>
  <c r="A12" i="8" a="1"/>
  <c r="A12" i="8" s="1"/>
  <c r="A11" i="8" a="1"/>
  <c r="A11" i="8" s="1"/>
  <c r="A10" i="8" a="1"/>
  <c r="A10" i="8" s="1"/>
  <c r="A9" i="8" a="1"/>
  <c r="A9" i="8" s="1"/>
  <c r="A8" i="8" a="1"/>
  <c r="A8" i="8" s="1"/>
  <c r="A1" i="8" a="1"/>
  <c r="A1" i="8" s="1"/>
  <c r="A19" i="6" a="1"/>
  <c r="A19" i="6" s="1"/>
  <c r="A18" i="6" a="1"/>
  <c r="A18" i="6" s="1"/>
  <c r="A17" i="6" a="1"/>
  <c r="A17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1" i="6" a="1"/>
  <c r="A1" i="6" s="1"/>
  <c r="A19" i="5" a="1"/>
  <c r="A19" i="5" s="1"/>
  <c r="A18" i="5" a="1"/>
  <c r="A18" i="5" s="1"/>
  <c r="A17" i="5" a="1"/>
  <c r="A17" i="5" s="1"/>
  <c r="A13" i="5" a="1"/>
  <c r="A13" i="5" s="1"/>
  <c r="A12" i="5" a="1"/>
  <c r="A12" i="5" s="1"/>
  <c r="A11" i="5" a="1"/>
  <c r="A11" i="5" s="1"/>
  <c r="A10" i="5" a="1"/>
  <c r="A10" i="5" s="1"/>
  <c r="A9" i="5" a="1"/>
  <c r="A9" i="5" s="1"/>
  <c r="A8" i="5" a="1"/>
  <c r="A8" i="5" s="1"/>
  <c r="A1" i="5" a="1"/>
  <c r="A1" i="5" s="1"/>
  <c r="A19" i="2" a="1"/>
  <c r="A19" i="2" s="1"/>
  <c r="A18" i="2" a="1"/>
  <c r="A18" i="2" s="1"/>
  <c r="A17" i="2" a="1"/>
  <c r="A17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1" i="2" a="1"/>
  <c r="A1" i="2" s="1"/>
  <c r="A2" i="2" s="1" a="1"/>
  <c r="A2" i="2" s="1"/>
  <c r="A19" i="1" a="1"/>
  <c r="A19" i="1" s="1"/>
  <c r="A18" i="1" a="1"/>
  <c r="A18" i="1" s="1"/>
  <c r="A17" i="1" a="1"/>
  <c r="A17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17" i="7" a="1"/>
  <c r="A17" i="7" s="1"/>
  <c r="A18" i="7" a="1"/>
  <c r="A18" i="7" s="1"/>
  <c r="A19" i="7" a="1"/>
  <c r="A19" i="7" s="1"/>
  <c r="A13" i="7" a="1"/>
  <c r="A13" i="7" s="1"/>
  <c r="A12" i="7" a="1"/>
  <c r="A12" i="7" s="1"/>
  <c r="A11" i="7" a="1"/>
  <c r="A11" i="7" s="1"/>
  <c r="A10" i="7" a="1"/>
  <c r="A10" i="7" s="1"/>
  <c r="A9" i="7" a="1"/>
  <c r="A9" i="7" s="1"/>
  <c r="A8" i="7" a="1"/>
  <c r="A8" i="7" s="1"/>
  <c r="A1" i="1" a="1"/>
  <c r="A1" i="1" s="1"/>
  <c r="A2" i="1" s="1" a="1"/>
  <c r="A2" i="1" s="1"/>
  <c r="A1" i="7" a="1"/>
  <c r="A1" i="7" s="1"/>
  <c r="E8" i="7"/>
  <c r="E9" i="7"/>
  <c r="E10" i="7"/>
  <c r="E11" i="7"/>
  <c r="E12" i="7"/>
  <c r="E13" i="7"/>
  <c r="E14" i="7"/>
  <c r="A14" i="2" s="1" a="1"/>
  <c r="A14" i="2" s="1"/>
  <c r="E15" i="7"/>
  <c r="A15" i="8" s="1" a="1"/>
  <c r="A15" i="8" s="1"/>
  <c r="E16" i="7"/>
  <c r="A16" i="9" s="1" a="1"/>
  <c r="A16" i="9" s="1"/>
  <c r="E17" i="7"/>
  <c r="E18" i="7"/>
  <c r="E19" i="7"/>
  <c r="A2" i="5" l="1" a="1"/>
  <c r="A2" i="5" s="1"/>
  <c r="F2" i="5" a="1"/>
  <c r="F2" i="5" s="1"/>
  <c r="A2" i="6" a="1"/>
  <c r="A2" i="6" s="1"/>
  <c r="G2" i="6" a="1"/>
  <c r="G2" i="6" s="1"/>
  <c r="A2" i="7" a="1"/>
  <c r="A2" i="7" s="1"/>
  <c r="F2" i="7" a="1"/>
  <c r="F2" i="7" s="1"/>
  <c r="A2" i="8" a="1"/>
  <c r="A2" i="8" s="1"/>
  <c r="E2" i="8" a="1"/>
  <c r="E2" i="8" s="1"/>
  <c r="A2" i="9" a="1"/>
  <c r="A2" i="9" s="1"/>
  <c r="F2" i="9" a="1"/>
  <c r="F2" i="9" s="1"/>
  <c r="A2" i="10" a="1"/>
  <c r="A2" i="10" s="1"/>
  <c r="D2" i="10" a="1"/>
  <c r="D2" i="10" s="1"/>
  <c r="A16" i="2" a="1"/>
  <c r="A16" i="2" s="1"/>
  <c r="A16" i="1" a="1"/>
  <c r="A16" i="1" s="1"/>
  <c r="A16" i="8" a="1"/>
  <c r="A16" i="8" s="1"/>
  <c r="A16" i="7" a="1"/>
  <c r="A16" i="7" s="1"/>
  <c r="A16" i="6" a="1"/>
  <c r="A16" i="6" s="1"/>
  <c r="A16" i="10" a="1"/>
  <c r="A16" i="10" s="1"/>
  <c r="A16" i="5" a="1"/>
  <c r="A16" i="5" s="1"/>
  <c r="A15" i="7" a="1"/>
  <c r="A15" i="7" s="1"/>
  <c r="A15" i="1" a="1"/>
  <c r="A15" i="1" s="1"/>
  <c r="A15" i="2" a="1"/>
  <c r="A15" i="2" s="1"/>
  <c r="A15" i="5" a="1"/>
  <c r="A15" i="5" s="1"/>
  <c r="A15" i="6" a="1"/>
  <c r="A15" i="6" s="1"/>
  <c r="A14" i="5" a="1"/>
  <c r="A14" i="5" s="1"/>
  <c r="A14" i="6" a="1"/>
  <c r="A14" i="6" s="1"/>
  <c r="A14" i="1" a="1"/>
  <c r="A14" i="1" s="1"/>
  <c r="A14" i="8" a="1"/>
  <c r="A14" i="8" s="1"/>
  <c r="A14" i="7" a="1"/>
  <c r="A14" i="7" s="1"/>
  <c r="C8" i="8"/>
  <c r="D1" i="9" a="1"/>
  <c r="D1" i="9" s="1"/>
  <c r="D1" i="8" a="1"/>
  <c r="D1" i="8" s="1"/>
  <c r="D1" i="6" a="1"/>
  <c r="D1" i="6" s="1"/>
  <c r="D1" i="5" a="1"/>
  <c r="D1" i="5" s="1"/>
  <c r="D1" i="2" a="1"/>
  <c r="D1" i="2" s="1"/>
  <c r="D1" i="1" a="1"/>
  <c r="D1" i="1" s="1"/>
  <c r="D1" i="7" l="1" a="1"/>
  <c r="D1" i="7" s="1"/>
  <c r="C7" i="10" a="1"/>
  <c r="C7" i="10" s="1"/>
  <c r="C8" i="9"/>
  <c r="C9" i="9"/>
  <c r="C10" i="9"/>
  <c r="C11" i="9"/>
  <c r="C12" i="9"/>
  <c r="C8" i="7" l="1"/>
  <c r="C9" i="7"/>
  <c r="C10" i="7"/>
  <c r="C11" i="7"/>
  <c r="C12" i="7"/>
  <c r="C13" i="7"/>
  <c r="C14" i="7"/>
  <c r="C15" i="7"/>
  <c r="C16" i="7"/>
  <c r="C17" i="7"/>
  <c r="C18" i="7"/>
  <c r="C19" i="7"/>
  <c r="I8" i="6" l="1"/>
  <c r="V8" i="6" s="1"/>
  <c r="I9" i="6"/>
  <c r="V9" i="6" s="1"/>
  <c r="I10" i="6"/>
  <c r="I11" i="6"/>
  <c r="I12" i="6"/>
  <c r="J9" i="6"/>
  <c r="M9" i="6" s="1"/>
  <c r="J10" i="6"/>
  <c r="M10" i="6" s="1"/>
  <c r="J11" i="6"/>
  <c r="M11" i="6" s="1"/>
  <c r="J12" i="6"/>
  <c r="M12" i="6" s="1"/>
  <c r="J8" i="6"/>
  <c r="M8" i="6" s="1"/>
  <c r="H12" i="5"/>
  <c r="H11" i="5"/>
  <c r="H10" i="5"/>
  <c r="H9" i="5"/>
  <c r="H8" i="5"/>
  <c r="I12" i="5" l="1"/>
  <c r="J12" i="5" s="1"/>
  <c r="K12" i="5"/>
  <c r="I9" i="5"/>
  <c r="J9" i="5" s="1"/>
  <c r="K9" i="5"/>
  <c r="I8" i="5"/>
  <c r="J8" i="5" s="1"/>
  <c r="K8" i="5"/>
  <c r="I10" i="5"/>
  <c r="J10" i="5" s="1"/>
  <c r="K10" i="5"/>
  <c r="I11" i="5"/>
  <c r="J11" i="5" s="1"/>
  <c r="K11" i="5"/>
  <c r="N8" i="6"/>
  <c r="Q8" i="6" s="1"/>
  <c r="N12" i="6"/>
  <c r="Q12" i="6" s="1"/>
  <c r="N11" i="6"/>
  <c r="Q11" i="6" s="1"/>
  <c r="N10" i="6"/>
  <c r="Q10" i="6" s="1"/>
  <c r="N9" i="6"/>
  <c r="Q9" i="6" s="1"/>
  <c r="H8" i="2"/>
  <c r="H9" i="2"/>
  <c r="H10" i="2"/>
  <c r="H11" i="2"/>
  <c r="H12" i="2"/>
  <c r="I9" i="2" l="1"/>
  <c r="J9" i="2" s="1"/>
  <c r="K9" i="2"/>
  <c r="I8" i="2"/>
  <c r="J8" i="2" s="1"/>
  <c r="K8" i="2"/>
  <c r="I10" i="2"/>
  <c r="J10" i="2" s="1"/>
  <c r="K10" i="2"/>
  <c r="I12" i="2"/>
  <c r="J12" i="2" s="1"/>
  <c r="K12" i="2"/>
  <c r="I11" i="2"/>
  <c r="J11" i="2" s="1"/>
  <c r="K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<sst xmlns="http://schemas.openxmlformats.org/spreadsheetml/2006/main" count="304" uniqueCount="196">
  <si>
    <t>ref</t>
  </si>
  <si>
    <t>description</t>
  </si>
  <si>
    <t>vendor_name</t>
  </si>
  <si>
    <t>inv_amt</t>
  </si>
  <si>
    <t>tax_amt</t>
  </si>
  <si>
    <t>net_amt</t>
  </si>
  <si>
    <t>vendorA</t>
  </si>
  <si>
    <t>vendorB</t>
  </si>
  <si>
    <t>vendorC</t>
  </si>
  <si>
    <t>vendorD</t>
  </si>
  <si>
    <t>meals</t>
  </si>
  <si>
    <t>exp_item_ref</t>
  </si>
  <si>
    <t>e123</t>
  </si>
  <si>
    <t>data input area</t>
  </si>
  <si>
    <t>calculation result</t>
  </si>
  <si>
    <t>interest exp</t>
  </si>
  <si>
    <t>e124</t>
  </si>
  <si>
    <t>rental exp</t>
  </si>
  <si>
    <t>e125</t>
  </si>
  <si>
    <t>backend stuff</t>
  </si>
  <si>
    <t>exp_tax_percen</t>
  </si>
  <si>
    <t>r123</t>
  </si>
  <si>
    <t>r124</t>
  </si>
  <si>
    <t>r125</t>
  </si>
  <si>
    <t>customer_name</t>
  </si>
  <si>
    <t>customerA</t>
  </si>
  <si>
    <t>customerB</t>
  </si>
  <si>
    <t>customerC</t>
  </si>
  <si>
    <t>customerD</t>
  </si>
  <si>
    <t>rev_item_ref</t>
  </si>
  <si>
    <t>rental inc</t>
  </si>
  <si>
    <t>interest inc</t>
  </si>
  <si>
    <t>royalty fees</t>
  </si>
  <si>
    <t>service inc</t>
  </si>
  <si>
    <t>inc_tax_percen</t>
  </si>
  <si>
    <t>bank</t>
  </si>
  <si>
    <t>trans_type</t>
  </si>
  <si>
    <t>trans_type_code</t>
  </si>
  <si>
    <t>w-withdrawal</t>
  </si>
  <si>
    <t>p-pay invoice</t>
  </si>
  <si>
    <t>r-collect money</t>
  </si>
  <si>
    <t>withdrawal_bank</t>
  </si>
  <si>
    <t>withdrawn_amt</t>
  </si>
  <si>
    <t>deposit_bank</t>
  </si>
  <si>
    <t>deposit_amt</t>
  </si>
  <si>
    <t>vendor_invoice_num</t>
  </si>
  <si>
    <t>pay_amt</t>
  </si>
  <si>
    <t>customer_inv_num</t>
  </si>
  <si>
    <t>receipt_amt</t>
  </si>
  <si>
    <t>bmo</t>
  </si>
  <si>
    <t>hsbc</t>
  </si>
  <si>
    <t>TD Bank</t>
  </si>
  <si>
    <t>Interbank Transfer</t>
  </si>
  <si>
    <t>Accounts Payable</t>
  </si>
  <si>
    <t>Accounts Receivable</t>
  </si>
  <si>
    <t>vendor_inv_array</t>
  </si>
  <si>
    <t>cust_inv_array</t>
  </si>
  <si>
    <t>exp1</t>
  </si>
  <si>
    <t>exp3</t>
  </si>
  <si>
    <t>valid_check_vendor</t>
  </si>
  <si>
    <t>valid_check_customer</t>
  </si>
  <si>
    <t>inc3</t>
  </si>
  <si>
    <t>eng</t>
  </si>
  <si>
    <t>master</t>
  </si>
  <si>
    <t>table_name</t>
  </si>
  <si>
    <t>expense</t>
  </si>
  <si>
    <t>income</t>
  </si>
  <si>
    <t>table</t>
  </si>
  <si>
    <t>Master Table</t>
  </si>
  <si>
    <t>Vendor Invoice</t>
  </si>
  <si>
    <t>Customer Invoice</t>
  </si>
  <si>
    <t>Table Summary</t>
  </si>
  <si>
    <t>fields</t>
  </si>
  <si>
    <t>Item Summary</t>
  </si>
  <si>
    <t>jap</t>
  </si>
  <si>
    <t>English</t>
  </si>
  <si>
    <t>英語（えいご)</t>
  </si>
  <si>
    <t>Japanese</t>
  </si>
  <si>
    <t>日本語（にほんご)</t>
  </si>
  <si>
    <t>code</t>
  </si>
  <si>
    <t>selectLangCode</t>
  </si>
  <si>
    <t>マスターテーブル</t>
  </si>
  <si>
    <t>請求書（ベンダー）</t>
  </si>
  <si>
    <t>請求書（お客様）</t>
  </si>
  <si>
    <t>アイテムの概要</t>
  </si>
  <si>
    <t>テーブル一覧</t>
  </si>
  <si>
    <t>field_name</t>
  </si>
  <si>
    <t>link_location</t>
  </si>
  <si>
    <t>Reference</t>
  </si>
  <si>
    <t>フィールド</t>
  </si>
  <si>
    <t>Field Name</t>
  </si>
  <si>
    <t>英語</t>
  </si>
  <si>
    <t>日本語</t>
  </si>
  <si>
    <t>Vendor</t>
  </si>
  <si>
    <t>Description</t>
  </si>
  <si>
    <t>Net</t>
  </si>
  <si>
    <t>Customer</t>
  </si>
  <si>
    <t>Expense Item Reference</t>
  </si>
  <si>
    <t>Invoice Amount</t>
  </si>
  <si>
    <t>Tax Amount</t>
  </si>
  <si>
    <t>Revenue Item Reference</t>
  </si>
  <si>
    <t>Transaction Type</t>
  </si>
  <si>
    <t>取引タイプコード</t>
  </si>
  <si>
    <t>Transaction Type Code</t>
  </si>
  <si>
    <t>Bank (Withdrawal)</t>
  </si>
  <si>
    <t>Bank (Deposit)</t>
  </si>
  <si>
    <t>銀行（出金）</t>
  </si>
  <si>
    <t>銀行（入金）</t>
  </si>
  <si>
    <t>Amount （Withdrawal)</t>
  </si>
  <si>
    <t>Amount (Deposit)</t>
  </si>
  <si>
    <t>-</t>
  </si>
  <si>
    <t>Invoice Number (Vendor)</t>
  </si>
  <si>
    <t>Invoice Number (Customer)</t>
  </si>
  <si>
    <t>請求書番号（業者）</t>
  </si>
  <si>
    <t>請求書番号（顧客）</t>
  </si>
  <si>
    <t>Amount (Payment)</t>
  </si>
  <si>
    <t>Amount(Receipt)</t>
  </si>
  <si>
    <t>Table Name</t>
  </si>
  <si>
    <t>リスト</t>
  </si>
  <si>
    <t>Link Location</t>
  </si>
  <si>
    <t>リンクセル</t>
  </si>
  <si>
    <t>Settlement &amp; Fund Transfer</t>
  </si>
  <si>
    <t>決済＆送金</t>
  </si>
  <si>
    <t>lang</t>
  </si>
  <si>
    <t>Language Setting</t>
  </si>
  <si>
    <t>言語設定
(げんごせってい）</t>
  </si>
  <si>
    <t>selectList</t>
  </si>
  <si>
    <t>Selection List</t>
  </si>
  <si>
    <t>選択リスト
(せんたくりすと）</t>
  </si>
  <si>
    <t>Language Code</t>
  </si>
  <si>
    <t>言語コード</t>
  </si>
  <si>
    <t>整理番号</t>
  </si>
  <si>
    <t>業者名</t>
  </si>
  <si>
    <t>詳細</t>
  </si>
  <si>
    <t xml:space="preserve">経費明細参照 </t>
  </si>
  <si>
    <t>請求金額</t>
  </si>
  <si>
    <t>消費税額</t>
  </si>
  <si>
    <t>正味金額</t>
  </si>
  <si>
    <t>顧客名</t>
  </si>
  <si>
    <t>収益アイテム参照</t>
  </si>
  <si>
    <t>取引タイプ</t>
  </si>
  <si>
    <t>出金</t>
  </si>
  <si>
    <t>入金</t>
  </si>
  <si>
    <t>支払金額</t>
  </si>
  <si>
    <t>入金額</t>
  </si>
  <si>
    <t>selectTransType</t>
  </si>
  <si>
    <t>debit1</t>
  </si>
  <si>
    <t>credit1</t>
  </si>
  <si>
    <t>debit2</t>
  </si>
  <si>
    <t>credit2</t>
  </si>
  <si>
    <t>debit3</t>
  </si>
  <si>
    <t>credit3</t>
  </si>
  <si>
    <t>debit4</t>
  </si>
  <si>
    <t>credit4</t>
  </si>
  <si>
    <t>chartOfAcct</t>
  </si>
  <si>
    <t>Chart Of Accounts</t>
  </si>
  <si>
    <t>勘定科目一覧表</t>
  </si>
  <si>
    <t>tax_code</t>
  </si>
  <si>
    <t>process_type</t>
  </si>
  <si>
    <t>Tax Filing Code</t>
  </si>
  <si>
    <t>Processing Type</t>
  </si>
  <si>
    <t>整理番号
（納税申告書）</t>
  </si>
  <si>
    <t>タイプ
（処理）</t>
  </si>
  <si>
    <t>Cash and deposits</t>
  </si>
  <si>
    <t>現金</t>
  </si>
  <si>
    <t>A</t>
  </si>
  <si>
    <t>売掛金</t>
  </si>
  <si>
    <t>P</t>
  </si>
  <si>
    <t>Machinery and equipment</t>
  </si>
  <si>
    <t>器具備品</t>
  </si>
  <si>
    <t>Salaries and wages</t>
  </si>
  <si>
    <t>給料</t>
  </si>
  <si>
    <t>Advertising and promotion</t>
  </si>
  <si>
    <t>広告宣伝費</t>
  </si>
  <si>
    <t>Travel expenses</t>
  </si>
  <si>
    <t>旅費交通費</t>
  </si>
  <si>
    <t>Professional fees</t>
  </si>
  <si>
    <t>専門人員の料金</t>
  </si>
  <si>
    <t>Meals and entertainment</t>
  </si>
  <si>
    <t>Telephone and telecommunications</t>
  </si>
  <si>
    <t>接待交際費</t>
  </si>
  <si>
    <t>通信費</t>
  </si>
  <si>
    <t>Office expenses</t>
  </si>
  <si>
    <t>事務所用消耗品費</t>
  </si>
  <si>
    <t>Amounts payable and accrued liabilities</t>
  </si>
  <si>
    <t>買掛金</t>
  </si>
  <si>
    <t>R</t>
  </si>
  <si>
    <t>Trade sales of goods and services</t>
  </si>
  <si>
    <t>売上高</t>
  </si>
  <si>
    <t>B</t>
  </si>
  <si>
    <t>Due to shareholder(s)/director(s)</t>
  </si>
  <si>
    <t>役員借入金</t>
  </si>
  <si>
    <t>Unclassified Deposit</t>
  </si>
  <si>
    <t>Unbooked Foreign Exchange  Difference</t>
  </si>
  <si>
    <t>分類していない（預金）</t>
  </si>
  <si>
    <t>未処理の為替差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</si>
</sst>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1" fillId="4" borderId="0" xfId="0" applyFont="1" applyFill="1"/>
    <xf numFmtId="10" fontId="2" fillId="3" borderId="0" xfId="0" applyNumberFormat="1" applyFont="1" applyFill="1"/>
    <xf numFmtId="0" fontId="0" fillId="5" borderId="0" xfId="0" applyFill="1"/>
    <xf numFmtId="0" fontId="0" fillId="3" borderId="2" xfId="0" applyFill="1" applyBorder="1"/>
    <xf numFmtId="0" fontId="1" fillId="4" borderId="2" xfId="0" applyFont="1" applyFill="1" applyBorder="1"/>
    <xf numFmtId="0" fontId="0" fillId="0" borderId="3" xfId="0" applyBorder="1"/>
    <xf numFmtId="0" fontId="3" fillId="0" borderId="0" xfId="0" applyFont="1"/>
    <xf numFmtId="0" fontId="1" fillId="6" borderId="0" xfId="0" applyFont="1" applyFill="1"/>
    <xf numFmtId="0" fontId="1" fillId="4" borderId="3" xfId="0" applyFont="1" applyFill="1" applyBorder="1"/>
    <xf numFmtId="0" fontId="1" fillId="7" borderId="0" xfId="0" applyFont="1" applyFill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/>
    <xf numFmtId="0" fontId="2" fillId="0" borderId="0" xfId="1" applyFont="1"/>
    <xf numFmtId="0" fontId="7" fillId="0" borderId="0" xfId="1" applyFont="1" applyAlignment="1">
      <alignment vertical="center" wrapText="1"/>
    </xf>
    <xf numFmtId="0" fontId="1" fillId="7" borderId="0" xfId="1" applyFont="1" applyFill="1" applyAlignment="1">
      <alignment vertical="center" wrapText="1"/>
    </xf>
    <xf numFmtId="0" fontId="8" fillId="7" borderId="0" xfId="1" applyFont="1" applyFill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3" borderId="0" xfId="0" applyNumberFormat="1" applyFill="1"/>
    <xf numFmtId="0" fontId="0" fillId="3" borderId="3" xfId="0" applyFill="1" applyBorder="1"/>
    <xf numFmtId="0" fontId="0" fillId="0" borderId="0" xfId="0" applyNumberFormat="1"/>
    <xf numFmtId="0" fontId="1" fillId="4" borderId="3" xfId="0" applyNumberFormat="1" applyFont="1" applyFill="1" applyBorder="1"/>
    <xf numFmtId="0" fontId="0" fillId="0" borderId="0" xfId="0" applyFill="1"/>
    <xf numFmtId="0" fontId="1" fillId="4" borderId="4" xfId="0" applyFont="1" applyFill="1" applyBorder="1"/>
    <xf numFmtId="0" fontId="1" fillId="4" borderId="0" xfId="0" applyNumberFormat="1" applyFont="1" applyFill="1"/>
    <xf numFmtId="0" fontId="0" fillId="8" borderId="0" xfId="0" applyFill="1"/>
    <xf numFmtId="0" fontId="3" fillId="3" borderId="0" xfId="0" applyFont="1" applyFill="1" applyAlignment="1">
      <alignment vertical="center" wrapText="1"/>
    </xf>
    <xf numFmtId="0" fontId="3" fillId="0" borderId="5" xfId="0" applyFont="1" applyBorder="1"/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0" fillId="0" borderId="5" xfId="0" applyBorder="1"/>
    <xf numFmtId="0" fontId="1" fillId="4" borderId="0" xfId="0" applyFont="1" applyFill="1" applyBorder="1"/>
    <xf numFmtId="0" fontId="1" fillId="4" borderId="0" xfId="0" applyNumberFormat="1" applyFont="1" applyFill="1" applyBorder="1"/>
    <xf numFmtId="0" fontId="0" fillId="0" borderId="6" xfId="0" applyBorder="1"/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8"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-0.49998474074526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theme="0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81AA5-652E-4108-9787-32929BB6685B}" name="vendor_invoice" displayName="vendor_invoice" ref="C7:N12" totalsRowShown="0" headerRowDxfId="87">
  <autoFilter ref="C7:N12" xr:uid="{AFEEFD43-908A-4684-89FA-BC9F66352025}"/>
  <tableColumns count="12">
    <tableColumn id="1" xr3:uid="{585BF426-5024-4018-B69C-95ADFB9CB27A}" name="ref" dataDxfId="36">
      <calculatedColumnFormula>"exp"&amp;ROWS($C$8:C8)</calculatedColumnFormula>
    </tableColumn>
    <tableColumn id="2" xr3:uid="{163F8D74-1A31-4B2A-BEBD-2F5D8412F9E8}" name="vendor_name" dataDxfId="86"/>
    <tableColumn id="3" xr3:uid="{B283236F-3200-4D37-AFCA-92560AB4B986}" name="description" dataDxfId="85"/>
    <tableColumn id="7" xr3:uid="{EB84CFFD-64A6-41FE-9F43-E1FABDFC8671}" name="exp_item_ref"/>
    <tableColumn id="4" xr3:uid="{CA643753-8B0E-4FCF-9B77-6FB70655BA22}" name="inv_amt" dataDxfId="84"/>
    <tableColumn id="5" xr3:uid="{D8674D65-BCF2-4093-BEDC-5468EF4BFB37}" name="tax_amt" dataDxfId="83">
      <calculatedColumnFormula>$I$1*vendor_invoice[[#This Row],[inv_amt]]</calculatedColumnFormula>
    </tableColumn>
    <tableColumn id="6" xr3:uid="{7B2970F5-221A-408E-B711-7E342BF53E28}" name="net_amt" dataDxfId="82">
      <calculatedColumnFormula>vendor_invoice[[#This Row],[inv_amt]]-vendor_invoice[[#This Row],[tax_amt]]</calculatedColumnFormula>
    </tableColumn>
    <tableColumn id="8" xr3:uid="{8568061A-34D3-418A-A73B-056F87DA69B7}" name="debit1" dataDxfId="81">
      <calculatedColumnFormula>vendor_invoice[[#This Row],[net_amt]]</calculatedColumnFormula>
    </tableColumn>
    <tableColumn id="10" xr3:uid="{A595D5D5-5129-4307-870F-A198F960549F}" name="debit2" dataDxfId="80">
      <calculatedColumnFormula>vendor_invoice[[#This Row],[tax_amt]]</calculatedColumnFormula>
    </tableColumn>
    <tableColumn id="13" xr3:uid="{153049BD-EE8B-4C59-9419-06D4946425AB}" name="credit3" dataDxfId="79">
      <calculatedColumnFormula>-vendor_invoice[[#This Row],[inv_amt]]</calculatedColumnFormula>
    </tableColumn>
    <tableColumn id="14" xr3:uid="{4ECA7EC1-68B7-437F-ADF9-D28A589C45A4}" name="debit4" dataDxfId="78"/>
    <tableColumn id="15" xr3:uid="{6CD4E968-8CE0-487A-AE30-24837BE0E235}" name="credit4" data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598E2-E65A-4D30-9FCB-904C225EFAA3}" name="customer_invoice" displayName="customer_invoice" ref="C7:N12" totalsRowShown="0" headerRowDxfId="76">
  <autoFilter ref="C7:N12" xr:uid="{AFEEFD43-908A-4684-89FA-BC9F66352025}"/>
  <tableColumns count="12">
    <tableColumn id="1" xr3:uid="{5CE08781-99C6-415C-96FB-768EFC247490}" name="ref" dataDxfId="37">
      <calculatedColumnFormula>"inc"&amp;ROWS($C$8:C8)</calculatedColumnFormula>
    </tableColumn>
    <tableColumn id="2" xr3:uid="{2AC82413-4FD7-4ECA-AF04-25ED106CAFCC}" name="customer_name" dataDxfId="75"/>
    <tableColumn id="3" xr3:uid="{844246F7-F90E-427D-A469-699462460DEA}" name="description" dataDxfId="74"/>
    <tableColumn id="7" xr3:uid="{7C83C896-0E14-4054-B2DF-3FDBC969A1B7}" name="rev_item_ref"/>
    <tableColumn id="4" xr3:uid="{EA404B33-F686-4FCE-A167-C2A9985A51D7}" name="inv_amt" dataDxfId="73"/>
    <tableColumn id="5" xr3:uid="{2B24E40B-38E2-41AC-B5D2-4CE4224F2F47}" name="tax_amt" dataDxfId="72">
      <calculatedColumnFormula>$I$1*customer_invoice[[#This Row],[inv_amt]]</calculatedColumnFormula>
    </tableColumn>
    <tableColumn id="6" xr3:uid="{95B9CAE9-D43D-4312-AFAE-5AA2A2A50B14}" name="net_amt" dataDxfId="71">
      <calculatedColumnFormula>customer_invoice[[#This Row],[inv_amt]]-customer_invoice[[#This Row],[tax_amt]]</calculatedColumnFormula>
    </tableColumn>
    <tableColumn id="8" xr3:uid="{0E3CDB44-3A83-4672-9A97-12049B339981}" name="credit1" dataDxfId="70">
      <calculatedColumnFormula>-customer_invoice[[#This Row],[net_amt]]</calculatedColumnFormula>
    </tableColumn>
    <tableColumn id="9" xr3:uid="{F5E99E5F-7A2B-43A7-A993-43F601AA7649}" name="credit2" dataDxfId="69">
      <calculatedColumnFormula>-customer_invoice[[#This Row],[tax_amt]]</calculatedColumnFormula>
    </tableColumn>
    <tableColumn id="10" xr3:uid="{C6255AD1-BCBA-4DD1-A764-E80843655E8B}" name="debit3" dataDxfId="68">
      <calculatedColumnFormula>customer_invoice[[#This Row],[inv_amt]]</calculatedColumnFormula>
    </tableColumn>
    <tableColumn id="11" xr3:uid="{29E1970E-8BC5-4E83-9190-1522D6084F76}" name="debit4" dataDxfId="67"/>
    <tableColumn id="12" xr3:uid="{D36BFB7A-B70B-47C2-AD97-E4D181E0C728}" name="credit4" dataDxfId="6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81C60-062F-4DC2-B6AD-A9C6DDD9840E}" name="cash_transactions" displayName="cash_transactions" ref="C7:W17" totalsRowShown="0" headerRowDxfId="65">
  <autoFilter ref="C7:W17" xr:uid="{AFEEFD43-908A-4684-89FA-BC9F66352025}"/>
  <tableColumns count="21">
    <tableColumn id="1" xr3:uid="{7E37A410-64AA-4FCB-9DD8-B37B0FC008D2}" name="ref" dataDxfId="38">
      <calculatedColumnFormula>"bank"&amp;ROWS($C$8:C8)</calculatedColumnFormula>
    </tableColumn>
    <tableColumn id="2" xr3:uid="{3133EDB4-83D5-409D-B3CF-A26AAD49CDE2}" name="trans_type" dataDxfId="64"/>
    <tableColumn id="8" xr3:uid="{66FA07E9-F25A-4D65-8166-79B2BA542565}" name="trans_type_code" dataDxfId="63">
      <calculatedColumnFormula>IF(cash_transactions[[#This Row],[trans_type]]="","-",LEFT(cash_transactions[[#This Row],[trans_type]],1))</calculatedColumnFormula>
    </tableColumn>
    <tableColumn id="3" xr3:uid="{E477D91A-BF30-4DBD-ADBB-F1C3C4CA9DB1}" name="withdrawal_bank" dataDxfId="62"/>
    <tableColumn id="6" xr3:uid="{516A0DB8-2ECF-4764-B0B3-DCE27BA6AB4C}" name="withdrawn_amt" dataDxfId="61"/>
    <tableColumn id="9" xr3:uid="{4D32CFF2-E2DE-4225-B663-D6F42DF8EA8B}" name="deposit_bank"/>
    <tableColumn id="10" xr3:uid="{6A4DA623-F312-45F9-978D-127D9ECDA80B}" name="deposit_amt" dataDxfId="60">
      <calculatedColumnFormula>IF(LEN(cash_transactions[[#This Row],[withdrawn_amt]])&gt;0,cash_transactions[[#This Row],[withdrawn_amt]],"-")</calculatedColumnFormula>
    </tableColumn>
    <tableColumn id="15" xr3:uid="{109BC738-908A-4E5D-8913-FA284A98C867}" name="vendor_inv_array" dataDxfId="59">
      <calculatedColumnFormula>IF(cash_transactions[[#This Row],[trans_type_code]]="p","vendor_invoice[ref]","-")</calculatedColumnFormula>
    </tableColumn>
    <tableColumn id="11" xr3:uid="{24F803BE-E59C-4BD1-B443-576ECC36CD64}" name="vendor_invoice_num" dataDxfId="35"/>
    <tableColumn id="12" xr3:uid="{B17919F9-DB1E-462E-906C-519D56F04F36}" name="pay_amt"/>
    <tableColumn id="17" xr3:uid="{66D129C8-2F54-4C69-A3C6-23239DC5242C}" name="valid_check_vendor" dataDxfId="58">
      <calculatedColumnFormula>IF(AND(cash_transactions[[#This Row],[pay_amt]]&gt;0,ISNUMBER(cash_transactions[[#This Row],[pay_amt]]),cash_transactions[[#This Row],[vendor_inv_array]]&lt;&gt;"-"),1,0)</calculatedColumnFormula>
    </tableColumn>
    <tableColumn id="16" xr3:uid="{377131F3-65D8-4761-BEF7-B59EAEDDCBEF}" name="cust_inv_array" dataDxfId="57">
      <calculatedColumnFormula>IF(cash_transactions[[#This Row],[trans_type_code]]="r","customer_invoice[ref]","-")</calculatedColumnFormula>
    </tableColumn>
    <tableColumn id="13" xr3:uid="{5A85F1DD-8B45-4900-835A-9932F60DF18E}" name="customer_inv_num" dataDxfId="34"/>
    <tableColumn id="14" xr3:uid="{5D4033AB-1036-4792-96EB-3C002877B4BF}" name="receipt_amt" dataDxfId="33"/>
    <tableColumn id="18" xr3:uid="{5E0F816F-4F6D-4E0F-8934-9E106A823402}" name="valid_check_customer" dataDxfId="56">
      <calculatedColumnFormula>IF(AND(cash_transactions[[#This Row],[receipt_amt]]&gt;0,ISNUMBER(cash_transactions[[#This Row],[receipt_amt]]),cash_transactions[[#This Row],[cust_inv_array]]&lt;&gt;"-"),1,0)</calculatedColumnFormula>
    </tableColumn>
    <tableColumn id="7" xr3:uid="{80008483-1874-4F25-8BA4-4C95C32C039C}" name="debit2" dataDxfId="55"/>
    <tableColumn id="19" xr3:uid="{1A404AE5-395C-4F01-B43E-148134A7CFD5}" name="credit2" dataDxfId="54"/>
    <tableColumn id="20" xr3:uid="{94330E91-3764-4E18-979D-3C9AD4BC1102}" name="debit3" dataDxfId="53">
      <calculatedColumnFormula>IF(cash_transactions[[#This Row],[trans_type_code]]="p",cash_transactions[[#This Row],[pay_amt]],0)</calculatedColumnFormula>
    </tableColumn>
    <tableColumn id="21" xr3:uid="{5EC294E1-F147-4403-B771-33ED1BC82542}" name="credit3" dataDxfId="52">
      <calculatedColumnFormula>IF(cash_transactions[[#This Row],[trans_type_code]]="r",-cash_transactions[[#This Row],[receipt_amt]],0)</calculatedColumnFormula>
    </tableColumn>
    <tableColumn id="22" xr3:uid="{2E57EB2A-28CC-4EBE-BD21-E1B07F66D7B8}" name="debit4" dataDxfId="51">
      <calculatedColumnFormula>IF(cash_transactions[[#This Row],[trans_type_code]]="w",cash_transactions[[#This Row],[deposit_amt]],
IF(cash_transactions[[#This Row],[trans_type_code]]="r",cash_transactions[[#This Row],[receipt_amt]],
0))</calculatedColumnFormula>
    </tableColumn>
    <tableColumn id="23" xr3:uid="{A7AE73DA-31F8-413B-873F-6197C194A1A2}" name="credit4" dataDxfId="50">
      <calculatedColumnFormula>IF(cash_transactions[[#This Row],[trans_type_code]]="w",-cash_transactions[[#This Row],[withdrawn_amt]],
IF(cash_transactions[[#This Row],[trans_type_code]]="p",-cash_transactions[[#This Row],[pay_amt]],
0))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86D854-1030-468E-AA4F-6B450DA4860D}" name="table_summary" displayName="table_summary" ref="C7:G19" totalsRowShown="0">
  <autoFilter ref="C7:G19" xr:uid="{0B761DA9-DED4-4A4E-9AE6-D42038DCD508}"/>
  <tableColumns count="5">
    <tableColumn id="1" xr3:uid="{CDDA9949-FE88-4433-A234-5E86E40EE063}" name="ref" dataDxfId="49">
      <calculatedColumnFormula>ROWS($C$8:C8)-1</calculatedColumnFormula>
    </tableColumn>
    <tableColumn id="2" xr3:uid="{16436F22-BA12-47DD-906D-D28CCC40FF2C}" name="table_name" dataDxfId="48"/>
    <tableColumn id="5" xr3:uid="{14218B2E-3AEF-4837-B7A6-9C9CC4F5D9F0}" name="link_location" dataDxfId="47">
      <calculatedColumnFormula>IF(table_summary[[#This Row],[table_name]]="","-",
"#"&amp;table_summary[[#This Row],[table_name]]&amp;"!a3")</calculatedColumnFormula>
    </tableColumn>
    <tableColumn id="3" xr3:uid="{22A4DB07-9C9F-4B7D-BA05-E5120278E866}" name="eng"/>
    <tableColumn id="4" xr3:uid="{7E2C5DE5-283E-46B5-9E37-8777AC1B6B8D}" name="j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F481BC-1EE3-48B8-B123-286EA15F5173}" name="field_list" displayName="field_list" ref="C7:F39" totalsRowShown="0">
  <autoFilter ref="C7:F39" xr:uid="{C58E439D-6CE8-47C9-A705-3C60267B9BA1}"/>
  <tableColumns count="4">
    <tableColumn id="1" xr3:uid="{47E05341-2708-4911-A66F-68F1D333C985}" name="ref" dataDxfId="46">
      <calculatedColumnFormula>ROWS($C$8:C8)</calculatedColumnFormula>
    </tableColumn>
    <tableColumn id="2" xr3:uid="{94AE9773-2421-4615-91C9-FD9112DC97E3}" name="field_name" dataDxfId="45"/>
    <tableColumn id="3" xr3:uid="{1532B1FB-6A6A-4737-86FF-135AE2F6C8D3}" name="eng"/>
    <tableColumn id="4" xr3:uid="{8924815E-9F81-4515-99EC-D1CDA7B9C458}" name="jap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C53749-3778-4EF7-9C8D-AD89D9CA6EF7}" name="language" displayName="language" ref="C7:F12" totalsRowShown="0">
  <autoFilter ref="C7:F12" xr:uid="{5E7CD456-0CD5-4BB9-8402-6281BE024F26}"/>
  <tableColumns count="4">
    <tableColumn id="1" xr3:uid="{9B0A0BAB-084D-4B7B-92F1-4921B02A23A5}" name="ref" dataDxfId="44">
      <calculatedColumnFormula>ROWS($C$8:C8)</calculatedColumnFormula>
    </tableColumn>
    <tableColumn id="2" xr3:uid="{F0B9088D-6160-4964-B874-19317227DB77}" name="code" dataDxfId="43"/>
    <tableColumn id="3" xr3:uid="{D13253D9-145A-4836-A6D0-645C0F7F6ADA}" name="eng" dataDxfId="42"/>
    <tableColumn id="4" xr3:uid="{A056AFEB-A806-491D-83C3-EC9AC71A8C04}" name="jap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A5F48E-3B00-4E26-8F16-BFA2C8AC455C}" name="chart_of_acct" displayName="chart_of_acct" ref="C6:G27" totalsRowShown="0" headerRowDxfId="40">
  <autoFilter ref="C6:G27" xr:uid="{1C26A1D0-75BA-4EF7-9341-17FDB01C6650}"/>
  <tableColumns count="5">
    <tableColumn id="1" xr3:uid="{57CA49CE-F1A6-4C38-AE0F-691C8378F947}" name="ref" dataDxfId="39"/>
    <tableColumn id="4" xr3:uid="{8C3C349F-5B02-4796-A822-1C2D02F8C23A}" name="tax_code"/>
    <tableColumn id="5" xr3:uid="{01C4008D-3F38-4A51-B6DC-9778D665D926}" name="process_type"/>
    <tableColumn id="6" xr3:uid="{12BA5F75-6249-4BE9-8B95-AB1070AF5878}" name="eng"/>
    <tableColumn id="7" xr3:uid="{201C99D1-4D94-4F2F-89DA-AA7B4E1F5521}" name="jap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EA2-0DC5-43AC-A8B6-FB5E02B72CEA}">
  <sheetPr>
    <tabColor rgb="FFFFC000"/>
  </sheetPr>
  <dimension ref="A1:D19"/>
  <sheetViews>
    <sheetView showGridLines="0" workbookViewId="0">
      <selection activeCell="A12" sqref="A12"/>
    </sheetView>
  </sheetViews>
  <sheetFormatPr defaultRowHeight="14.4"/>
  <cols>
    <col min="1" max="1" width="22.6640625" customWidth="1"/>
    <col min="4" max="4" width="19.6640625" bestFit="1" customWidth="1"/>
  </cols>
  <sheetData>
    <row r="1" spans="1:4">
      <c r="A1" t="str" cm="1">
        <f t="array" aca="1" ref="A1" ca="1">MID(CELL("filename",$A$1),FIND("]",CELL("filename",$A$1))+1,31)</f>
        <v>master</v>
      </c>
      <c r="C1" s="19" t="s">
        <v>62</v>
      </c>
      <c r="D1" s="10" t="str" cm="1">
        <f t="array" ref="D1">_xlfn.XLOOKUP(C1,language[code],_xlfn.XLOOKUP(C1,language[#Headers],language[]))</f>
        <v>English</v>
      </c>
    </row>
    <row r="2" spans="1:4" ht="20.399999999999999">
      <c r="A2" s="15" t="str" cm="1">
        <f t="array" aca="1" ref="A2" ca="1">_xlfn.XLOOKUP($A$1,table_summary[table_name],
_xlfn.XLOOKUP($C$1,table_summary[#Headers],table_summary[])
)</f>
        <v>Master Table</v>
      </c>
    </row>
    <row r="8" spans="1:4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</row>
    <row r="9" spans="1:4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</row>
    <row r="10" spans="1:4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</row>
    <row r="11" spans="1:4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</row>
    <row r="12" spans="1:4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</row>
    <row r="13" spans="1:4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4" ht="28.8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4" ht="28.8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4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>
      <c r="A17" s="22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</row>
    <row r="18" spans="1:1">
      <c r="A18" s="22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</row>
    <row r="19" spans="1:1">
      <c r="A19" s="22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</row>
  </sheetData>
  <conditionalFormatting sqref="A8:A19">
    <cfRule type="expression" dxfId="32" priority="1">
      <formula>A8=0</formula>
    </cfRule>
    <cfRule type="expression" dxfId="31" priority="2">
      <formula>A8=$A$2</formula>
    </cfRule>
  </conditionalFormatting>
  <dataValidations count="1">
    <dataValidation type="list" allowBlank="1" showInputMessage="1" showErrorMessage="1" sqref="C1" xr:uid="{B93D715F-D24D-4C2E-8A5D-9361752E813F}">
      <formula1>select_lang_code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B0BB-474D-4BCA-B413-0FE9B7D05AFB}">
  <sheetPr>
    <tabColor rgb="FFFF0000"/>
  </sheetPr>
  <dimension ref="A1:P19"/>
  <sheetViews>
    <sheetView showGridLines="0" workbookViewId="0">
      <selection activeCell="A8" sqref="A8"/>
    </sheetView>
  </sheetViews>
  <sheetFormatPr defaultRowHeight="14.4" outlineLevelRow="1" outlineLevelCol="1"/>
  <cols>
    <col min="1" max="1" width="25.44140625" customWidth="1"/>
    <col min="2" max="2" width="19" bestFit="1" customWidth="1"/>
    <col min="3" max="3" width="9.88671875" bestFit="1" customWidth="1"/>
    <col min="4" max="4" width="15" bestFit="1" customWidth="1"/>
    <col min="5" max="5" width="12.21875" customWidth="1"/>
    <col min="6" max="6" width="26.33203125" customWidth="1"/>
    <col min="7" max="7" width="17.21875" customWidth="1"/>
    <col min="8" max="8" width="11.21875" customWidth="1"/>
    <col min="9" max="9" width="16" customWidth="1"/>
    <col min="10" max="10" width="8.88671875" hidden="1" customWidth="1" outlineLevel="1"/>
    <col min="11" max="11" width="15" hidden="1" customWidth="1" outlineLevel="1"/>
    <col min="12" max="14" width="8.88671875" hidden="1" customWidth="1" outlineLevel="1"/>
    <col min="15" max="15" width="8.88671875" collapsed="1"/>
  </cols>
  <sheetData>
    <row r="1" spans="1:16">
      <c r="A1" t="str" cm="1">
        <f t="array" aca="1" ref="A1" ca="1">MID(CELL("filename",$A$1),FIND("]",CELL("filename",$A$1))+1,31)</f>
        <v>expense</v>
      </c>
      <c r="C1" s="19" t="s">
        <v>62</v>
      </c>
      <c r="D1" s="10" t="str" cm="1">
        <f t="array" ref="D1">_xlfn.XLOOKUP(C1,language[code],_xlfn.XLOOKUP(C1,language[#Headers],language[]))</f>
        <v>English</v>
      </c>
      <c r="I1" s="5">
        <v>0.12</v>
      </c>
      <c r="J1" s="4" t="s">
        <v>20</v>
      </c>
      <c r="O1" s="2"/>
      <c r="P1" t="s">
        <v>13</v>
      </c>
    </row>
    <row r="2" spans="1:16" ht="20.399999999999999">
      <c r="A2" s="15" t="str" cm="1">
        <f t="array" aca="1" ref="A2" ca="1">_xlfn.XLOOKUP($A$1,table_summary[table_name],
_xlfn.XLOOKUP($C$1,table_summary[#Headers],table_summary[])
)</f>
        <v>Vendor Invoice</v>
      </c>
      <c r="O2" s="3"/>
      <c r="P2" t="s">
        <v>14</v>
      </c>
    </row>
    <row r="3" spans="1:16">
      <c r="O3" s="4"/>
      <c r="P3" t="s">
        <v>19</v>
      </c>
    </row>
    <row r="6" spans="1:16">
      <c r="C6" s="17" t="str" cm="1">
        <f t="array" ref="C6">_xlfn.XLOOKUP(C7,field_list[field_name],
_xlfn.XLOOKUP($C$1,field_list[#Headers],field_list[]))</f>
        <v>Reference</v>
      </c>
      <c r="D6" s="17" t="str" cm="1">
        <f t="array" ref="D6">_xlfn.XLOOKUP(D7,field_list[field_name],
_xlfn.XLOOKUP($C$1,field_list[#Headers],field_list[]))</f>
        <v>Vendor</v>
      </c>
      <c r="E6" s="17" t="str" cm="1">
        <f t="array" ref="E6">_xlfn.XLOOKUP(E7,field_list[field_name],
_xlfn.XLOOKUP($C$1,field_list[#Headers],field_list[]))</f>
        <v>Description</v>
      </c>
      <c r="F6" s="17" t="str" cm="1">
        <f t="array" ref="F6">_xlfn.XLOOKUP(F7,field_list[field_name],
_xlfn.XLOOKUP($C$1,field_list[#Headers],field_list[]))</f>
        <v>Expense Item Reference</v>
      </c>
      <c r="G6" s="17" t="str" cm="1">
        <f t="array" ref="G6">_xlfn.XLOOKUP(G7,field_list[field_name],
_xlfn.XLOOKUP($C$1,field_list[#Headers],field_list[]))</f>
        <v>Invoice Amount</v>
      </c>
      <c r="H6" s="17" t="str" cm="1">
        <f t="array" ref="H6">_xlfn.XLOOKUP(H7,field_list[field_name],
_xlfn.XLOOKUP($C$1,field_list[#Headers],field_list[]))</f>
        <v>Tax Amount</v>
      </c>
      <c r="I6" s="17" t="str" cm="1">
        <f t="array" ref="I6">_xlfn.XLOOKUP(I7,field_list[field_name],
_xlfn.XLOOKUP($C$1,field_list[#Headers],field_list[]))</f>
        <v>Net</v>
      </c>
      <c r="J6" s="4"/>
      <c r="K6" s="4"/>
      <c r="L6" s="4"/>
      <c r="M6" s="4"/>
      <c r="N6" s="4"/>
    </row>
    <row r="7" spans="1:16" outlineLevel="1">
      <c r="C7" s="1" t="s">
        <v>0</v>
      </c>
      <c r="D7" s="1" t="s">
        <v>2</v>
      </c>
      <c r="E7" s="1" t="s">
        <v>1</v>
      </c>
      <c r="F7" s="1" t="s">
        <v>11</v>
      </c>
      <c r="G7" s="1" t="s">
        <v>3</v>
      </c>
      <c r="H7" s="1" t="s">
        <v>4</v>
      </c>
      <c r="I7" s="1" t="s">
        <v>5</v>
      </c>
      <c r="J7" s="1" t="s">
        <v>146</v>
      </c>
      <c r="K7" s="1" t="s">
        <v>148</v>
      </c>
      <c r="L7" s="1" t="s">
        <v>151</v>
      </c>
      <c r="M7" s="1" t="s">
        <v>152</v>
      </c>
      <c r="N7" s="1" t="s">
        <v>153</v>
      </c>
    </row>
    <row r="8" spans="1:16" ht="21">
      <c r="A8" s="23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t="str">
        <f>"exp"&amp;ROWS($C$8:C8)</f>
        <v>exp1</v>
      </c>
      <c r="D8" s="2" t="s">
        <v>6</v>
      </c>
      <c r="E8" s="2" t="s">
        <v>10</v>
      </c>
      <c r="F8" t="s">
        <v>12</v>
      </c>
      <c r="G8" s="2">
        <v>100</v>
      </c>
      <c r="H8" s="6">
        <f>$I$1*vendor_invoice[[#This Row],[inv_amt]]</f>
        <v>12</v>
      </c>
      <c r="I8">
        <f>vendor_invoice[[#This Row],[inv_amt]]-vendor_invoice[[#This Row],[tax_amt]]</f>
        <v>88</v>
      </c>
      <c r="J8" s="4">
        <f>vendor_invoice[[#This Row],[net_amt]]</f>
        <v>88</v>
      </c>
      <c r="K8" s="4">
        <f>vendor_invoice[[#This Row],[tax_amt]]</f>
        <v>12</v>
      </c>
      <c r="L8" s="4">
        <f>-vendor_invoice[[#This Row],[inv_amt]]</f>
        <v>-100</v>
      </c>
      <c r="M8" s="4"/>
      <c r="N8" s="4"/>
    </row>
    <row r="9" spans="1:16" ht="21">
      <c r="A9" s="23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 t="str">
        <f>"exp"&amp;ROWS($C$8:C9)</f>
        <v>exp2</v>
      </c>
      <c r="D9" s="2" t="s">
        <v>6</v>
      </c>
      <c r="E9" s="2" t="s">
        <v>10</v>
      </c>
      <c r="F9" t="s">
        <v>12</v>
      </c>
      <c r="G9" s="2">
        <v>200</v>
      </c>
      <c r="H9" s="6">
        <f>$I$1*vendor_invoice[[#This Row],[inv_amt]]</f>
        <v>24</v>
      </c>
      <c r="I9">
        <f>vendor_invoice[[#This Row],[inv_amt]]-vendor_invoice[[#This Row],[tax_amt]]</f>
        <v>176</v>
      </c>
      <c r="J9" s="4">
        <f>vendor_invoice[[#This Row],[net_amt]]</f>
        <v>176</v>
      </c>
      <c r="K9" s="4">
        <f>vendor_invoice[[#This Row],[tax_amt]]</f>
        <v>24</v>
      </c>
      <c r="L9" s="4">
        <f>-vendor_invoice[[#This Row],[inv_amt]]</f>
        <v>-200</v>
      </c>
      <c r="M9" s="4"/>
      <c r="N9" s="4"/>
    </row>
    <row r="10" spans="1:16" ht="21">
      <c r="A10" s="23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 t="str">
        <f>"exp"&amp;ROWS($C$8:C10)</f>
        <v>exp3</v>
      </c>
      <c r="D10" s="2" t="s">
        <v>7</v>
      </c>
      <c r="E10" s="2" t="s">
        <v>15</v>
      </c>
      <c r="F10" t="s">
        <v>16</v>
      </c>
      <c r="G10" s="2">
        <v>300</v>
      </c>
      <c r="H10" s="6">
        <f>$I$1*vendor_invoice[[#This Row],[inv_amt]]</f>
        <v>36</v>
      </c>
      <c r="I10">
        <f>vendor_invoice[[#This Row],[inv_amt]]-vendor_invoice[[#This Row],[tax_amt]]</f>
        <v>264</v>
      </c>
      <c r="J10" s="4">
        <f>vendor_invoice[[#This Row],[net_amt]]</f>
        <v>264</v>
      </c>
      <c r="K10" s="4">
        <f>vendor_invoice[[#This Row],[tax_amt]]</f>
        <v>36</v>
      </c>
      <c r="L10" s="4">
        <f>-vendor_invoice[[#This Row],[inv_amt]]</f>
        <v>-300</v>
      </c>
      <c r="M10" s="4"/>
      <c r="N10" s="4"/>
    </row>
    <row r="11" spans="1:16" ht="42">
      <c r="A11" s="23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C11" t="str">
        <f>"exp"&amp;ROWS($C$8:C11)</f>
        <v>exp4</v>
      </c>
      <c r="D11" s="2" t="s">
        <v>8</v>
      </c>
      <c r="E11" s="2" t="s">
        <v>17</v>
      </c>
      <c r="F11" t="s">
        <v>18</v>
      </c>
      <c r="G11" s="2">
        <v>400</v>
      </c>
      <c r="H11" s="6">
        <f>$I$1*vendor_invoice[[#This Row],[inv_amt]]</f>
        <v>48</v>
      </c>
      <c r="I11">
        <f>vendor_invoice[[#This Row],[inv_amt]]-vendor_invoice[[#This Row],[tax_amt]]</f>
        <v>352</v>
      </c>
      <c r="J11" s="4">
        <f>vendor_invoice[[#This Row],[net_amt]]</f>
        <v>352</v>
      </c>
      <c r="K11" s="4">
        <f>vendor_invoice[[#This Row],[tax_amt]]</f>
        <v>48</v>
      </c>
      <c r="L11" s="4">
        <f>-vendor_invoice[[#This Row],[inv_amt]]</f>
        <v>-400</v>
      </c>
      <c r="M11" s="4"/>
      <c r="N11" s="4"/>
    </row>
    <row r="12" spans="1:16" ht="21">
      <c r="A12" s="23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t="str">
        <f>"exp"&amp;ROWS($C$8:C12)</f>
        <v>exp5</v>
      </c>
      <c r="D12" s="2" t="s">
        <v>9</v>
      </c>
      <c r="E12" s="2" t="s">
        <v>10</v>
      </c>
      <c r="F12" t="s">
        <v>12</v>
      </c>
      <c r="G12" s="2">
        <v>500</v>
      </c>
      <c r="H12" s="6">
        <f>$I$1*vendor_invoice[[#This Row],[inv_amt]]</f>
        <v>60</v>
      </c>
      <c r="I12">
        <f>vendor_invoice[[#This Row],[inv_amt]]-vendor_invoice[[#This Row],[tax_amt]]</f>
        <v>440</v>
      </c>
      <c r="J12" s="4">
        <f>vendor_invoice[[#This Row],[net_amt]]</f>
        <v>440</v>
      </c>
      <c r="K12" s="4">
        <f>vendor_invoice[[#This Row],[tax_amt]]</f>
        <v>60</v>
      </c>
      <c r="L12" s="4">
        <f>-vendor_invoice[[#This Row],[inv_amt]]</f>
        <v>-500</v>
      </c>
      <c r="M12" s="4"/>
      <c r="N12" s="4"/>
    </row>
    <row r="13" spans="1:16" ht="21">
      <c r="A13" s="23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16" ht="21">
      <c r="A14" s="23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16" ht="21">
      <c r="A15" s="23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16" ht="21">
      <c r="A16" s="23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 ht="21">
      <c r="A17" s="23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</row>
    <row r="18" spans="1:1" ht="21">
      <c r="A18" s="23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</row>
    <row r="19" spans="1:1" ht="21">
      <c r="A19" s="23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</row>
  </sheetData>
  <conditionalFormatting sqref="A8:A19">
    <cfRule type="expression" dxfId="30" priority="1">
      <formula>A8=0</formula>
    </cfRule>
    <cfRule type="expression" dxfId="29" priority="2">
      <formula>A8=$A$2</formula>
    </cfRule>
  </conditionalFormatting>
  <dataValidations disablePrompts="1" count="1">
    <dataValidation type="list" allowBlank="1" showInputMessage="1" showErrorMessage="1" sqref="C1" xr:uid="{44088BB3-C543-4EAC-8C9B-E4546EC8C7F3}">
      <formula1>select_lang_code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68A-F825-498B-9644-5CC16CEC798E}">
  <sheetPr>
    <tabColor rgb="FF0070C0"/>
  </sheetPr>
  <dimension ref="A1:P19"/>
  <sheetViews>
    <sheetView showGridLines="0" workbookViewId="0">
      <selection activeCell="A9" sqref="A9"/>
    </sheetView>
  </sheetViews>
  <sheetFormatPr defaultRowHeight="14.4" outlineLevelRow="1" outlineLevelCol="1"/>
  <cols>
    <col min="1" max="1" width="29.77734375" bestFit="1" customWidth="1"/>
    <col min="2" max="2" width="19.88671875" bestFit="1" customWidth="1"/>
    <col min="3" max="3" width="14.109375" bestFit="1" customWidth="1"/>
    <col min="4" max="4" width="26.88671875" customWidth="1"/>
    <col min="5" max="5" width="12.88671875" bestFit="1" customWidth="1"/>
    <col min="6" max="6" width="30" bestFit="1" customWidth="1"/>
    <col min="7" max="7" width="11.88671875" customWidth="1"/>
    <col min="8" max="8" width="11.5546875" customWidth="1"/>
    <col min="9" max="9" width="12.6640625" customWidth="1"/>
    <col min="10" max="11" width="8.88671875" hidden="1" customWidth="1" outlineLevel="1"/>
    <col min="12" max="12" width="15" hidden="1" customWidth="1" outlineLevel="1"/>
    <col min="13" max="14" width="8.88671875" hidden="1" customWidth="1" outlineLevel="1"/>
    <col min="15" max="15" width="8.88671875" collapsed="1"/>
  </cols>
  <sheetData>
    <row r="1" spans="1:16" s="16" customFormat="1" ht="43.2">
      <c r="A1" s="16" t="str" cm="1">
        <f t="array" aca="1" ref="A1" ca="1">MID(CELL("filename",$A$1),FIND("]",CELL("filename",$A$1))+1,31)</f>
        <v>income</v>
      </c>
      <c r="C1" s="27" t="s">
        <v>62</v>
      </c>
      <c r="D1" s="17" t="str" cm="1">
        <f t="array" ref="D1">_xlfn.XLOOKUP(C1,language[code],_xlfn.XLOOKUP(C1,language[#Headers],language[]))</f>
        <v>English</v>
      </c>
      <c r="I1" s="32">
        <v>0.12</v>
      </c>
      <c r="J1" s="29" t="s">
        <v>34</v>
      </c>
      <c r="O1" s="31"/>
      <c r="P1" s="16" t="s">
        <v>13</v>
      </c>
    </row>
    <row r="2" spans="1:16" s="16" customFormat="1" ht="28.8">
      <c r="A2" s="15" t="str" cm="1">
        <f t="array" aca="1" ref="A2" ca="1">_xlfn.XLOOKUP($A$1,table_summary[table_name],
_xlfn.XLOOKUP($C$1,table_summary[#Headers],table_summary[])
)</f>
        <v>Customer Invoice</v>
      </c>
      <c r="F2" s="15" t="str" cm="1">
        <f t="array" aca="1" ref="F2" ca="1">_xlfn.XLOOKUP($A$1,table_summary[table_name],
_xlfn.XLOOKUP($C$1,table_summary[#Headers],table_summary[])
)</f>
        <v>Customer Invoice</v>
      </c>
      <c r="O2" s="30"/>
      <c r="P2" s="16" t="s">
        <v>14</v>
      </c>
    </row>
    <row r="3" spans="1:16">
      <c r="O3" s="4"/>
      <c r="P3" t="s">
        <v>19</v>
      </c>
    </row>
    <row r="6" spans="1:16" s="16" customFormat="1" ht="28.8">
      <c r="C6" s="17" t="str" cm="1">
        <f t="array" ref="C6">_xlfn.XLOOKUP(C7,field_list[field_name],
_xlfn.XLOOKUP($C$1,field_list[#Headers],field_list[]))</f>
        <v>Reference</v>
      </c>
      <c r="D6" s="17" t="str" cm="1">
        <f t="array" ref="D6">_xlfn.XLOOKUP(D7,field_list[field_name],
_xlfn.XLOOKUP($C$1,field_list[#Headers],field_list[]))</f>
        <v>Customer</v>
      </c>
      <c r="E6" s="17" t="str" cm="1">
        <f t="array" ref="E6">_xlfn.XLOOKUP(E7,field_list[field_name],
_xlfn.XLOOKUP($C$1,field_list[#Headers],field_list[]))</f>
        <v>Description</v>
      </c>
      <c r="F6" s="17" t="str" cm="1">
        <f t="array" ref="F6">_xlfn.XLOOKUP(F7,field_list[field_name],
_xlfn.XLOOKUP($C$1,field_list[#Headers],field_list[]))</f>
        <v>Revenue Item Reference</v>
      </c>
      <c r="G6" s="17" t="str" cm="1">
        <f t="array" ref="G6">_xlfn.XLOOKUP(G7,field_list[field_name],
_xlfn.XLOOKUP($C$1,field_list[#Headers],field_list[]))</f>
        <v>Invoice Amount</v>
      </c>
      <c r="H6" s="17" t="str" cm="1">
        <f t="array" ref="H6">_xlfn.XLOOKUP(H7,field_list[field_name],
_xlfn.XLOOKUP($C$1,field_list[#Headers],field_list[]))</f>
        <v>Tax Amount</v>
      </c>
      <c r="I6" s="17" t="str" cm="1">
        <f t="array" ref="I6">_xlfn.XLOOKUP(I7,field_list[field_name],
_xlfn.XLOOKUP($C$1,field_list[#Headers],field_list[]))</f>
        <v>Net</v>
      </c>
      <c r="J6" s="39"/>
      <c r="K6" s="39"/>
      <c r="L6" s="39"/>
      <c r="M6" s="39"/>
      <c r="N6" s="39"/>
    </row>
    <row r="7" spans="1:16" outlineLevel="1">
      <c r="C7" s="11" t="s">
        <v>0</v>
      </c>
      <c r="D7" s="11" t="s">
        <v>24</v>
      </c>
      <c r="E7" s="11" t="s">
        <v>1</v>
      </c>
      <c r="F7" s="11" t="s">
        <v>29</v>
      </c>
      <c r="G7" s="11" t="s">
        <v>3</v>
      </c>
      <c r="H7" s="11" t="s">
        <v>4</v>
      </c>
      <c r="I7" s="11" t="s">
        <v>5</v>
      </c>
      <c r="J7" s="11" t="s">
        <v>147</v>
      </c>
      <c r="K7" s="11" t="s">
        <v>149</v>
      </c>
      <c r="L7" s="11" t="s">
        <v>150</v>
      </c>
      <c r="M7" s="11" t="s">
        <v>152</v>
      </c>
      <c r="N7" s="11" t="s">
        <v>153</v>
      </c>
    </row>
    <row r="8" spans="1:16" ht="21">
      <c r="A8" s="23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t="str">
        <f>"inc"&amp;ROWS($C$8:C8)</f>
        <v>inc1</v>
      </c>
      <c r="D8" s="2" t="s">
        <v>25</v>
      </c>
      <c r="E8" s="2" t="s">
        <v>30</v>
      </c>
      <c r="F8" t="s">
        <v>21</v>
      </c>
      <c r="G8" s="2">
        <v>1000</v>
      </c>
      <c r="H8" s="6">
        <f>$I$1*customer_invoice[[#This Row],[inv_amt]]</f>
        <v>120</v>
      </c>
      <c r="I8">
        <f>customer_invoice[[#This Row],[inv_amt]]-customer_invoice[[#This Row],[tax_amt]]</f>
        <v>880</v>
      </c>
      <c r="J8" s="4">
        <f>-customer_invoice[[#This Row],[net_amt]]</f>
        <v>-880</v>
      </c>
      <c r="K8" s="4">
        <f>-customer_invoice[[#This Row],[tax_amt]]</f>
        <v>-120</v>
      </c>
      <c r="L8" s="4">
        <f>customer_invoice[[#This Row],[inv_amt]]</f>
        <v>1000</v>
      </c>
      <c r="M8" s="4"/>
      <c r="N8" s="4"/>
    </row>
    <row r="9" spans="1:16" ht="21">
      <c r="A9" s="23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 t="str">
        <f>"inc"&amp;ROWS($C$8:C9)</f>
        <v>inc2</v>
      </c>
      <c r="D9" s="2" t="s">
        <v>25</v>
      </c>
      <c r="E9" s="2" t="s">
        <v>30</v>
      </c>
      <c r="F9" t="s">
        <v>21</v>
      </c>
      <c r="G9" s="2">
        <v>2000</v>
      </c>
      <c r="H9" s="6">
        <f>$I$1*customer_invoice[[#This Row],[inv_amt]]</f>
        <v>240</v>
      </c>
      <c r="I9">
        <f>customer_invoice[[#This Row],[inv_amt]]-customer_invoice[[#This Row],[tax_amt]]</f>
        <v>1760</v>
      </c>
      <c r="J9" s="4">
        <f>-customer_invoice[[#This Row],[net_amt]]</f>
        <v>-1760</v>
      </c>
      <c r="K9" s="4">
        <f>-customer_invoice[[#This Row],[tax_amt]]</f>
        <v>-240</v>
      </c>
      <c r="L9" s="4">
        <f>customer_invoice[[#This Row],[inv_amt]]</f>
        <v>2000</v>
      </c>
      <c r="M9" s="4"/>
      <c r="N9" s="4"/>
    </row>
    <row r="10" spans="1:16" ht="21">
      <c r="A10" s="23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 t="str">
        <f>"inc"&amp;ROWS($C$8:C10)</f>
        <v>inc3</v>
      </c>
      <c r="D10" s="2" t="s">
        <v>26</v>
      </c>
      <c r="E10" s="2" t="s">
        <v>31</v>
      </c>
      <c r="F10" t="s">
        <v>22</v>
      </c>
      <c r="G10" s="2">
        <v>3000</v>
      </c>
      <c r="H10" s="6">
        <f>$I$1*customer_invoice[[#This Row],[inv_amt]]</f>
        <v>360</v>
      </c>
      <c r="I10">
        <f>customer_invoice[[#This Row],[inv_amt]]-customer_invoice[[#This Row],[tax_amt]]</f>
        <v>2640</v>
      </c>
      <c r="J10" s="4">
        <f>-customer_invoice[[#This Row],[net_amt]]</f>
        <v>-2640</v>
      </c>
      <c r="K10" s="4">
        <f>-customer_invoice[[#This Row],[tax_amt]]</f>
        <v>-360</v>
      </c>
      <c r="L10" s="4">
        <f>customer_invoice[[#This Row],[inv_amt]]</f>
        <v>3000</v>
      </c>
      <c r="M10" s="4"/>
      <c r="N10" s="4"/>
    </row>
    <row r="11" spans="1:16" ht="42">
      <c r="A11" s="23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C11" t="str">
        <f>"inc"&amp;ROWS($C$8:C11)</f>
        <v>inc4</v>
      </c>
      <c r="D11" s="2" t="s">
        <v>27</v>
      </c>
      <c r="E11" s="2" t="s">
        <v>32</v>
      </c>
      <c r="F11" t="s">
        <v>23</v>
      </c>
      <c r="G11" s="2">
        <v>4000</v>
      </c>
      <c r="H11" s="6">
        <f>$I$1*customer_invoice[[#This Row],[inv_amt]]</f>
        <v>480</v>
      </c>
      <c r="I11">
        <f>customer_invoice[[#This Row],[inv_amt]]-customer_invoice[[#This Row],[tax_amt]]</f>
        <v>3520</v>
      </c>
      <c r="J11" s="4">
        <f>-customer_invoice[[#This Row],[net_amt]]</f>
        <v>-3520</v>
      </c>
      <c r="K11" s="4">
        <f>-customer_invoice[[#This Row],[tax_amt]]</f>
        <v>-480</v>
      </c>
      <c r="L11" s="4">
        <f>customer_invoice[[#This Row],[inv_amt]]</f>
        <v>4000</v>
      </c>
      <c r="M11" s="4"/>
      <c r="N11" s="4"/>
    </row>
    <row r="12" spans="1:16" ht="21">
      <c r="A12" s="23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t="str">
        <f>"inc"&amp;ROWS($C$8:C12)</f>
        <v>inc5</v>
      </c>
      <c r="D12" s="2" t="s">
        <v>28</v>
      </c>
      <c r="E12" s="2" t="s">
        <v>33</v>
      </c>
      <c r="F12" t="s">
        <v>21</v>
      </c>
      <c r="G12" s="2">
        <v>5000</v>
      </c>
      <c r="H12" s="6">
        <f>$I$1*customer_invoice[[#This Row],[inv_amt]]</f>
        <v>600</v>
      </c>
      <c r="I12">
        <f>customer_invoice[[#This Row],[inv_amt]]-customer_invoice[[#This Row],[tax_amt]]</f>
        <v>4400</v>
      </c>
      <c r="J12" s="4">
        <f>-customer_invoice[[#This Row],[net_amt]]</f>
        <v>-4400</v>
      </c>
      <c r="K12" s="4">
        <f>-customer_invoice[[#This Row],[tax_amt]]</f>
        <v>-600</v>
      </c>
      <c r="L12" s="4">
        <f>customer_invoice[[#This Row],[inv_amt]]</f>
        <v>5000</v>
      </c>
      <c r="M12" s="4"/>
      <c r="N12" s="4"/>
    </row>
    <row r="13" spans="1:16" ht="21">
      <c r="A13" s="23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16" ht="21">
      <c r="A14" s="23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16" ht="21">
      <c r="A15" s="23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16" ht="21">
      <c r="A16" s="23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 ht="21">
      <c r="A17" s="23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</row>
    <row r="18" spans="1:1" ht="21">
      <c r="A18" s="23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</row>
    <row r="19" spans="1:1" ht="21">
      <c r="A19" s="23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</row>
  </sheetData>
  <conditionalFormatting sqref="A8:A19">
    <cfRule type="expression" dxfId="28" priority="1">
      <formula>A8=0</formula>
    </cfRule>
    <cfRule type="expression" dxfId="27" priority="2">
      <formula>A8=$A$2</formula>
    </cfRule>
  </conditionalFormatting>
  <dataValidations disablePrompts="1" count="1">
    <dataValidation type="list" allowBlank="1" showInputMessage="1" showErrorMessage="1" sqref="C1" xr:uid="{B36E445F-A742-44A5-AF70-1AA3834EBB77}">
      <formula1>select_lang_code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77E4-A43F-4646-89E1-18BFCF05794F}">
  <sheetPr>
    <tabColor rgb="FF7030A0"/>
  </sheetPr>
  <dimension ref="A1:Z19"/>
  <sheetViews>
    <sheetView showGridLines="0" workbookViewId="0">
      <selection activeCell="A12" sqref="A12"/>
    </sheetView>
  </sheetViews>
  <sheetFormatPr defaultRowHeight="14.4" outlineLevelRow="1" outlineLevelCol="1"/>
  <cols>
    <col min="1" max="1" width="20.109375" customWidth="1"/>
    <col min="2" max="2" width="19" bestFit="1" customWidth="1"/>
    <col min="3" max="3" width="9.88671875" bestFit="1" customWidth="1"/>
    <col min="4" max="4" width="14.5546875" bestFit="1" customWidth="1"/>
    <col min="5" max="5" width="11.5546875" customWidth="1"/>
    <col min="6" max="6" width="17.88671875" bestFit="1" customWidth="1"/>
    <col min="7" max="7" width="23.109375" customWidth="1"/>
    <col min="8" max="8" width="9.33203125" customWidth="1"/>
    <col min="9" max="9" width="8.88671875" customWidth="1"/>
    <col min="10" max="10" width="18.44140625" hidden="1" customWidth="1" outlineLevel="1"/>
    <col min="11" max="11" width="14.44140625" customWidth="1" collapsed="1"/>
    <col min="12" max="12" width="10.6640625" customWidth="1"/>
    <col min="13" max="13" width="11" hidden="1" customWidth="1" outlineLevel="1"/>
    <col min="14" max="14" width="19.33203125" hidden="1" customWidth="1" outlineLevel="1"/>
    <col min="15" max="15" width="13.6640625" customWidth="1" collapsed="1"/>
    <col min="16" max="16" width="8.33203125" customWidth="1"/>
    <col min="17" max="17" width="10.6640625" hidden="1" customWidth="1" outlineLevel="1"/>
    <col min="18" max="23" width="8.88671875" hidden="1" customWidth="1" outlineLevel="1"/>
    <col min="24" max="24" width="8.88671875" collapsed="1"/>
  </cols>
  <sheetData>
    <row r="1" spans="1:26">
      <c r="A1" t="str" cm="1">
        <f t="array" aca="1" ref="A1" ca="1">MID(CELL("filename",$A$1),FIND("]",CELL("filename",$A$1))+1,31)</f>
        <v>bank</v>
      </c>
      <c r="C1" s="27" t="s">
        <v>62</v>
      </c>
      <c r="D1" s="17" t="str" cm="1">
        <f t="array" ref="D1">_xlfn.XLOOKUP(C1,language[code],_xlfn.XLOOKUP(C1,language[#Headers],language[]))</f>
        <v>English</v>
      </c>
      <c r="J1" s="9"/>
      <c r="N1" s="9"/>
      <c r="Y1" s="7"/>
      <c r="Z1" t="s">
        <v>13</v>
      </c>
    </row>
    <row r="2" spans="1:26" ht="60.6" customHeight="1">
      <c r="A2" s="15" t="str" cm="1">
        <f t="array" aca="1" ref="A2" ca="1">_xlfn.XLOOKUP($A$1,table_summary[table_name],
_xlfn.XLOOKUP($C$1,table_summary[#Headers],table_summary[])
)</f>
        <v>Settlement &amp; Fund Transfer</v>
      </c>
      <c r="G2" s="15" t="str" cm="1">
        <f t="array" aca="1" ref="G2" ca="1">_xlfn.XLOOKUP($A$1,table_summary[table_name],
_xlfn.XLOOKUP($C$1,table_summary[#Headers],table_summary[])
)</f>
        <v>Settlement &amp; Fund Transfer</v>
      </c>
      <c r="J2" s="9"/>
      <c r="N2" s="9"/>
      <c r="Y2" s="3"/>
      <c r="Z2" t="s">
        <v>14</v>
      </c>
    </row>
    <row r="3" spans="1:26">
      <c r="J3" s="9"/>
      <c r="N3" s="9"/>
      <c r="Y3" s="8"/>
      <c r="Z3" t="s">
        <v>19</v>
      </c>
    </row>
    <row r="4" spans="1:26">
      <c r="F4" s="9"/>
      <c r="G4" s="10" t="s">
        <v>52</v>
      </c>
      <c r="J4" s="9"/>
      <c r="K4" s="43" t="s">
        <v>53</v>
      </c>
      <c r="N4" s="9"/>
      <c r="O4" s="43" t="s">
        <v>54</v>
      </c>
      <c r="P4" s="50"/>
    </row>
    <row r="5" spans="1:26" s="16" customFormat="1">
      <c r="F5" s="28"/>
      <c r="J5" s="28"/>
      <c r="K5" s="44"/>
      <c r="N5" s="28"/>
      <c r="O5" s="44"/>
      <c r="P5" s="51"/>
    </row>
    <row r="6" spans="1:26" s="16" customFormat="1" ht="43.2">
      <c r="C6" s="17" t="str" cm="1">
        <f t="array" ref="C6">_xlfn.XLOOKUP(C7,field_list[field_name],
_xlfn.XLOOKUP($C$1,field_list[#Headers],field_list[]))</f>
        <v>Reference</v>
      </c>
      <c r="D6" s="17" t="str" cm="1">
        <f t="array" ref="D6">_xlfn.XLOOKUP(D7,field_list[field_name],
_xlfn.XLOOKUP($C$1,field_list[#Headers],field_list[]))</f>
        <v>Transaction Type</v>
      </c>
      <c r="E6" s="17" t="str" cm="1">
        <f t="array" ref="E6">_xlfn.XLOOKUP(E7,field_list[field_name],
_xlfn.XLOOKUP($C$1,field_list[#Headers],field_list[]))</f>
        <v>Transaction Type Code</v>
      </c>
      <c r="F6" s="33" t="str" cm="1">
        <f t="array" ref="F6">_xlfn.XLOOKUP(F7,field_list[field_name],
_xlfn.XLOOKUP($C$1,field_list[#Headers],field_list[]))</f>
        <v>Bank (Withdrawal)</v>
      </c>
      <c r="G6" s="17" t="str" cm="1">
        <f t="array" ref="G6">_xlfn.XLOOKUP(G7,field_list[field_name],
_xlfn.XLOOKUP($C$1,field_list[#Headers],field_list[]))</f>
        <v>Amount （Withdrawal)</v>
      </c>
      <c r="H6" s="17" t="str" cm="1">
        <f t="array" ref="H6">_xlfn.XLOOKUP(H7,field_list[field_name],
_xlfn.XLOOKUP($C$1,field_list[#Headers],field_list[]))</f>
        <v>Bank (Deposit)</v>
      </c>
      <c r="I6" s="17" t="str" cm="1">
        <f t="array" ref="I6">_xlfn.XLOOKUP(I7,field_list[field_name],
_xlfn.XLOOKUP($C$1,field_list[#Headers],field_list[]))</f>
        <v>Amount (Deposit)</v>
      </c>
      <c r="J6" s="33" t="str" cm="1">
        <f t="array" ref="J6">_xlfn.XLOOKUP(J7,field_list[field_name],
_xlfn.XLOOKUP($C$1,field_list[#Headers],field_list[]))</f>
        <v>-</v>
      </c>
      <c r="K6" s="45" t="str" cm="1">
        <f t="array" ref="K6">_xlfn.XLOOKUP(K7,field_list[field_name],
_xlfn.XLOOKUP($C$1,field_list[#Headers],field_list[]))</f>
        <v>Invoice Number (Vendor)</v>
      </c>
      <c r="L6" s="17" t="str" cm="1">
        <f t="array" ref="L6">_xlfn.XLOOKUP(L7,field_list[field_name],
_xlfn.XLOOKUP($C$1,field_list[#Headers],field_list[]))</f>
        <v>Amount (Payment)</v>
      </c>
      <c r="M6" s="17" t="str" cm="1">
        <f t="array" ref="M6">_xlfn.XLOOKUP(M7,field_list[field_name],
_xlfn.XLOOKUP($C$1,field_list[#Headers],field_list[]))</f>
        <v>-</v>
      </c>
      <c r="N6" s="33" t="str" cm="1">
        <f t="array" ref="N6">_xlfn.XLOOKUP(N7,field_list[field_name],
_xlfn.XLOOKUP($C$1,field_list[#Headers],field_list[]))</f>
        <v>-</v>
      </c>
      <c r="O6" s="45" t="str" cm="1">
        <f t="array" ref="O6">_xlfn.XLOOKUP(O7,field_list[field_name],
_xlfn.XLOOKUP($C$1,field_list[#Headers],field_list[]))</f>
        <v>Invoice Number (Customer)</v>
      </c>
      <c r="P6" s="52" t="str" cm="1">
        <f t="array" ref="P6">_xlfn.XLOOKUP(P7,field_list[field_name],
_xlfn.XLOOKUP($C$1,field_list[#Headers],field_list[]))</f>
        <v>Amount(Receipt)</v>
      </c>
      <c r="Q6" s="17" t="str" cm="1">
        <f t="array" ref="Q6">_xlfn.XLOOKUP(Q7,field_list[field_name],
_xlfn.XLOOKUP($C$1,field_list[#Headers],field_list[]))</f>
        <v>-</v>
      </c>
    </row>
    <row r="7" spans="1:26" ht="28.8" customHeight="1" outlineLevel="1">
      <c r="C7" s="13" t="s">
        <v>0</v>
      </c>
      <c r="D7" s="13" t="s">
        <v>36</v>
      </c>
      <c r="E7" s="13" t="s">
        <v>37</v>
      </c>
      <c r="F7" s="14" t="s">
        <v>41</v>
      </c>
      <c r="G7" s="13" t="s">
        <v>42</v>
      </c>
      <c r="H7" s="13" t="s">
        <v>43</v>
      </c>
      <c r="I7" s="13" t="s">
        <v>44</v>
      </c>
      <c r="J7" s="14" t="s">
        <v>55</v>
      </c>
      <c r="K7" s="46" t="s">
        <v>45</v>
      </c>
      <c r="L7" s="13" t="s">
        <v>46</v>
      </c>
      <c r="M7" s="13" t="s">
        <v>59</v>
      </c>
      <c r="N7" s="14" t="s">
        <v>56</v>
      </c>
      <c r="O7" s="46" t="s">
        <v>47</v>
      </c>
      <c r="P7" s="53" t="s">
        <v>48</v>
      </c>
      <c r="Q7" s="13" t="s">
        <v>60</v>
      </c>
      <c r="R7" s="13" t="s">
        <v>148</v>
      </c>
      <c r="S7" s="13" t="s">
        <v>149</v>
      </c>
      <c r="T7" s="13" t="s">
        <v>150</v>
      </c>
      <c r="U7" s="13" t="s">
        <v>151</v>
      </c>
      <c r="V7" s="13" t="s">
        <v>152</v>
      </c>
      <c r="W7" s="13" t="s">
        <v>153</v>
      </c>
    </row>
    <row r="8" spans="1:26" ht="21">
      <c r="A8" s="23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t="str">
        <f>"bank"&amp;ROWS($C$8:C8)</f>
        <v>bank1</v>
      </c>
      <c r="D8" s="2" t="s">
        <v>38</v>
      </c>
      <c r="E8" s="38" t="str">
        <f>IF(cash_transactions[[#This Row],[trans_type]]="","-",LEFT(cash_transactions[[#This Row],[trans_type]],1))</f>
        <v>w</v>
      </c>
      <c r="F8" s="9" t="s">
        <v>49</v>
      </c>
      <c r="G8">
        <v>100</v>
      </c>
      <c r="H8" t="s">
        <v>50</v>
      </c>
      <c r="I8">
        <f>IF(LEN(cash_transactions[[#This Row],[withdrawn_amt]])&gt;0,cash_transactions[[#This Row],[withdrawn_amt]],"-")</f>
        <v>100</v>
      </c>
      <c r="J8" s="12" t="str">
        <f>IF(cash_transactions[[#This Row],[trans_type_code]]="p","vendor_invoice[ref]","-")</f>
        <v>-</v>
      </c>
      <c r="K8" s="47"/>
      <c r="M8" s="12">
        <f>IF(AND(cash_transactions[[#This Row],[pay_amt]]&gt;0,ISNUMBER(cash_transactions[[#This Row],[pay_amt]]),cash_transactions[[#This Row],[vendor_inv_array]]&lt;&gt;"-"),1,0)</f>
        <v>0</v>
      </c>
      <c r="N8" s="12" t="str">
        <f>IF(cash_transactions[[#This Row],[trans_type_code]]="r","customer_invoice[ref]","-")</f>
        <v>-</v>
      </c>
      <c r="O8" s="47"/>
      <c r="P8" s="50"/>
      <c r="Q8" s="48">
        <f>IF(AND(cash_transactions[[#This Row],[receipt_amt]]&gt;0,ISNUMBER(cash_transactions[[#This Row],[receipt_amt]]),cash_transactions[[#This Row],[cust_inv_array]]&lt;&gt;"-"),1,0)</f>
        <v>0</v>
      </c>
      <c r="R8" s="4"/>
      <c r="S8" s="4"/>
      <c r="T8" s="4">
        <f>IF(cash_transactions[[#This Row],[trans_type_code]]="p",cash_transactions[[#This Row],[pay_amt]],0)</f>
        <v>0</v>
      </c>
      <c r="U8" s="4">
        <f>IF(cash_transactions[[#This Row],[trans_type_code]]="r",-cash_transactions[[#This Row],[receipt_amt]],0)</f>
        <v>0</v>
      </c>
      <c r="V8" s="40">
        <f>IF(cash_transactions[[#This Row],[trans_type_code]]="w",cash_transactions[[#This Row],[deposit_amt]],
IF(cash_transactions[[#This Row],[trans_type_code]]="r",cash_transactions[[#This Row],[receipt_amt]],
0))</f>
        <v>100</v>
      </c>
      <c r="W8" s="40">
        <f>IF(cash_transactions[[#This Row],[trans_type_code]]="w",-cash_transactions[[#This Row],[withdrawn_amt]],
IF(cash_transactions[[#This Row],[trans_type_code]]="p",-cash_transactions[[#This Row],[pay_amt]],
0))</f>
        <v>-100</v>
      </c>
    </row>
    <row r="9" spans="1:26" ht="21">
      <c r="A9" s="23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 t="str">
        <f>"bank"&amp;ROWS($C$8:C9)</f>
        <v>bank2</v>
      </c>
      <c r="D9" s="2" t="s">
        <v>38</v>
      </c>
      <c r="E9" s="38" t="str">
        <f>IF(cash_transactions[[#This Row],[trans_type]]="","-",LEFT(cash_transactions[[#This Row],[trans_type]],1))</f>
        <v>w</v>
      </c>
      <c r="F9" s="9" t="s">
        <v>50</v>
      </c>
      <c r="G9">
        <v>200</v>
      </c>
      <c r="H9" t="s">
        <v>51</v>
      </c>
      <c r="I9">
        <f>IF(LEN(cash_transactions[[#This Row],[withdrawn_amt]])&gt;0,cash_transactions[[#This Row],[withdrawn_amt]],"-")</f>
        <v>200</v>
      </c>
      <c r="J9" s="12" t="str">
        <f>IF(cash_transactions[[#This Row],[trans_type_code]]="p","vendor_invoice[ref]","-")</f>
        <v>-</v>
      </c>
      <c r="K9" s="47"/>
      <c r="M9" s="12">
        <f>IF(AND(cash_transactions[[#This Row],[pay_amt]]&gt;0,ISNUMBER(cash_transactions[[#This Row],[pay_amt]]),cash_transactions[[#This Row],[vendor_inv_array]]&lt;&gt;"-"),1,0)</f>
        <v>0</v>
      </c>
      <c r="N9" s="12" t="str">
        <f>IF(cash_transactions[[#This Row],[trans_type_code]]="r","customer_invoice[ref]","-")</f>
        <v>-</v>
      </c>
      <c r="O9" s="47"/>
      <c r="P9" s="50"/>
      <c r="Q9" s="48">
        <f>IF(AND(cash_transactions[[#This Row],[receipt_amt]]&gt;0,ISNUMBER(cash_transactions[[#This Row],[receipt_amt]]),cash_transactions[[#This Row],[cust_inv_array]]&lt;&gt;"-"),1,0)</f>
        <v>0</v>
      </c>
      <c r="R9" s="4"/>
      <c r="S9" s="4"/>
      <c r="T9" s="4">
        <f>IF(cash_transactions[[#This Row],[trans_type_code]]="p",cash_transactions[[#This Row],[pay_amt]],0)</f>
        <v>0</v>
      </c>
      <c r="U9" s="4">
        <f>IF(cash_transactions[[#This Row],[trans_type_code]]="r",-cash_transactions[[#This Row],[receipt_amt]],0)</f>
        <v>0</v>
      </c>
      <c r="V9" s="40">
        <f>IF(cash_transactions[[#This Row],[trans_type_code]]="w",cash_transactions[[#This Row],[deposit_amt]],
IF(cash_transactions[[#This Row],[trans_type_code]]="r",cash_transactions[[#This Row],[receipt_amt]],
0))</f>
        <v>200</v>
      </c>
      <c r="W9" s="40">
        <f>IF(cash_transactions[[#This Row],[trans_type_code]]="w",-cash_transactions[[#This Row],[withdrawn_amt]],
IF(cash_transactions[[#This Row],[trans_type_code]]="p",-cash_transactions[[#This Row],[pay_amt]],
0))</f>
        <v>-200</v>
      </c>
    </row>
    <row r="10" spans="1:26" ht="42">
      <c r="A10" s="23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 t="str">
        <f>"bank"&amp;ROWS($C$8:C10)</f>
        <v>bank3</v>
      </c>
      <c r="D10" s="2" t="s">
        <v>39</v>
      </c>
      <c r="E10" s="38" t="str">
        <f>IF(cash_transactions[[#This Row],[trans_type]]="","-",LEFT(cash_transactions[[#This Row],[trans_type]],1))</f>
        <v>p</v>
      </c>
      <c r="F10" s="9"/>
      <c r="I10" t="str">
        <f>IF(LEN(cash_transactions[[#This Row],[withdrawn_amt]])&gt;0,cash_transactions[[#This Row],[withdrawn_amt]],"-")</f>
        <v>-</v>
      </c>
      <c r="J10" s="12" t="str">
        <f>IF(cash_transactions[[#This Row],[trans_type_code]]="p","vendor_invoice[ref]","-")</f>
        <v>vendor_invoice[ref]</v>
      </c>
      <c r="K10" s="47" t="s">
        <v>57</v>
      </c>
      <c r="L10">
        <v>16</v>
      </c>
      <c r="M10" s="12">
        <f>IF(AND(cash_transactions[[#This Row],[pay_amt]]&gt;0,ISNUMBER(cash_transactions[[#This Row],[pay_amt]]),cash_transactions[[#This Row],[vendor_inv_array]]&lt;&gt;"-"),1,0)</f>
        <v>1</v>
      </c>
      <c r="N10" s="12" t="str">
        <f>IF(cash_transactions[[#This Row],[trans_type_code]]="r","customer_invoice[ref]","-")</f>
        <v>-</v>
      </c>
      <c r="O10" s="47"/>
      <c r="P10" s="50"/>
      <c r="Q10" s="48">
        <f>IF(AND(cash_transactions[[#This Row],[receipt_amt]]&gt;0,ISNUMBER(cash_transactions[[#This Row],[receipt_amt]]),cash_transactions[[#This Row],[cust_inv_array]]&lt;&gt;"-"),1,0)</f>
        <v>0</v>
      </c>
      <c r="R10" s="4"/>
      <c r="S10" s="4"/>
      <c r="T10" s="4">
        <f>IF(cash_transactions[[#This Row],[trans_type_code]]="p",cash_transactions[[#This Row],[pay_amt]],0)</f>
        <v>16</v>
      </c>
      <c r="U10" s="4">
        <f>IF(cash_transactions[[#This Row],[trans_type_code]]="r",-cash_transactions[[#This Row],[receipt_amt]],0)</f>
        <v>0</v>
      </c>
      <c r="V10" s="40">
        <f>IF(cash_transactions[[#This Row],[trans_type_code]]="w",cash_transactions[[#This Row],[deposit_amt]],
IF(cash_transactions[[#This Row],[trans_type_code]]="r",cash_transactions[[#This Row],[receipt_amt]],
0))</f>
        <v>0</v>
      </c>
      <c r="W10" s="40">
        <f>IF(cash_transactions[[#This Row],[trans_type_code]]="w",-cash_transactions[[#This Row],[withdrawn_amt]],
IF(cash_transactions[[#This Row],[trans_type_code]]="p",-cash_transactions[[#This Row],[pay_amt]],
0))</f>
        <v>-16</v>
      </c>
    </row>
    <row r="11" spans="1:26" ht="42">
      <c r="A11" s="23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C11" t="str">
        <f>"bank"&amp;ROWS($C$8:C11)</f>
        <v>bank4</v>
      </c>
      <c r="D11" s="2" t="s">
        <v>40</v>
      </c>
      <c r="E11" s="38" t="str">
        <f>IF(cash_transactions[[#This Row],[trans_type]]="","-",LEFT(cash_transactions[[#This Row],[trans_type]],1))</f>
        <v>r</v>
      </c>
      <c r="F11" s="9"/>
      <c r="I11" t="str">
        <f>IF(LEN(cash_transactions[[#This Row],[withdrawn_amt]])&gt;0,cash_transactions[[#This Row],[withdrawn_amt]],"-")</f>
        <v>-</v>
      </c>
      <c r="J11" s="12" t="str">
        <f>IF(cash_transactions[[#This Row],[trans_type_code]]="p","vendor_invoice[ref]","-")</f>
        <v>-</v>
      </c>
      <c r="K11" s="47"/>
      <c r="M11" s="12">
        <f>IF(AND(cash_transactions[[#This Row],[pay_amt]]&gt;0,ISNUMBER(cash_transactions[[#This Row],[pay_amt]]),cash_transactions[[#This Row],[vendor_inv_array]]&lt;&gt;"-"),1,0)</f>
        <v>0</v>
      </c>
      <c r="N11" s="12" t="str">
        <f>IF(cash_transactions[[#This Row],[trans_type_code]]="r","customer_invoice[ref]","-")</f>
        <v>customer_invoice[ref]</v>
      </c>
      <c r="O11" s="47" t="s">
        <v>61</v>
      </c>
      <c r="P11" s="50">
        <v>18</v>
      </c>
      <c r="Q11" s="48">
        <f>IF(AND(cash_transactions[[#This Row],[receipt_amt]]&gt;0,ISNUMBER(cash_transactions[[#This Row],[receipt_amt]]),cash_transactions[[#This Row],[cust_inv_array]]&lt;&gt;"-"),1,0)</f>
        <v>1</v>
      </c>
      <c r="R11" s="4"/>
      <c r="S11" s="4"/>
      <c r="T11" s="4">
        <f>IF(cash_transactions[[#This Row],[trans_type_code]]="p",cash_transactions[[#This Row],[pay_amt]],0)</f>
        <v>0</v>
      </c>
      <c r="U11" s="4">
        <f>IF(cash_transactions[[#This Row],[trans_type_code]]="r",-cash_transactions[[#This Row],[receipt_amt]],0)</f>
        <v>-18</v>
      </c>
      <c r="V11" s="40">
        <f>IF(cash_transactions[[#This Row],[trans_type_code]]="w",cash_transactions[[#This Row],[deposit_amt]],
IF(cash_transactions[[#This Row],[trans_type_code]]="r",cash_transactions[[#This Row],[receipt_amt]],
0))</f>
        <v>18</v>
      </c>
      <c r="W11" s="40">
        <f>IF(cash_transactions[[#This Row],[trans_type_code]]="w",-cash_transactions[[#This Row],[withdrawn_amt]],
IF(cash_transactions[[#This Row],[trans_type_code]]="p",-cash_transactions[[#This Row],[pay_amt]],
0))</f>
        <v>0</v>
      </c>
    </row>
    <row r="12" spans="1:26" ht="42">
      <c r="A12" s="23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t="str">
        <f>"bank"&amp;ROWS($C$8:C12)</f>
        <v>bank5</v>
      </c>
      <c r="D12" s="2" t="s">
        <v>39</v>
      </c>
      <c r="E12" s="38" t="str">
        <f>IF(cash_transactions[[#This Row],[trans_type]]="","-",LEFT(cash_transactions[[#This Row],[trans_type]],1))</f>
        <v>p</v>
      </c>
      <c r="F12" s="9"/>
      <c r="I12" t="str">
        <f>IF(LEN(cash_transactions[[#This Row],[withdrawn_amt]])&gt;0,cash_transactions[[#This Row],[withdrawn_amt]],"-")</f>
        <v>-</v>
      </c>
      <c r="J12" s="12" t="str">
        <f>IF(cash_transactions[[#This Row],[trans_type_code]]="p","vendor_invoice[ref]","-")</f>
        <v>vendor_invoice[ref]</v>
      </c>
      <c r="K12" s="47" t="s">
        <v>58</v>
      </c>
      <c r="L12">
        <v>17</v>
      </c>
      <c r="M12" s="12">
        <f>IF(AND(cash_transactions[[#This Row],[pay_amt]]&gt;0,ISNUMBER(cash_transactions[[#This Row],[pay_amt]]),cash_transactions[[#This Row],[vendor_inv_array]]&lt;&gt;"-"),1,0)</f>
        <v>1</v>
      </c>
      <c r="N12" s="12" t="str">
        <f>IF(cash_transactions[[#This Row],[trans_type_code]]="r","customer_invoice[ref]","-")</f>
        <v>-</v>
      </c>
      <c r="O12" s="47"/>
      <c r="P12" s="50"/>
      <c r="Q12" s="48">
        <f>IF(AND(cash_transactions[[#This Row],[receipt_amt]]&gt;0,ISNUMBER(cash_transactions[[#This Row],[receipt_amt]]),cash_transactions[[#This Row],[cust_inv_array]]&lt;&gt;"-"),1,0)</f>
        <v>0</v>
      </c>
      <c r="R12" s="4"/>
      <c r="S12" s="4"/>
      <c r="T12" s="4">
        <f>IF(cash_transactions[[#This Row],[trans_type_code]]="p",cash_transactions[[#This Row],[pay_amt]],0)</f>
        <v>17</v>
      </c>
      <c r="U12" s="4">
        <f>IF(cash_transactions[[#This Row],[trans_type_code]]="r",-cash_transactions[[#This Row],[receipt_amt]],0)</f>
        <v>0</v>
      </c>
      <c r="V12" s="40">
        <f>IF(cash_transactions[[#This Row],[trans_type_code]]="w",cash_transactions[[#This Row],[deposit_amt]],
IF(cash_transactions[[#This Row],[trans_type_code]]="r",cash_transactions[[#This Row],[receipt_amt]],
0))</f>
        <v>0</v>
      </c>
      <c r="W12" s="40">
        <f>IF(cash_transactions[[#This Row],[trans_type_code]]="w",-cash_transactions[[#This Row],[withdrawn_amt]],
IF(cash_transactions[[#This Row],[trans_type_code]]="p",-cash_transactions[[#This Row],[pay_amt]],
0))</f>
        <v>-17</v>
      </c>
    </row>
    <row r="13" spans="1:26" ht="21">
      <c r="A13" s="23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t="str">
        <f>"bank"&amp;ROWS($C$8:C13)</f>
        <v>bank6</v>
      </c>
      <c r="D13" s="2"/>
      <c r="E13" s="38" t="str">
        <f>IF(cash_transactions[[#This Row],[trans_type]]="","-",LEFT(cash_transactions[[#This Row],[trans_type]],1))</f>
        <v>-</v>
      </c>
      <c r="F13" s="35"/>
      <c r="G13" s="36"/>
      <c r="I13" s="36" t="str">
        <f>IF(LEN(cash_transactions[[#This Row],[withdrawn_amt]])&gt;0,cash_transactions[[#This Row],[withdrawn_amt]],"-")</f>
        <v>-</v>
      </c>
      <c r="J13" s="37" t="str">
        <f>IF(cash_transactions[[#This Row],[trans_type_code]]="p","vendor_invoice[ref]","-")</f>
        <v>-</v>
      </c>
      <c r="K13" s="47"/>
      <c r="M13" s="37">
        <f>IF(AND(cash_transactions[[#This Row],[pay_amt]]&gt;0,ISNUMBER(cash_transactions[[#This Row],[pay_amt]]),cash_transactions[[#This Row],[vendor_inv_array]]&lt;&gt;"-"),1,0)</f>
        <v>0</v>
      </c>
      <c r="N13" s="37" t="str">
        <f>IF(cash_transactions[[#This Row],[trans_type_code]]="r","customer_invoice[ref]","-")</f>
        <v>-</v>
      </c>
      <c r="O13" s="47"/>
      <c r="P13" s="50"/>
      <c r="Q13" s="49">
        <f>IF(AND(cash_transactions[[#This Row],[receipt_amt]]&gt;0,ISNUMBER(cash_transactions[[#This Row],[receipt_amt]]),cash_transactions[[#This Row],[cust_inv_array]]&lt;&gt;"-"),1,0)</f>
        <v>0</v>
      </c>
      <c r="R13" s="4"/>
      <c r="S13" s="4"/>
      <c r="T13" s="4">
        <f>IF(cash_transactions[[#This Row],[trans_type_code]]="p",cash_transactions[[#This Row],[pay_amt]],0)</f>
        <v>0</v>
      </c>
      <c r="U13" s="4">
        <f>IF(cash_transactions[[#This Row],[trans_type_code]]="r",-cash_transactions[[#This Row],[receipt_amt]],0)</f>
        <v>0</v>
      </c>
      <c r="V13" s="40">
        <f>IF(cash_transactions[[#This Row],[trans_type_code]]="w",cash_transactions[[#This Row],[deposit_amt]],
IF(cash_transactions[[#This Row],[trans_type_code]]="r",cash_transactions[[#This Row],[receipt_amt]],
0))</f>
        <v>0</v>
      </c>
      <c r="W13" s="40">
        <f>IF(cash_transactions[[#This Row],[trans_type_code]]="w",-cash_transactions[[#This Row],[withdrawn_amt]],
IF(cash_transactions[[#This Row],[trans_type_code]]="p",-cash_transactions[[#This Row],[pay_amt]],
0))</f>
        <v>0</v>
      </c>
    </row>
    <row r="14" spans="1:26" ht="42">
      <c r="A14" s="23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t="str">
        <f>"bank"&amp;ROWS($C$8:C14)</f>
        <v>bank7</v>
      </c>
      <c r="D14" s="2"/>
      <c r="E14" s="34" t="str">
        <f>IF(cash_transactions[[#This Row],[trans_type]]="","-",LEFT(cash_transactions[[#This Row],[trans_type]],1))</f>
        <v>-</v>
      </c>
      <c r="F14" s="35"/>
      <c r="G14" s="36"/>
      <c r="I14" s="36" t="str">
        <f>IF(LEN(cash_transactions[[#This Row],[withdrawn_amt]])&gt;0,cash_transactions[[#This Row],[withdrawn_amt]],"-")</f>
        <v>-</v>
      </c>
      <c r="J14" s="37" t="str">
        <f>IF(cash_transactions[[#This Row],[trans_type_code]]="p","vendor_invoice[ref]","-")</f>
        <v>-</v>
      </c>
      <c r="K14" s="47"/>
      <c r="M14" s="37">
        <f>IF(AND(cash_transactions[[#This Row],[pay_amt]]&gt;0,ISNUMBER(cash_transactions[[#This Row],[pay_amt]]),cash_transactions[[#This Row],[vendor_inv_array]]&lt;&gt;"-"),1,0)</f>
        <v>0</v>
      </c>
      <c r="N14" s="37" t="str">
        <f>IF(cash_transactions[[#This Row],[trans_type_code]]="r","customer_invoice[ref]","-")</f>
        <v>-</v>
      </c>
      <c r="O14" s="47"/>
      <c r="P14" s="50"/>
      <c r="Q14" s="49">
        <f>IF(AND(cash_transactions[[#This Row],[receipt_amt]]&gt;0,ISNUMBER(cash_transactions[[#This Row],[receipt_amt]]),cash_transactions[[#This Row],[cust_inv_array]]&lt;&gt;"-"),1,0)</f>
        <v>0</v>
      </c>
      <c r="R14" s="4"/>
      <c r="S14" s="4"/>
      <c r="T14" s="4">
        <f>IF(cash_transactions[[#This Row],[trans_type_code]]="p",cash_transactions[[#This Row],[pay_amt]],0)</f>
        <v>0</v>
      </c>
      <c r="U14" s="4">
        <f>IF(cash_transactions[[#This Row],[trans_type_code]]="r",-cash_transactions[[#This Row],[receipt_amt]],0)</f>
        <v>0</v>
      </c>
      <c r="V14" s="40">
        <f>IF(cash_transactions[[#This Row],[trans_type_code]]="w",cash_transactions[[#This Row],[deposit_amt]],
IF(cash_transactions[[#This Row],[trans_type_code]]="r",cash_transactions[[#This Row],[receipt_amt]],
0))</f>
        <v>0</v>
      </c>
      <c r="W14" s="40">
        <f>IF(cash_transactions[[#This Row],[trans_type_code]]="w",-cash_transactions[[#This Row],[withdrawn_amt]],
IF(cash_transactions[[#This Row],[trans_type_code]]="p",-cash_transactions[[#This Row],[pay_amt]],
0))</f>
        <v>0</v>
      </c>
    </row>
    <row r="15" spans="1:26" ht="21">
      <c r="A15" s="23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t="str">
        <f>"bank"&amp;ROWS($C$8:C15)</f>
        <v>bank8</v>
      </c>
      <c r="D15" s="2"/>
      <c r="E15" s="34" t="str">
        <f>IF(cash_transactions[[#This Row],[trans_type]]="","-",LEFT(cash_transactions[[#This Row],[trans_type]],1))</f>
        <v>-</v>
      </c>
      <c r="F15" s="35"/>
      <c r="G15" s="36"/>
      <c r="I15" s="36" t="str">
        <f>IF(LEN(cash_transactions[[#This Row],[withdrawn_amt]])&gt;0,cash_transactions[[#This Row],[withdrawn_amt]],"-")</f>
        <v>-</v>
      </c>
      <c r="J15" s="37" t="str">
        <f>IF(cash_transactions[[#This Row],[trans_type_code]]="p","vendor_invoice[ref]","-")</f>
        <v>-</v>
      </c>
      <c r="K15" s="47"/>
      <c r="M15" s="37">
        <f>IF(AND(cash_transactions[[#This Row],[pay_amt]]&gt;0,ISNUMBER(cash_transactions[[#This Row],[pay_amt]]),cash_transactions[[#This Row],[vendor_inv_array]]&lt;&gt;"-"),1,0)</f>
        <v>0</v>
      </c>
      <c r="N15" s="37" t="str">
        <f>IF(cash_transactions[[#This Row],[trans_type_code]]="r","customer_invoice[ref]","-")</f>
        <v>-</v>
      </c>
      <c r="O15" s="47"/>
      <c r="P15" s="50"/>
      <c r="Q15" s="49">
        <f>IF(AND(cash_transactions[[#This Row],[receipt_amt]]&gt;0,ISNUMBER(cash_transactions[[#This Row],[receipt_amt]]),cash_transactions[[#This Row],[cust_inv_array]]&lt;&gt;"-"),1,0)</f>
        <v>0</v>
      </c>
      <c r="R15" s="4"/>
      <c r="S15" s="4"/>
      <c r="T15" s="4">
        <f>IF(cash_transactions[[#This Row],[trans_type_code]]="p",cash_transactions[[#This Row],[pay_amt]],0)</f>
        <v>0</v>
      </c>
      <c r="U15" s="4">
        <f>IF(cash_transactions[[#This Row],[trans_type_code]]="r",-cash_transactions[[#This Row],[receipt_amt]],0)</f>
        <v>0</v>
      </c>
      <c r="V15" s="40">
        <f>IF(cash_transactions[[#This Row],[trans_type_code]]="w",cash_transactions[[#This Row],[deposit_amt]],
IF(cash_transactions[[#This Row],[trans_type_code]]="r",cash_transactions[[#This Row],[receipt_amt]],
0))</f>
        <v>0</v>
      </c>
      <c r="W15" s="40">
        <f>IF(cash_transactions[[#This Row],[trans_type_code]]="w",-cash_transactions[[#This Row],[withdrawn_amt]],
IF(cash_transactions[[#This Row],[trans_type_code]]="p",-cash_transactions[[#This Row],[pay_amt]],
0))</f>
        <v>0</v>
      </c>
    </row>
    <row r="16" spans="1:26" ht="42">
      <c r="A16" s="23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t="str">
        <f>"bank"&amp;ROWS($C$8:C16)</f>
        <v>bank9</v>
      </c>
      <c r="D16" s="2"/>
      <c r="E16" s="34" t="str">
        <f>IF(cash_transactions[[#This Row],[trans_type]]="","-",LEFT(cash_transactions[[#This Row],[trans_type]],1))</f>
        <v>-</v>
      </c>
      <c r="F16" s="35"/>
      <c r="G16" s="36"/>
      <c r="I16" s="36" t="str">
        <f>IF(LEN(cash_transactions[[#This Row],[withdrawn_amt]])&gt;0,cash_transactions[[#This Row],[withdrawn_amt]],"-")</f>
        <v>-</v>
      </c>
      <c r="J16" s="37" t="str">
        <f>IF(cash_transactions[[#This Row],[trans_type_code]]="p","vendor_invoice[ref]","-")</f>
        <v>-</v>
      </c>
      <c r="K16" s="47"/>
      <c r="M16" s="37">
        <f>IF(AND(cash_transactions[[#This Row],[pay_amt]]&gt;0,ISNUMBER(cash_transactions[[#This Row],[pay_amt]]),cash_transactions[[#This Row],[vendor_inv_array]]&lt;&gt;"-"),1,0)</f>
        <v>0</v>
      </c>
      <c r="N16" s="37" t="str">
        <f>IF(cash_transactions[[#This Row],[trans_type_code]]="r","customer_invoice[ref]","-")</f>
        <v>-</v>
      </c>
      <c r="O16" s="47"/>
      <c r="P16" s="50"/>
      <c r="Q16" s="49">
        <f>IF(AND(cash_transactions[[#This Row],[receipt_amt]]&gt;0,ISNUMBER(cash_transactions[[#This Row],[receipt_amt]]),cash_transactions[[#This Row],[cust_inv_array]]&lt;&gt;"-"),1,0)</f>
        <v>0</v>
      </c>
      <c r="R16" s="4"/>
      <c r="S16" s="4"/>
      <c r="T16" s="4">
        <f>IF(cash_transactions[[#This Row],[trans_type_code]]="p",cash_transactions[[#This Row],[pay_amt]],0)</f>
        <v>0</v>
      </c>
      <c r="U16" s="4">
        <f>IF(cash_transactions[[#This Row],[trans_type_code]]="r",-cash_transactions[[#This Row],[receipt_amt]],0)</f>
        <v>0</v>
      </c>
      <c r="V16" s="40">
        <f>IF(cash_transactions[[#This Row],[trans_type_code]]="w",cash_transactions[[#This Row],[deposit_amt]],
IF(cash_transactions[[#This Row],[trans_type_code]]="r",cash_transactions[[#This Row],[receipt_amt]],
0))</f>
        <v>0</v>
      </c>
      <c r="W16" s="40">
        <f>IF(cash_transactions[[#This Row],[trans_type_code]]="w",-cash_transactions[[#This Row],[withdrawn_amt]],
IF(cash_transactions[[#This Row],[trans_type_code]]="p",-cash_transactions[[#This Row],[pay_amt]],
0))</f>
        <v>0</v>
      </c>
    </row>
    <row r="17" spans="1:23" ht="21">
      <c r="A17" s="23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  <c r="C17" t="str">
        <f>"bank"&amp;ROWS($C$8:C17)</f>
        <v>bank10</v>
      </c>
      <c r="D17" s="2"/>
      <c r="E17" s="34" t="str">
        <f>IF(cash_transactions[[#This Row],[trans_type]]="","-",LEFT(cash_transactions[[#This Row],[trans_type]],1))</f>
        <v>-</v>
      </c>
      <c r="F17" s="35"/>
      <c r="G17" s="36"/>
      <c r="I17" s="36" t="str">
        <f>IF(LEN(cash_transactions[[#This Row],[withdrawn_amt]])&gt;0,cash_transactions[[#This Row],[withdrawn_amt]],"-")</f>
        <v>-</v>
      </c>
      <c r="J17" s="37" t="str">
        <f>IF(cash_transactions[[#This Row],[trans_type_code]]="p","vendor_invoice[ref]","-")</f>
        <v>-</v>
      </c>
      <c r="K17" s="47"/>
      <c r="M17" s="37">
        <f>IF(AND(cash_transactions[[#This Row],[pay_amt]]&gt;0,ISNUMBER(cash_transactions[[#This Row],[pay_amt]]),cash_transactions[[#This Row],[vendor_inv_array]]&lt;&gt;"-"),1,0)</f>
        <v>0</v>
      </c>
      <c r="N17" s="37" t="str">
        <f>IF(cash_transactions[[#This Row],[trans_type_code]]="r","customer_invoice[ref]","-")</f>
        <v>-</v>
      </c>
      <c r="O17" s="47"/>
      <c r="P17" s="50"/>
      <c r="Q17" s="49">
        <f>IF(AND(cash_transactions[[#This Row],[receipt_amt]]&gt;0,ISNUMBER(cash_transactions[[#This Row],[receipt_amt]]),cash_transactions[[#This Row],[cust_inv_array]]&lt;&gt;"-"),1,0)</f>
        <v>0</v>
      </c>
      <c r="R17" s="4"/>
      <c r="S17" s="4"/>
      <c r="T17" s="4">
        <f>IF(cash_transactions[[#This Row],[trans_type_code]]="p",cash_transactions[[#This Row],[pay_amt]],0)</f>
        <v>0</v>
      </c>
      <c r="U17" s="4">
        <f>IF(cash_transactions[[#This Row],[trans_type_code]]="r",-cash_transactions[[#This Row],[receipt_amt]],0)</f>
        <v>0</v>
      </c>
      <c r="V17" s="40">
        <f>IF(cash_transactions[[#This Row],[trans_type_code]]="w",cash_transactions[[#This Row],[deposit_amt]],
IF(cash_transactions[[#This Row],[trans_type_code]]="r",cash_transactions[[#This Row],[receipt_amt]],
0))</f>
        <v>0</v>
      </c>
      <c r="W17" s="40">
        <f>IF(cash_transactions[[#This Row],[trans_type_code]]="w",-cash_transactions[[#This Row],[withdrawn_amt]],
IF(cash_transactions[[#This Row],[trans_type_code]]="p",-cash_transactions[[#This Row],[pay_amt]],
0))</f>
        <v>0</v>
      </c>
    </row>
    <row r="18" spans="1:23" ht="21">
      <c r="A18" s="23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  <c r="F18" s="9"/>
      <c r="J18" s="9"/>
      <c r="K18" s="47"/>
      <c r="N18" s="9"/>
      <c r="O18" s="47"/>
      <c r="P18" s="50"/>
    </row>
    <row r="19" spans="1:23" ht="21">
      <c r="A19" s="23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  <c r="F19" s="9"/>
      <c r="J19" s="9"/>
      <c r="K19" s="47"/>
      <c r="N19" s="9"/>
      <c r="O19" s="47"/>
      <c r="P19" s="50"/>
    </row>
  </sheetData>
  <conditionalFormatting sqref="F8:F17">
    <cfRule type="expression" dxfId="26" priority="3">
      <formula>D8=""</formula>
    </cfRule>
    <cfRule type="expression" dxfId="25" priority="16">
      <formula>E8="w"</formula>
    </cfRule>
  </conditionalFormatting>
  <conditionalFormatting sqref="G8:G17">
    <cfRule type="expression" dxfId="24" priority="14">
      <formula>E8="w"</formula>
    </cfRule>
  </conditionalFormatting>
  <conditionalFormatting sqref="H8:H17">
    <cfRule type="expression" dxfId="23" priority="12">
      <formula>E8="w"</formula>
    </cfRule>
  </conditionalFormatting>
  <conditionalFormatting sqref="K8:K17">
    <cfRule type="expression" dxfId="22" priority="11">
      <formula>E8="p"</formula>
    </cfRule>
  </conditionalFormatting>
  <conditionalFormatting sqref="L8:L17">
    <cfRule type="expression" dxfId="21" priority="9">
      <formula>E8="p"</formula>
    </cfRule>
  </conditionalFormatting>
  <conditionalFormatting sqref="O8:O17">
    <cfRule type="expression" dxfId="20" priority="7">
      <formula>E8="r"</formula>
    </cfRule>
  </conditionalFormatting>
  <conditionalFormatting sqref="P8:P17">
    <cfRule type="expression" dxfId="19" priority="6">
      <formula>E8="r"</formula>
    </cfRule>
  </conditionalFormatting>
  <conditionalFormatting sqref="A8:A19">
    <cfRule type="expression" dxfId="18" priority="4">
      <formula>A8=0</formula>
    </cfRule>
    <cfRule type="expression" dxfId="17" priority="5">
      <formula>A8=$A$2</formula>
    </cfRule>
  </conditionalFormatting>
  <conditionalFormatting sqref="E8:E17">
    <cfRule type="expression" dxfId="16" priority="1">
      <formula>LEN(E8)&gt;0</formula>
    </cfRule>
  </conditionalFormatting>
  <dataValidations count="9">
    <dataValidation type="custom" allowBlank="1" showInputMessage="1" showErrorMessage="1" sqref="F8:F17" xr:uid="{8A2B376B-AD71-4CBD-B2C0-67E4F10C3680}">
      <formula1>E8="w"</formula1>
    </dataValidation>
    <dataValidation type="custom" allowBlank="1" showInputMessage="1" showErrorMessage="1" errorTitle="Withdrawn Amount" error="Please enter the withdrawn amoun" sqref="G8:G17" xr:uid="{B0A3413B-D74D-439F-81B5-BCF15CD2F0C7}">
      <formula1>AND(E8="w",ISNUMBER(G8))</formula1>
    </dataValidation>
    <dataValidation type="custom" allowBlank="1" showInputMessage="1" showErrorMessage="1" sqref="H8:H17" xr:uid="{6EDDBD81-454B-4F2C-896F-0C0719ECF7B7}">
      <formula1>E8="w"</formula1>
    </dataValidation>
    <dataValidation type="list" allowBlank="1" showInputMessage="1" showErrorMessage="1" errorTitle="Payment Amount" error="Please enter the payment amount to the vendor" sqref="K8:K17" xr:uid="{2544F345-E954-4CA8-AC7D-E2872A13B7A6}">
      <formula1>INDIRECT(J8)</formula1>
    </dataValidation>
    <dataValidation type="custom" operator="greaterThanOrEqual" allowBlank="1" showInputMessage="1" showErrorMessage="1" errorTitle="Payment Amount" error="Please enter the payment amount to the vendor" sqref="L8:L17" xr:uid="{49EBA8D5-0714-406A-B241-CA7A32AE91C8}">
      <formula1>M8=1</formula1>
    </dataValidation>
    <dataValidation type="list" allowBlank="1" showInputMessage="1" showErrorMessage="1" sqref="O8:O17" xr:uid="{9C65CF68-D7FB-4A6C-9D8D-D930B583BE12}">
      <formula1>INDIRECT(N8)</formula1>
    </dataValidation>
    <dataValidation type="custom" allowBlank="1" showInputMessage="1" showErrorMessage="1" errorTitle="Receipt Amount" error="Please fill in the amount received from the customer" sqref="P8:P17" xr:uid="{F6EAE38C-B0D0-460C-BC48-ADF1EF6CF972}">
      <formula1>Q8=1</formula1>
    </dataValidation>
    <dataValidation type="list" allowBlank="1" showInputMessage="1" showErrorMessage="1" sqref="C1" xr:uid="{40DAE5C3-C137-4CC1-B0F5-3C7EC9E078F8}">
      <formula1>select_lang_code</formula1>
    </dataValidation>
    <dataValidation type="list" allowBlank="1" showInputMessage="1" showErrorMessage="1" sqref="D8:D17" xr:uid="{C2E97DE4-1FD0-40DB-AEED-E8521681997A}">
      <formula1>selectTransType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A1B-103F-4393-9E1F-9B95467BEFF0}">
  <sheetPr>
    <tabColor theme="5" tint="-0.499984740745262"/>
  </sheetPr>
  <dimension ref="A1:G19"/>
  <sheetViews>
    <sheetView showGridLines="0" zoomScaleNormal="100" workbookViewId="0">
      <selection activeCell="A13" sqref="A13"/>
    </sheetView>
  </sheetViews>
  <sheetFormatPr defaultRowHeight="14.4" outlineLevelRow="1"/>
  <cols>
    <col min="1" max="1" width="24.109375" bestFit="1" customWidth="1"/>
    <col min="2" max="2" width="6.5546875" customWidth="1"/>
    <col min="3" max="3" width="12" customWidth="1"/>
    <col min="4" max="4" width="19.6640625" bestFit="1" customWidth="1"/>
    <col min="5" max="5" width="14.33203125" bestFit="1" customWidth="1"/>
    <col min="6" max="6" width="25.21875" bestFit="1" customWidth="1"/>
    <col min="7" max="7" width="21.33203125" bestFit="1" customWidth="1"/>
  </cols>
  <sheetData>
    <row r="1" spans="1:7" s="16" customFormat="1">
      <c r="A1" s="16" t="str" cm="1">
        <f t="array" aca="1" ref="A1" ca="1">MID(CELL("filename",$A$1),FIND("]",CELL("filename",$A$1))+1,31)</f>
        <v>table</v>
      </c>
      <c r="C1" s="27" t="s">
        <v>62</v>
      </c>
      <c r="D1" s="16" t="str" cm="1">
        <f t="array" ref="D1">_xlfn.XLOOKUP(C1,language[code],_xlfn.XLOOKUP(C1,language[#Headers],language[]))</f>
        <v>English</v>
      </c>
    </row>
    <row r="2" spans="1:7" ht="40.799999999999997">
      <c r="A2" s="15" t="str" cm="1">
        <f t="array" aca="1" ref="A2" ca="1">_xlfn.XLOOKUP($A$1,table_summary[table_name],
_xlfn.XLOOKUP($C$1,table_summary[#Headers],table_summary[])
)</f>
        <v>Table Summary</v>
      </c>
      <c r="F2" s="15" t="str" cm="1">
        <f t="array" aca="1" ref="F2" ca="1">_xlfn.XLOOKUP($A$1,table_summary[table_name],
_xlfn.XLOOKUP($C$1,table_summary[#Headers],table_summary[])
)</f>
        <v>Table Summary</v>
      </c>
    </row>
    <row r="6" spans="1:7" s="16" customFormat="1">
      <c r="C6" s="17" t="str" cm="1">
        <f t="array" ref="C6">_xlfn.XLOOKUP(C7,field_list[field_name],
_xlfn.XLOOKUP($C$1,field_list[#Headers],field_list[]))</f>
        <v>Reference</v>
      </c>
      <c r="D6" s="17" t="str" cm="1">
        <f t="array" ref="D6">_xlfn.XLOOKUP(D7,field_list[field_name],
_xlfn.XLOOKUP($C$1,field_list[#Headers],field_list[]))</f>
        <v>Table Name</v>
      </c>
      <c r="E6" s="17" t="str" cm="1">
        <f t="array" ref="E6">_xlfn.XLOOKUP(E7,field_list[field_name],
_xlfn.XLOOKUP($C$1,field_list[#Headers],field_list[]))</f>
        <v>Link Location</v>
      </c>
      <c r="F6" s="17" t="str" cm="1">
        <f t="array" ref="F6">_xlfn.XLOOKUP(F7,field_list[field_name],
_xlfn.XLOOKUP($C$1,field_list[#Headers],field_list[]))</f>
        <v>English</v>
      </c>
      <c r="G6" s="17" t="str" cm="1">
        <f t="array" ref="G6">_xlfn.XLOOKUP(G7,field_list[field_name],
_xlfn.XLOOKUP($C$1,field_list[#Headers],field_list[]))</f>
        <v>Japanese</v>
      </c>
    </row>
    <row r="7" spans="1:7" outlineLevel="1">
      <c r="A7" s="20"/>
      <c r="C7" t="s">
        <v>0</v>
      </c>
      <c r="D7" t="s">
        <v>64</v>
      </c>
      <c r="E7" t="s">
        <v>87</v>
      </c>
      <c r="F7" t="s">
        <v>62</v>
      </c>
      <c r="G7" t="s">
        <v>74</v>
      </c>
    </row>
    <row r="8" spans="1:7" ht="21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B8" s="21"/>
      <c r="C8">
        <f>ROWS($C$8:C8)-1</f>
        <v>0</v>
      </c>
      <c r="D8" s="19" t="s">
        <v>63</v>
      </c>
      <c r="E8" t="str">
        <f>IF(table_summary[[#This Row],[table_name]]="","-",
"#"&amp;table_summary[[#This Row],[table_name]]&amp;"!a3")</f>
        <v>#master!a3</v>
      </c>
      <c r="F8" t="s">
        <v>68</v>
      </c>
      <c r="G8" t="s">
        <v>81</v>
      </c>
    </row>
    <row r="9" spans="1:7" ht="21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B9" s="21"/>
      <c r="C9">
        <f>ROWS($C$8:C9)-1</f>
        <v>1</v>
      </c>
      <c r="D9" s="19" t="s">
        <v>65</v>
      </c>
      <c r="E9" t="str">
        <f>IF(table_summary[[#This Row],[table_name]]="","-",
"#"&amp;table_summary[[#This Row],[table_name]]&amp;"!a3")</f>
        <v>#expense!a3</v>
      </c>
      <c r="F9" t="s">
        <v>69</v>
      </c>
      <c r="G9" t="s">
        <v>82</v>
      </c>
    </row>
    <row r="10" spans="1:7" ht="21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B10" s="21"/>
      <c r="C10">
        <f>ROWS($C$8:C10)-1</f>
        <v>2</v>
      </c>
      <c r="D10" s="19" t="s">
        <v>66</v>
      </c>
      <c r="E10" t="str">
        <f>IF(table_summary[[#This Row],[table_name]]="","-",
"#"&amp;table_summary[[#This Row],[table_name]]&amp;"!a3")</f>
        <v>#income!a3</v>
      </c>
      <c r="F10" t="s">
        <v>70</v>
      </c>
      <c r="G10" t="s">
        <v>83</v>
      </c>
    </row>
    <row r="11" spans="1:7" ht="30.6" customHeight="1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B11" s="21"/>
      <c r="C11">
        <f>ROWS($C$8:C11)-1</f>
        <v>3</v>
      </c>
      <c r="D11" s="19" t="s">
        <v>35</v>
      </c>
      <c r="E11" t="str">
        <f>IF(table_summary[[#This Row],[table_name]]="","-",
"#"&amp;table_summary[[#This Row],[table_name]]&amp;"!a3")</f>
        <v>#bank!a3</v>
      </c>
      <c r="F11" t="s">
        <v>121</v>
      </c>
      <c r="G11" t="s">
        <v>122</v>
      </c>
    </row>
    <row r="12" spans="1:7" ht="21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B12" s="21"/>
      <c r="C12">
        <f>ROWS($C$8:C12)-1</f>
        <v>4</v>
      </c>
      <c r="D12" s="19" t="s">
        <v>67</v>
      </c>
      <c r="E12" t="str">
        <f>IF(table_summary[[#This Row],[table_name]]="","-",
"#"&amp;table_summary[[#This Row],[table_name]]&amp;"!a3")</f>
        <v>#table!a3</v>
      </c>
      <c r="F12" t="s">
        <v>71</v>
      </c>
      <c r="G12" t="s">
        <v>85</v>
      </c>
    </row>
    <row r="13" spans="1:7" ht="21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B13" s="21"/>
      <c r="C13">
        <f>ROWS($C$8:C13)-1</f>
        <v>5</v>
      </c>
      <c r="D13" s="19" t="s">
        <v>72</v>
      </c>
      <c r="E13" t="str">
        <f>IF(table_summary[[#This Row],[table_name]]="","-",
"#"&amp;table_summary[[#This Row],[table_name]]&amp;"!a3")</f>
        <v>#fields!a3</v>
      </c>
      <c r="F13" t="s">
        <v>73</v>
      </c>
      <c r="G13" t="s">
        <v>84</v>
      </c>
    </row>
    <row r="14" spans="1:7" ht="28.8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B14" s="21"/>
      <c r="C14">
        <f>ROWS($C$8:C14)-1</f>
        <v>6</v>
      </c>
      <c r="D14" s="19" t="s">
        <v>123</v>
      </c>
      <c r="E14" t="str">
        <f>IF(table_summary[[#This Row],[table_name]]="","-",
"#"&amp;table_summary[[#This Row],[table_name]]&amp;"!a3")</f>
        <v>#lang!a3</v>
      </c>
      <c r="F14" t="s">
        <v>124</v>
      </c>
      <c r="G14" s="24" t="s">
        <v>125</v>
      </c>
    </row>
    <row r="15" spans="1:7" ht="28.8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B15" s="21"/>
      <c r="C15">
        <f>ROWS($C$8:C15)-1</f>
        <v>7</v>
      </c>
      <c r="D15" s="19" t="s">
        <v>126</v>
      </c>
      <c r="E15" t="str">
        <f>IF(table_summary[[#This Row],[table_name]]="","-",
"#"&amp;table_summary[[#This Row],[table_name]]&amp;"!a3")</f>
        <v>#selectList!a3</v>
      </c>
      <c r="F15" t="s">
        <v>127</v>
      </c>
      <c r="G15" s="24" t="s">
        <v>128</v>
      </c>
    </row>
    <row r="16" spans="1:7" ht="21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B16" s="21"/>
      <c r="C16">
        <f>ROWS($C$8:C16)-1</f>
        <v>8</v>
      </c>
      <c r="D16" s="19" t="s">
        <v>154</v>
      </c>
      <c r="E16" t="str">
        <f>IF(table_summary[[#This Row],[table_name]]="","-",
"#"&amp;table_summary[[#This Row],[table_name]]&amp;"!a3")</f>
        <v>#chartOfAcct!a3</v>
      </c>
      <c r="F16" t="s">
        <v>155</v>
      </c>
      <c r="G16" t="s">
        <v>156</v>
      </c>
    </row>
    <row r="17" spans="1:5" ht="21">
      <c r="A17" s="22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  <c r="B17" s="21"/>
      <c r="C17">
        <f>ROWS($C$8:C17)-1</f>
        <v>9</v>
      </c>
      <c r="D17" s="19"/>
      <c r="E17" t="str">
        <f>IF(table_summary[[#This Row],[table_name]]="","-",
"#"&amp;table_summary[[#This Row],[table_name]]&amp;"!a3")</f>
        <v>-</v>
      </c>
    </row>
    <row r="18" spans="1:5" ht="21">
      <c r="A18" s="22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  <c r="B18" s="21"/>
      <c r="C18">
        <f>ROWS($C$8:C18)-1</f>
        <v>10</v>
      </c>
      <c r="D18" s="19"/>
      <c r="E18" t="str">
        <f>IF(table_summary[[#This Row],[table_name]]="","-",
"#"&amp;table_summary[[#This Row],[table_name]]&amp;"!a3")</f>
        <v>-</v>
      </c>
    </row>
    <row r="19" spans="1:5" ht="21">
      <c r="A19" s="22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  <c r="B19" s="21"/>
      <c r="C19">
        <f>ROWS($C$8:C19)-1</f>
        <v>11</v>
      </c>
      <c r="D19" s="19"/>
      <c r="E19" t="str">
        <f>IF(table_summary[[#This Row],[table_name]]="","-",
"#"&amp;table_summary[[#This Row],[table_name]]&amp;"!a3")</f>
        <v>-</v>
      </c>
    </row>
  </sheetData>
  <conditionalFormatting sqref="F8:G19">
    <cfRule type="expression" dxfId="15" priority="3">
      <formula>$D8&lt;&gt;""</formula>
    </cfRule>
  </conditionalFormatting>
  <conditionalFormatting sqref="A8:A19">
    <cfRule type="expression" dxfId="14" priority="1">
      <formula>A8=0</formula>
    </cfRule>
    <cfRule type="expression" dxfId="13" priority="2">
      <formula>A8=$A$2</formula>
    </cfRule>
  </conditionalFormatting>
  <dataValidations disablePrompts="1" count="1">
    <dataValidation type="list" allowBlank="1" showInputMessage="1" showErrorMessage="1" sqref="C1" xr:uid="{3AE3E2FC-619E-4FD0-B40E-54A49B9BC64D}">
      <formula1>select_lang_code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6FF9-1016-4BA5-8104-385BF755F318}">
  <sheetPr>
    <tabColor theme="1"/>
  </sheetPr>
  <dimension ref="A1:F39"/>
  <sheetViews>
    <sheetView showGridLines="0" workbookViewId="0">
      <selection activeCell="A14" sqref="A14"/>
    </sheetView>
  </sheetViews>
  <sheetFormatPr defaultRowHeight="14.4" outlineLevelRow="1"/>
  <cols>
    <col min="1" max="1" width="20.88671875" customWidth="1"/>
    <col min="3" max="3" width="12.77734375" customWidth="1"/>
    <col min="4" max="4" width="20.21875" bestFit="1" customWidth="1"/>
    <col min="5" max="5" width="27.44140625" customWidth="1"/>
    <col min="6" max="6" width="21.33203125" bestFit="1" customWidth="1"/>
  </cols>
  <sheetData>
    <row r="1" spans="1:6" s="16" customFormat="1">
      <c r="A1" s="16" t="str" cm="1">
        <f t="array" aca="1" ref="A1" ca="1">MID(CELL("filename",$A$1),FIND("]",CELL("filename",$A$1))+1,31)</f>
        <v>fields</v>
      </c>
      <c r="C1" s="27" t="s">
        <v>62</v>
      </c>
      <c r="D1" s="16" t="str" cm="1">
        <f t="array" ref="D1">_xlfn.XLOOKUP(C1,language[code],_xlfn.XLOOKUP(C1,language[#Headers],language[]))</f>
        <v>English</v>
      </c>
    </row>
    <row r="2" spans="1:6" ht="40.799999999999997">
      <c r="A2" s="15" t="str" cm="1">
        <f t="array" aca="1" ref="A2" ca="1">_xlfn.XLOOKUP($A$1,table_summary[table_name],
_xlfn.XLOOKUP($C$1,table_summary[#Headers],table_summary[])
)</f>
        <v>Item Summary</v>
      </c>
      <c r="E2" s="15" t="str" cm="1">
        <f t="array" aca="1" ref="E2" ca="1">_xlfn.XLOOKUP($A$1,table_summary[table_name],
_xlfn.XLOOKUP($C$1,table_summary[#Headers],table_summary[])
)</f>
        <v>Item Summary</v>
      </c>
    </row>
    <row r="6" spans="1:6" s="16" customFormat="1">
      <c r="C6" s="17" t="str" cm="1">
        <f t="array" ref="C6">_xlfn.XLOOKUP(C7,field_list[field_name],
_xlfn.XLOOKUP($C$1,field_list[#Headers],field_list[]))</f>
        <v>Reference</v>
      </c>
      <c r="D6" s="17" t="str" cm="1">
        <f t="array" ref="D6">_xlfn.XLOOKUP(D7,field_list[field_name],
_xlfn.XLOOKUP($C$1,field_list[#Headers],field_list[]))</f>
        <v>Field Name</v>
      </c>
      <c r="E6" s="17" t="str" cm="1">
        <f t="array" ref="E6">_xlfn.XLOOKUP(E7,field_list[field_name],
_xlfn.XLOOKUP($C$1,field_list[#Headers],field_list[]))</f>
        <v>English</v>
      </c>
      <c r="F6" s="17" t="str" cm="1">
        <f t="array" ref="F6">_xlfn.XLOOKUP(F7,field_list[field_name],
_xlfn.XLOOKUP($C$1,field_list[#Headers],field_list[]))</f>
        <v>Japanese</v>
      </c>
    </row>
    <row r="7" spans="1:6" outlineLevel="1">
      <c r="A7" s="20"/>
      <c r="C7" t="s">
        <v>0</v>
      </c>
      <c r="D7" t="s">
        <v>86</v>
      </c>
      <c r="E7" t="s">
        <v>62</v>
      </c>
      <c r="F7" t="s">
        <v>74</v>
      </c>
    </row>
    <row r="8" spans="1:6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ROWS($C$8:C8)</f>
        <v>1</v>
      </c>
      <c r="D8" s="2" t="s">
        <v>0</v>
      </c>
      <c r="E8" t="s">
        <v>88</v>
      </c>
      <c r="F8" t="s">
        <v>131</v>
      </c>
    </row>
    <row r="9" spans="1:6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ROWS($C$8:C9)</f>
        <v>2</v>
      </c>
      <c r="D9" s="2" t="s">
        <v>86</v>
      </c>
      <c r="E9" t="s">
        <v>90</v>
      </c>
      <c r="F9" t="s">
        <v>89</v>
      </c>
    </row>
    <row r="10" spans="1:6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ROWS($C$8:C10)</f>
        <v>3</v>
      </c>
      <c r="D10" s="2" t="s">
        <v>62</v>
      </c>
      <c r="E10" t="s">
        <v>75</v>
      </c>
      <c r="F10" t="s">
        <v>91</v>
      </c>
    </row>
    <row r="11" spans="1:6" ht="28.8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C11">
        <f>ROWS($C$8:C11)</f>
        <v>4</v>
      </c>
      <c r="D11" s="2" t="s">
        <v>74</v>
      </c>
      <c r="E11" t="s">
        <v>77</v>
      </c>
      <c r="F11" t="s">
        <v>92</v>
      </c>
    </row>
    <row r="12" spans="1:6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ROWS($C$8:C12)</f>
        <v>5</v>
      </c>
      <c r="D12" s="2" t="s">
        <v>2</v>
      </c>
      <c r="E12" t="s">
        <v>93</v>
      </c>
      <c r="F12" s="18" t="s">
        <v>132</v>
      </c>
    </row>
    <row r="13" spans="1:6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>
        <f>ROWS($C$8:C13)</f>
        <v>6</v>
      </c>
      <c r="D13" s="2" t="s">
        <v>1</v>
      </c>
      <c r="E13" t="s">
        <v>94</v>
      </c>
      <c r="F13" t="s">
        <v>133</v>
      </c>
    </row>
    <row r="14" spans="1:6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>
        <f>ROWS($C$8:C14)</f>
        <v>7</v>
      </c>
      <c r="D14" s="2" t="s">
        <v>11</v>
      </c>
      <c r="E14" t="s">
        <v>97</v>
      </c>
      <c r="F14" t="s">
        <v>134</v>
      </c>
    </row>
    <row r="15" spans="1:6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>
        <f>ROWS($C$8:C15)</f>
        <v>8</v>
      </c>
      <c r="D15" s="2" t="s">
        <v>3</v>
      </c>
      <c r="E15" t="s">
        <v>98</v>
      </c>
      <c r="F15" t="s">
        <v>135</v>
      </c>
    </row>
    <row r="16" spans="1:6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>
        <f>ROWS($C$8:C16)</f>
        <v>9</v>
      </c>
      <c r="D16" s="2" t="s">
        <v>4</v>
      </c>
      <c r="E16" t="s">
        <v>99</v>
      </c>
      <c r="F16" t="s">
        <v>136</v>
      </c>
    </row>
    <row r="17" spans="1:6">
      <c r="A17" s="22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  <c r="C17">
        <f>ROWS($C$8:C17)</f>
        <v>10</v>
      </c>
      <c r="D17" s="2" t="s">
        <v>5</v>
      </c>
      <c r="E17" t="s">
        <v>95</v>
      </c>
      <c r="F17" t="s">
        <v>137</v>
      </c>
    </row>
    <row r="18" spans="1:6">
      <c r="A18" s="22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  <c r="C18">
        <f>ROWS($C$8:C18)</f>
        <v>11</v>
      </c>
      <c r="D18" s="2" t="s">
        <v>24</v>
      </c>
      <c r="E18" t="s">
        <v>96</v>
      </c>
      <c r="F18" t="s">
        <v>138</v>
      </c>
    </row>
    <row r="19" spans="1:6">
      <c r="A19" s="22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  <c r="C19">
        <f>ROWS($C$8:C19)</f>
        <v>12</v>
      </c>
      <c r="D19" s="2" t="s">
        <v>29</v>
      </c>
      <c r="E19" t="s">
        <v>100</v>
      </c>
      <c r="F19" t="s">
        <v>139</v>
      </c>
    </row>
    <row r="20" spans="1:6">
      <c r="C20">
        <f>ROWS($C$8:C20)</f>
        <v>13</v>
      </c>
      <c r="D20" s="2" t="s">
        <v>36</v>
      </c>
      <c r="E20" t="s">
        <v>101</v>
      </c>
      <c r="F20" t="s">
        <v>140</v>
      </c>
    </row>
    <row r="21" spans="1:6">
      <c r="C21">
        <f>ROWS($C$8:C21)</f>
        <v>14</v>
      </c>
      <c r="D21" s="2" t="s">
        <v>37</v>
      </c>
      <c r="E21" t="s">
        <v>103</v>
      </c>
      <c r="F21" t="s">
        <v>102</v>
      </c>
    </row>
    <row r="22" spans="1:6">
      <c r="C22">
        <f>ROWS($C$8:C22)</f>
        <v>15</v>
      </c>
      <c r="D22" s="2" t="s">
        <v>41</v>
      </c>
      <c r="E22" t="s">
        <v>104</v>
      </c>
      <c r="F22" t="s">
        <v>106</v>
      </c>
    </row>
    <row r="23" spans="1:6">
      <c r="C23">
        <f>ROWS($C$8:C23)</f>
        <v>16</v>
      </c>
      <c r="D23" s="2" t="s">
        <v>42</v>
      </c>
      <c r="E23" t="s">
        <v>108</v>
      </c>
      <c r="F23" t="s">
        <v>141</v>
      </c>
    </row>
    <row r="24" spans="1:6">
      <c r="C24">
        <f>ROWS($C$8:C24)</f>
        <v>17</v>
      </c>
      <c r="D24" s="2" t="s">
        <v>43</v>
      </c>
      <c r="E24" t="s">
        <v>105</v>
      </c>
      <c r="F24" t="s">
        <v>107</v>
      </c>
    </row>
    <row r="25" spans="1:6">
      <c r="C25">
        <f>ROWS($C$8:C25)</f>
        <v>18</v>
      </c>
      <c r="D25" s="2" t="s">
        <v>44</v>
      </c>
      <c r="E25" t="s">
        <v>109</v>
      </c>
      <c r="F25" t="s">
        <v>142</v>
      </c>
    </row>
    <row r="26" spans="1:6">
      <c r="C26">
        <f>ROWS($C$8:C26)</f>
        <v>19</v>
      </c>
      <c r="D26" s="2" t="s">
        <v>55</v>
      </c>
      <c r="E26" t="s">
        <v>110</v>
      </c>
      <c r="F26" t="s">
        <v>110</v>
      </c>
    </row>
    <row r="27" spans="1:6">
      <c r="C27">
        <f>ROWS($C$8:C27)</f>
        <v>20</v>
      </c>
      <c r="D27" s="2" t="s">
        <v>45</v>
      </c>
      <c r="E27" t="s">
        <v>111</v>
      </c>
      <c r="F27" t="s">
        <v>113</v>
      </c>
    </row>
    <row r="28" spans="1:6">
      <c r="C28">
        <f>ROWS($C$8:C28)</f>
        <v>21</v>
      </c>
      <c r="D28" s="2" t="s">
        <v>46</v>
      </c>
      <c r="E28" t="s">
        <v>115</v>
      </c>
      <c r="F28" t="s">
        <v>143</v>
      </c>
    </row>
    <row r="29" spans="1:6">
      <c r="C29">
        <f>ROWS($C$8:C29)</f>
        <v>22</v>
      </c>
      <c r="D29" s="2" t="s">
        <v>59</v>
      </c>
      <c r="E29" t="s">
        <v>110</v>
      </c>
      <c r="F29" t="s">
        <v>110</v>
      </c>
    </row>
    <row r="30" spans="1:6">
      <c r="C30">
        <f>ROWS($C$8:C30)</f>
        <v>23</v>
      </c>
      <c r="D30" s="2" t="s">
        <v>56</v>
      </c>
      <c r="E30" t="s">
        <v>110</v>
      </c>
      <c r="F30" t="s">
        <v>110</v>
      </c>
    </row>
    <row r="31" spans="1:6">
      <c r="C31">
        <f>ROWS($C$8:C31)</f>
        <v>24</v>
      </c>
      <c r="D31" s="2" t="s">
        <v>47</v>
      </c>
      <c r="E31" t="s">
        <v>112</v>
      </c>
      <c r="F31" t="s">
        <v>114</v>
      </c>
    </row>
    <row r="32" spans="1:6">
      <c r="C32">
        <f>ROWS($C$8:C32)</f>
        <v>25</v>
      </c>
      <c r="D32" s="2" t="s">
        <v>48</v>
      </c>
      <c r="E32" t="s">
        <v>116</v>
      </c>
      <c r="F32" t="s">
        <v>144</v>
      </c>
    </row>
    <row r="33" spans="3:6">
      <c r="C33">
        <f>ROWS($C$8:C33)</f>
        <v>26</v>
      </c>
      <c r="D33" s="2" t="s">
        <v>60</v>
      </c>
      <c r="E33" t="s">
        <v>110</v>
      </c>
      <c r="F33" t="s">
        <v>110</v>
      </c>
    </row>
    <row r="34" spans="3:6">
      <c r="C34">
        <f>ROWS($C$8:C34)</f>
        <v>27</v>
      </c>
      <c r="D34" s="2" t="s">
        <v>64</v>
      </c>
      <c r="E34" t="s">
        <v>117</v>
      </c>
      <c r="F34" t="s">
        <v>118</v>
      </c>
    </row>
    <row r="35" spans="3:6">
      <c r="C35">
        <f>ROWS($C$8:C35)</f>
        <v>28</v>
      </c>
      <c r="D35" s="2" t="s">
        <v>87</v>
      </c>
      <c r="E35" t="s">
        <v>119</v>
      </c>
      <c r="F35" t="s">
        <v>120</v>
      </c>
    </row>
    <row r="36" spans="3:6">
      <c r="C36">
        <f>ROWS($C$8:C36)</f>
        <v>29</v>
      </c>
      <c r="D36" s="2" t="s">
        <v>79</v>
      </c>
      <c r="E36" t="s">
        <v>129</v>
      </c>
      <c r="F36" t="s">
        <v>130</v>
      </c>
    </row>
    <row r="37" spans="3:6" ht="28.8">
      <c r="C37">
        <f>ROWS($C$8:C37)</f>
        <v>30</v>
      </c>
      <c r="D37" s="2" t="s">
        <v>157</v>
      </c>
      <c r="E37" t="s">
        <v>159</v>
      </c>
      <c r="F37" s="24" t="s">
        <v>161</v>
      </c>
    </row>
    <row r="38" spans="3:6" ht="28.8">
      <c r="C38">
        <f>ROWS($C$8:C38)</f>
        <v>31</v>
      </c>
      <c r="D38" s="2" t="s">
        <v>158</v>
      </c>
      <c r="E38" t="s">
        <v>160</v>
      </c>
      <c r="F38" s="24" t="s">
        <v>162</v>
      </c>
    </row>
    <row r="39" spans="3:6">
      <c r="C39">
        <f>ROWS($C$8:C39)</f>
        <v>32</v>
      </c>
      <c r="D39" s="2"/>
    </row>
  </sheetData>
  <conditionalFormatting sqref="A8:A19">
    <cfRule type="expression" dxfId="12" priority="2">
      <formula>A8=0</formula>
    </cfRule>
    <cfRule type="expression" dxfId="11" priority="3">
      <formula>A8=$A$2</formula>
    </cfRule>
  </conditionalFormatting>
  <conditionalFormatting sqref="E8:F39">
    <cfRule type="expression" dxfId="10" priority="1">
      <formula>D8&lt;&gt;""</formula>
    </cfRule>
  </conditionalFormatting>
  <dataValidations count="1">
    <dataValidation type="list" allowBlank="1" showInputMessage="1" showErrorMessage="1" sqref="C1" xr:uid="{C08D5566-FD05-40C5-80E9-7D6C91B68501}">
      <formula1>select_lang_code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1ADC-128E-42EB-8FFD-07296548A3CA}">
  <sheetPr>
    <tabColor theme="0"/>
  </sheetPr>
  <dimension ref="A1:F19"/>
  <sheetViews>
    <sheetView showGridLines="0" workbookViewId="0">
      <selection activeCell="A15" sqref="A15"/>
    </sheetView>
  </sheetViews>
  <sheetFormatPr defaultRowHeight="14.4" outlineLevelRow="1"/>
  <cols>
    <col min="1" max="1" width="23.77734375" bestFit="1" customWidth="1"/>
    <col min="3" max="3" width="10.6640625" customWidth="1"/>
    <col min="4" max="4" width="21.88671875" customWidth="1"/>
    <col min="5" max="5" width="19.6640625" bestFit="1" customWidth="1"/>
    <col min="6" max="6" width="28.109375" bestFit="1" customWidth="1"/>
  </cols>
  <sheetData>
    <row r="1" spans="1:6" s="16" customFormat="1">
      <c r="A1" s="16" t="str" cm="1">
        <f t="array" aca="1" ref="A1" ca="1">MID(CELL("filename",$A$1),FIND("]",CELL("filename",$A$1))+1,31)</f>
        <v>lang</v>
      </c>
      <c r="C1" s="27" t="s">
        <v>62</v>
      </c>
      <c r="D1" s="17" t="str" cm="1">
        <f t="array" ref="D1">_xlfn.XLOOKUP(C1,language[code],_xlfn.XLOOKUP(C1,language[#Headers],language[]))</f>
        <v>English</v>
      </c>
    </row>
    <row r="2" spans="1:6" ht="40.799999999999997">
      <c r="A2" s="15" t="str" cm="1">
        <f t="array" aca="1" ref="A2" ca="1">_xlfn.XLOOKUP($A$1,table_summary[table_name],
_xlfn.XLOOKUP($C$1,table_summary[#Headers],table_summary[])
)</f>
        <v>Language Setting</v>
      </c>
      <c r="F2" s="15" t="str" cm="1">
        <f t="array" aca="1" ref="F2" ca="1">_xlfn.XLOOKUP($A$1,table_summary[table_name],
_xlfn.XLOOKUP($C$1,table_summary[#Headers],table_summary[])
)</f>
        <v>Language Setting</v>
      </c>
    </row>
    <row r="6" spans="1:6">
      <c r="A6" s="16"/>
      <c r="C6" s="17" t="str" cm="1">
        <f t="array" ref="C6">_xlfn.XLOOKUP(language[[#Headers],[ref]],field_list[field_name],
_xlfn.XLOOKUP($C$1,field_list[#Headers],field_list[]))</f>
        <v>Reference</v>
      </c>
      <c r="D6" s="17" t="str" cm="1">
        <f t="array" ref="D6">_xlfn.XLOOKUP(language[[#Headers],[code]],field_list[field_name],
_xlfn.XLOOKUP($C$1,field_list[#Headers],field_list[]))</f>
        <v>Language Code</v>
      </c>
      <c r="E6" s="17" t="str" cm="1">
        <f t="array" ref="E6">_xlfn.XLOOKUP(language[[#Headers],[eng]],field_list[field_name],
_xlfn.XLOOKUP($C$1,field_list[#Headers],field_list[]))</f>
        <v>English</v>
      </c>
      <c r="F6" s="17" t="str" cm="1">
        <f t="array" ref="F6">_xlfn.XLOOKUP(language[[#Headers],[jap]],field_list[field_name],
_xlfn.XLOOKUP($C$1,field_list[#Headers],field_list[]))</f>
        <v>Japanese</v>
      </c>
    </row>
    <row r="7" spans="1:6" outlineLevel="1">
      <c r="A7" s="20"/>
      <c r="C7" t="s">
        <v>0</v>
      </c>
      <c r="D7" t="s">
        <v>79</v>
      </c>
      <c r="E7" t="s">
        <v>62</v>
      </c>
      <c r="F7" t="s">
        <v>74</v>
      </c>
    </row>
    <row r="8" spans="1:6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ROWS($C$8:C8)</f>
        <v>1</v>
      </c>
      <c r="D8" s="2" t="s">
        <v>62</v>
      </c>
      <c r="E8" s="2" t="s">
        <v>75</v>
      </c>
      <c r="F8" s="2" t="s">
        <v>76</v>
      </c>
    </row>
    <row r="9" spans="1:6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ROWS($C$8:C9)</f>
        <v>2</v>
      </c>
      <c r="D9" s="2" t="s">
        <v>74</v>
      </c>
      <c r="E9" s="2" t="s">
        <v>77</v>
      </c>
      <c r="F9" s="2" t="s">
        <v>78</v>
      </c>
    </row>
    <row r="10" spans="1:6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ROWS($C$8:C10)</f>
        <v>3</v>
      </c>
      <c r="D10" s="2"/>
      <c r="E10" s="2"/>
      <c r="F10" s="2"/>
    </row>
    <row r="11" spans="1:6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C11">
        <f>ROWS($C$8:C11)</f>
        <v>4</v>
      </c>
      <c r="D11" s="2"/>
      <c r="E11" s="2"/>
      <c r="F11" s="2"/>
    </row>
    <row r="12" spans="1:6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ROWS($C$8:C12)</f>
        <v>5</v>
      </c>
      <c r="D12" s="2"/>
      <c r="E12" s="2"/>
      <c r="F12" s="2"/>
    </row>
    <row r="13" spans="1:6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6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6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6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>
      <c r="A17" s="22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</row>
    <row r="18" spans="1:1">
      <c r="A18" s="22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</row>
    <row r="19" spans="1:1">
      <c r="A19" s="22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</row>
  </sheetData>
  <conditionalFormatting sqref="A8:A19">
    <cfRule type="expression" dxfId="9" priority="1">
      <formula>A8=0</formula>
    </cfRule>
    <cfRule type="expression" dxfId="8" priority="2">
      <formula>A8=$A$2</formula>
    </cfRule>
  </conditionalFormatting>
  <dataValidations count="1">
    <dataValidation type="list" allowBlank="1" showInputMessage="1" showErrorMessage="1" sqref="C1" xr:uid="{1BD9D06E-3545-4A2D-B64B-C22D804919D5}">
      <formula1>select_lang_code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A16F-1407-4B6B-85DD-F4F1B83539DC}">
  <sheetPr>
    <tabColor theme="1"/>
  </sheetPr>
  <dimension ref="A1:D19"/>
  <sheetViews>
    <sheetView showGridLines="0" workbookViewId="0">
      <selection activeCell="A16" sqref="A16"/>
    </sheetView>
  </sheetViews>
  <sheetFormatPr defaultRowHeight="14.4"/>
  <cols>
    <col min="1" max="1" width="21.88671875" customWidth="1"/>
    <col min="3" max="3" width="14.5546875" bestFit="1" customWidth="1"/>
    <col min="4" max="4" width="24.88671875" customWidth="1"/>
  </cols>
  <sheetData>
    <row r="1" spans="1:4" s="24" customFormat="1">
      <c r="A1" s="24" t="str" cm="1">
        <f t="array" aca="1" ref="A1" ca="1">MID(CELL("filename",$A$1),FIND("]",CELL("filename",$A$1))+1,31)</f>
        <v>selectList</v>
      </c>
      <c r="C1" s="25" t="s">
        <v>62</v>
      </c>
      <c r="D1" s="26" t="str" cm="1">
        <f t="array" ref="D1">_xlfn.XLOOKUP(C1,language[code],_xlfn.XLOOKUP(C1,language[#Headers],language[]))</f>
        <v>English</v>
      </c>
    </row>
    <row r="2" spans="1:4" ht="20.399999999999999">
      <c r="A2" s="15" t="str" cm="1">
        <f t="array" aca="1" ref="A2" ca="1">_xlfn.XLOOKUP($A$1,table_summary[table_name],
_xlfn.XLOOKUP($C$1,table_summary[#Headers],table_summary[])
)</f>
        <v>Selection List</v>
      </c>
      <c r="D2" s="15" t="str" cm="1">
        <f t="array" aca="1" ref="D2" ca="1">_xlfn.XLOOKUP($A$1,table_summary[table_name],
_xlfn.XLOOKUP($C$1,table_summary[#Headers],table_summary[])
)</f>
        <v>Selection List</v>
      </c>
    </row>
    <row r="6" spans="1:4">
      <c r="A6" s="16"/>
      <c r="C6" s="10" t="s">
        <v>80</v>
      </c>
      <c r="D6" s="10" t="s">
        <v>145</v>
      </c>
    </row>
    <row r="7" spans="1:4">
      <c r="A7" s="20"/>
      <c r="C7" t="str" cm="1">
        <f t="array" ref="C7:C8">_xlfn._xlws.FILTER(language[code],language[code]&lt;&gt;"")</f>
        <v>eng</v>
      </c>
      <c r="D7" t="s">
        <v>38</v>
      </c>
    </row>
    <row r="8" spans="1:4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t="str">
        <v>jap</v>
      </c>
      <c r="D8" t="s">
        <v>39</v>
      </c>
    </row>
    <row r="9" spans="1:4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D9" t="s">
        <v>40</v>
      </c>
    </row>
    <row r="10" spans="1:4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</row>
    <row r="11" spans="1:4" ht="28.8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</row>
    <row r="12" spans="1:4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</row>
    <row r="13" spans="1:4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4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4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4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>
      <c r="A17" s="22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</row>
    <row r="18" spans="1:1">
      <c r="A18" s="22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</row>
    <row r="19" spans="1:1">
      <c r="A19" s="22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</row>
  </sheetData>
  <conditionalFormatting sqref="A8:A19">
    <cfRule type="expression" dxfId="7" priority="19">
      <formula>A8=0</formula>
    </cfRule>
    <cfRule type="expression" dxfId="6" priority="20">
      <formula>A8=$A$2</formula>
    </cfRule>
  </conditionalFormatting>
  <dataValidations disablePrompts="1" count="1">
    <dataValidation type="list" allowBlank="1" showInputMessage="1" showErrorMessage="1" sqref="C1" xr:uid="{F97271A4-1DC7-4F57-91D2-239B94F807F4}">
      <formula1>select_lang_code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831F-FB96-4F65-B5AB-D25B80D0412B}">
  <sheetPr>
    <tabColor theme="7" tint="-0.499984740745262"/>
  </sheetPr>
  <dimension ref="A1:G27"/>
  <sheetViews>
    <sheetView showGridLines="0" tabSelected="1" workbookViewId="0">
      <selection activeCell="A3" sqref="A3"/>
    </sheetView>
  </sheetViews>
  <sheetFormatPr defaultRowHeight="14.4"/>
  <cols>
    <col min="1" max="1" width="28.5546875" customWidth="1"/>
    <col min="3" max="3" width="13.88671875" customWidth="1"/>
    <col min="4" max="4" width="19.6640625" bestFit="1" customWidth="1"/>
    <col min="5" max="5" width="14.5546875" bestFit="1" customWidth="1"/>
    <col min="6" max="6" width="36.21875" bestFit="1" customWidth="1"/>
    <col min="7" max="7" width="27.44140625" bestFit="1" customWidth="1"/>
  </cols>
  <sheetData>
    <row r="1" spans="1:7">
      <c r="A1" s="16" t="str" cm="1">
        <f t="array" aca="1" ref="A1" ca="1">MID(CELL("filename",$A$1),FIND("]",CELL("filename",$A$1))+1,31)</f>
        <v>chartOfAcct</v>
      </c>
      <c r="C1" s="27" t="s">
        <v>62</v>
      </c>
      <c r="D1" s="16" t="str" cm="1">
        <f t="array" ref="D1">_xlfn.XLOOKUP(C1,language[code],_xlfn.XLOOKUP(C1,language[#Headers],language[]))</f>
        <v>English</v>
      </c>
    </row>
    <row r="2" spans="1:7" ht="40.799999999999997">
      <c r="A2" s="15" t="str" cm="1">
        <f t="array" aca="1" ref="A2" ca="1">_xlfn.XLOOKUP($A$1,table_summary[table_name],
_xlfn.XLOOKUP($C$1,table_summary[#Headers],table_summary[])
)</f>
        <v>Chart Of Accounts</v>
      </c>
      <c r="F2" s="15" t="str" cm="1">
        <f t="array" aca="1" ref="F2" ca="1">_xlfn.XLOOKUP($A$1,table_summary[table_name],
_xlfn.XLOOKUP($C$1,table_summary[#Headers],table_summary[])
)</f>
        <v>Chart Of Accounts</v>
      </c>
    </row>
    <row r="5" spans="1:7">
      <c r="C5" s="17" t="str" cm="1">
        <f t="array" ref="C5">_xlfn.XLOOKUP(C6,field_list[field_name],
_xlfn.XLOOKUP($C$1,field_list[#Headers],field_list[]))</f>
        <v>Reference</v>
      </c>
      <c r="D5" s="17" t="str" cm="1">
        <f t="array" ref="D5">_xlfn.XLOOKUP(D6,field_list[field_name],
_xlfn.XLOOKUP($C$1,field_list[#Headers],field_list[]))</f>
        <v>Tax Filing Code</v>
      </c>
      <c r="E5" s="17" t="str" cm="1">
        <f t="array" ref="E5">_xlfn.XLOOKUP(E6,field_list[field_name],
_xlfn.XLOOKUP($C$1,field_list[#Headers],field_list[]))</f>
        <v>Processing Type</v>
      </c>
      <c r="F5" s="17" t="str" cm="1">
        <f t="array" ref="F5">_xlfn.XLOOKUP(F6,field_list[field_name],
_xlfn.XLOOKUP($C$1,field_list[#Headers],field_list[]))</f>
        <v>English</v>
      </c>
      <c r="G5" s="17" t="str" cm="1">
        <f t="array" ref="G5">_xlfn.XLOOKUP(G6,field_list[field_name],
_xlfn.XLOOKUP($C$1,field_list[#Headers],field_list[]))</f>
        <v>Japanese</v>
      </c>
    </row>
    <row r="6" spans="1:7">
      <c r="A6" s="16"/>
      <c r="C6" s="41" t="s">
        <v>0</v>
      </c>
      <c r="D6" s="41" t="s">
        <v>157</v>
      </c>
      <c r="E6" s="41" t="s">
        <v>158</v>
      </c>
      <c r="F6" s="41" t="s">
        <v>62</v>
      </c>
      <c r="G6" s="41" t="s">
        <v>74</v>
      </c>
    </row>
    <row r="7" spans="1:7">
      <c r="A7" s="20"/>
      <c r="C7" s="2">
        <v>1000</v>
      </c>
      <c r="E7" t="s">
        <v>165</v>
      </c>
      <c r="F7" t="s">
        <v>163</v>
      </c>
      <c r="G7" t="s">
        <v>164</v>
      </c>
    </row>
    <row r="8" spans="1:7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s="2">
        <v>1060</v>
      </c>
      <c r="E8" t="s">
        <v>165</v>
      </c>
      <c r="F8" t="s">
        <v>54</v>
      </c>
      <c r="G8" t="s">
        <v>166</v>
      </c>
    </row>
    <row r="9" spans="1:7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 s="2">
        <v>1740</v>
      </c>
      <c r="E9" t="s">
        <v>167</v>
      </c>
      <c r="F9" t="s">
        <v>168</v>
      </c>
      <c r="G9" t="s">
        <v>169</v>
      </c>
    </row>
    <row r="10" spans="1:7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 s="2">
        <v>9060</v>
      </c>
      <c r="E10" t="s">
        <v>167</v>
      </c>
      <c r="F10" t="s">
        <v>170</v>
      </c>
      <c r="G10" t="s">
        <v>171</v>
      </c>
    </row>
    <row r="11" spans="1:7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Settlement &amp; Fund Transfer</v>
      </c>
      <c r="C11" s="2">
        <v>8520</v>
      </c>
      <c r="E11" t="s">
        <v>167</v>
      </c>
      <c r="F11" t="s">
        <v>172</v>
      </c>
      <c r="G11" t="s">
        <v>173</v>
      </c>
    </row>
    <row r="12" spans="1:7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s="2">
        <v>9200</v>
      </c>
      <c r="E12" t="s">
        <v>167</v>
      </c>
      <c r="F12" t="s">
        <v>174</v>
      </c>
      <c r="G12" t="s">
        <v>175</v>
      </c>
    </row>
    <row r="13" spans="1:7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s="2">
        <v>8860</v>
      </c>
      <c r="E13" t="s">
        <v>167</v>
      </c>
      <c r="F13" t="s">
        <v>176</v>
      </c>
      <c r="G13" t="s">
        <v>177</v>
      </c>
    </row>
    <row r="14" spans="1:7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s="2">
        <v>8523</v>
      </c>
      <c r="E14" t="s">
        <v>167</v>
      </c>
      <c r="F14" t="s">
        <v>178</v>
      </c>
      <c r="G14" t="s">
        <v>180</v>
      </c>
    </row>
    <row r="15" spans="1:7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s="2">
        <v>9225</v>
      </c>
      <c r="E15" t="s">
        <v>167</v>
      </c>
      <c r="F15" t="s">
        <v>179</v>
      </c>
      <c r="G15" t="s">
        <v>181</v>
      </c>
    </row>
    <row r="16" spans="1:7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s="2">
        <v>8810</v>
      </c>
      <c r="E16" t="s">
        <v>167</v>
      </c>
      <c r="F16" t="s">
        <v>182</v>
      </c>
      <c r="G16" t="s">
        <v>183</v>
      </c>
    </row>
    <row r="17" spans="1:7" ht="28.8">
      <c r="A17" s="22" cm="1">
        <f t="array" ref="A17">HYPERLINK(_xlfn.XLOOKUP((ROWS($A$8:A17)-1),table_summary[ref],table_summary[link_location]),
_xlfn.XLOOKUP((ROWS($A$8:A17)-1),table_summary[ref],
_xlfn.XLOOKUP($C$1,table_summary[#Headers],table_summary[]))
)</f>
        <v>0</v>
      </c>
      <c r="C17" s="2">
        <v>2620</v>
      </c>
      <c r="E17" t="s">
        <v>165</v>
      </c>
      <c r="F17" s="42" t="s">
        <v>184</v>
      </c>
      <c r="G17" t="s">
        <v>185</v>
      </c>
    </row>
    <row r="18" spans="1:7">
      <c r="A18" s="22" cm="1">
        <f t="array" ref="A18">HYPERLINK(_xlfn.XLOOKUP((ROWS($A$8:A18)-1),table_summary[ref],table_summary[link_location]),
_xlfn.XLOOKUP((ROWS($A$8:A18)-1),table_summary[ref],
_xlfn.XLOOKUP($C$1,table_summary[#Headers],table_summary[]))
)</f>
        <v>0</v>
      </c>
      <c r="C18" s="2">
        <v>8000</v>
      </c>
      <c r="E18" t="s">
        <v>186</v>
      </c>
      <c r="F18" t="s">
        <v>187</v>
      </c>
      <c r="G18" t="s">
        <v>188</v>
      </c>
    </row>
    <row r="19" spans="1:7">
      <c r="A19" s="22" cm="1">
        <f t="array" ref="A19">HYPERLINK(_xlfn.XLOOKUP((ROWS($A$8:A19)-1),table_summary[ref],table_summary[link_location]),
_xlfn.XLOOKUP((ROWS($A$8:A19)-1),table_summary[ref],
_xlfn.XLOOKUP($C$1,table_summary[#Headers],table_summary[]))
)</f>
        <v>0</v>
      </c>
      <c r="C19" s="2">
        <v>3260</v>
      </c>
      <c r="E19" s="10" t="s">
        <v>189</v>
      </c>
      <c r="F19" t="s">
        <v>190</v>
      </c>
      <c r="G19" t="s">
        <v>191</v>
      </c>
    </row>
    <row r="20" spans="1:7">
      <c r="C20" s="2">
        <v>30001</v>
      </c>
      <c r="E20" t="s">
        <v>186</v>
      </c>
      <c r="F20" t="s">
        <v>192</v>
      </c>
      <c r="G20" t="s">
        <v>194</v>
      </c>
    </row>
    <row r="21" spans="1:7">
      <c r="C21" s="2">
        <v>40000</v>
      </c>
      <c r="E21" t="s">
        <v>165</v>
      </c>
      <c r="F21" t="s">
        <v>193</v>
      </c>
      <c r="G21" t="s">
        <v>195</v>
      </c>
    </row>
    <row r="22" spans="1:7">
      <c r="C22" s="2"/>
    </row>
    <row r="23" spans="1:7">
      <c r="C23" s="2"/>
    </row>
    <row r="24" spans="1:7">
      <c r="C24" s="2"/>
    </row>
    <row r="25" spans="1:7">
      <c r="C25" s="2"/>
    </row>
    <row r="26" spans="1:7">
      <c r="C26" s="2"/>
    </row>
    <row r="27" spans="1:7">
      <c r="C27" s="2"/>
    </row>
  </sheetData>
  <conditionalFormatting sqref="A8:A19">
    <cfRule type="expression" dxfId="5" priority="7">
      <formula>A8=0</formula>
    </cfRule>
    <cfRule type="expression" dxfId="4" priority="8">
      <formula>A8=$A$2</formula>
    </cfRule>
  </conditionalFormatting>
  <conditionalFormatting sqref="D7:D27">
    <cfRule type="expression" dxfId="3" priority="4">
      <formula>C7&gt;0</formula>
    </cfRule>
  </conditionalFormatting>
  <conditionalFormatting sqref="E7:E27">
    <cfRule type="expression" dxfId="2" priority="3">
      <formula>C7&gt;0</formula>
    </cfRule>
  </conditionalFormatting>
  <conditionalFormatting sqref="F7:F16 F18:F27">
    <cfRule type="expression" dxfId="1" priority="2">
      <formula>E7&gt;0</formula>
    </cfRule>
  </conditionalFormatting>
  <conditionalFormatting sqref="G7:G27">
    <cfRule type="expression" dxfId="0" priority="1">
      <formula>E7&gt;0</formula>
    </cfRule>
  </conditionalFormatting>
  <dataValidations count="1">
    <dataValidation type="list" allowBlank="1" showInputMessage="1" showErrorMessage="1" sqref="C1" xr:uid="{232B47EE-6A98-4305-8C47-76B15846A767}">
      <formula1>select_lang_code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master</vt:lpstr>
      <vt:lpstr>expense</vt:lpstr>
      <vt:lpstr>income</vt:lpstr>
      <vt:lpstr>bank</vt:lpstr>
      <vt:lpstr>table</vt:lpstr>
      <vt:lpstr>fields</vt:lpstr>
      <vt:lpstr>lang</vt:lpstr>
      <vt:lpstr>selectList</vt:lpstr>
      <vt:lpstr>chartOfAcct</vt:lpstr>
      <vt:lpstr>selectTransType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2020-02-21T03:50:15Z</dcterms:created>
  <dcterms:modified xsi:type="dcterms:W3CDTF">2020-05-27T03:41:03Z</dcterms:modified>
</cp:coreProperties>
</file>